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RATES\CLFP\2020 ATRR\"/>
    </mc:Choice>
  </mc:AlternateContent>
  <bookViews>
    <workbookView xWindow="0" yWindow="0" windowWidth="23040" windowHeight="8805" tabRatio="911" firstSheet="5" activeTab="1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TU-TrueUp" sheetId="21" r:id="rId10"/>
    <sheet name="Proj Att-H" sheetId="25" r:id="rId11"/>
    <sheet name="P1-Trans Plant" sheetId="26" r:id="rId12"/>
    <sheet name="P2-Exp. &amp; Rev. Credits" sheetId="27" r:id="rId13"/>
    <sheet name="P3-Divisor" sheetId="28" r:id="rId14"/>
    <sheet name="P4-IncentPlant" sheetId="30" r:id="rId15"/>
    <sheet name="P5-ADIT" sheetId="36" r:id="rId16"/>
    <sheet name="Schedule 1" sheetId="31"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'[1]O&amp;M Allocations'!#REF!</definedName>
    <definedName name="\b">'[1]O&amp;M Allocations'!#REF!</definedName>
    <definedName name="\c">'[1]O&amp;M Allocations'!#REF!</definedName>
    <definedName name="\d">'[1]O&amp;M Allocations'!#REF!</definedName>
    <definedName name="\l">'[1]O&amp;M Allocations'!#REF!</definedName>
    <definedName name="\p">'[1]O&amp;M Allocations'!#REF!</definedName>
    <definedName name="\R">#REF!</definedName>
    <definedName name="\S">#REF!</definedName>
    <definedName name="\V">#REF!</definedName>
    <definedName name="\w">'[1]O&amp;M Allocations'!#REF!</definedName>
    <definedName name="__123Graph_A" hidden="1">[2]Sheet3!#REF!</definedName>
    <definedName name="__123Graph_A1991" hidden="1">[2]Sheet3!#REF!</definedName>
    <definedName name="__123Graph_A1992" hidden="1">[2]Sheet3!#REF!</definedName>
    <definedName name="__123Graph_A1993" hidden="1">[2]Sheet3!#REF!</definedName>
    <definedName name="__123Graph_A1994" hidden="1">[2]Sheet3!#REF!</definedName>
    <definedName name="__123Graph_A1995" hidden="1">[2]Sheet3!#REF!</definedName>
    <definedName name="__123Graph_A1996" hidden="1">[2]Sheet3!#REF!</definedName>
    <definedName name="__123Graph_ABAR" hidden="1">[2]Sheet3!#REF!</definedName>
    <definedName name="__123Graph_B" hidden="1">[2]Sheet3!#REF!</definedName>
    <definedName name="__123Graph_B1991" hidden="1">[2]Sheet3!#REF!</definedName>
    <definedName name="__123Graph_B1992" hidden="1">[2]Sheet3!#REF!</definedName>
    <definedName name="__123Graph_B1993" hidden="1">[2]Sheet3!#REF!</definedName>
    <definedName name="__123Graph_B1994" hidden="1">[2]Sheet3!#REF!</definedName>
    <definedName name="__123Graph_B1995" hidden="1">[2]Sheet3!#REF!</definedName>
    <definedName name="__123Graph_B1996" hidden="1">[2]Sheet3!#REF!</definedName>
    <definedName name="__123Graph_BBAR" hidden="1">[2]Sheet3!#REF!</definedName>
    <definedName name="__123Graph_CBAR" hidden="1">[2]Sheet3!#REF!</definedName>
    <definedName name="__123Graph_DBAR" hidden="1">[2]Sheet3!#REF!</definedName>
    <definedName name="__123Graph_EBAR" hidden="1">[2]Sheet3!#REF!</definedName>
    <definedName name="__123Graph_FBAR" hidden="1">[2]Sheet3!#REF!</definedName>
    <definedName name="__123Graph_X" hidden="1">[2]Sheet3!#REF!</definedName>
    <definedName name="__123Graph_X1991" hidden="1">[2]Sheet3!#REF!</definedName>
    <definedName name="__123Graph_X1992" hidden="1">[2]Sheet3!#REF!</definedName>
    <definedName name="__123Graph_X1993" hidden="1">[2]Sheet3!#REF!</definedName>
    <definedName name="__123Graph_X1994" hidden="1">[2]Sheet3!#REF!</definedName>
    <definedName name="__123Graph_X1995" hidden="1">[2]Sheet3!#REF!</definedName>
    <definedName name="__123Graph_X1996" hidden="1">[2]Sheet3!#REF!</definedName>
    <definedName name="__tet12" hidden="1">{"assumptions",#N/A,FALSE,"Scenario 1";"valuation",#N/A,FALSE,"Scenario 1"}</definedName>
    <definedName name="__tet5" hidden="1">{"assumptions",#N/A,FALSE,"Scenario 1";"valuation",#N/A,FALSE,"Scenario 1"}</definedName>
    <definedName name="_1E_1">#N/A</definedName>
    <definedName name="_31_Dec_00">#REF!</definedName>
    <definedName name="_31_Jan_01">#REF!</definedName>
    <definedName name="_FEB01" hidden="1">{#N/A,#N/A,FALSE,"EMPPAY"}</definedName>
    <definedName name="_Fill" hidden="1">'[3]Exp Detail'!#REF!</definedName>
    <definedName name="_JAN01" hidden="1">{#N/A,#N/A,FALSE,"EMPPAY"}</definedName>
    <definedName name="_JAN2001" hidden="1">{#N/A,#N/A,FALSE,"EMPPAY"}</definedName>
    <definedName name="_Key1" hidden="1">'[3]Exp Detail'!#REF!</definedName>
    <definedName name="_Order1" hidden="1">255</definedName>
    <definedName name="_Order2" hidden="1">255</definedName>
    <definedName name="_Sort" localSheetId="7" hidden="1">#REF!</definedName>
    <definedName name="_Sort" localSheetId="8" hidden="1">#REF!</definedName>
    <definedName name="_Sort" localSheetId="14" hidden="1">#REF!</definedName>
    <definedName name="_Sort" localSheetId="10" hidden="1">#REF!</definedName>
    <definedName name="_Sort" hidden="1">#REF!</definedName>
    <definedName name="_sort2" localSheetId="7" hidden="1">#REF!</definedName>
    <definedName name="_sort2" localSheetId="8" hidden="1">#REF!</definedName>
    <definedName name="_sort2" localSheetId="14" hidden="1">#REF!</definedName>
    <definedName name="_sort2" localSheetId="10" hidden="1">#REF!</definedName>
    <definedName name="_sort2"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AB_Addin5">"AAB_Description for addin 5,Description for addin 5,Description for addin 5,Description for addin 5,Description for addin 5,Description for addin 5"</definedName>
    <definedName name="acc">#REF!</definedName>
    <definedName name="Acct_AZ_UNSG_By_Plant">#REF!</definedName>
    <definedName name="ACTDEM">#REF!</definedName>
    <definedName name="ACTUAL_DEMAND__KW">#REF!</definedName>
    <definedName name="Actual_Net_Rev_Req" localSheetId="8">#REF!</definedName>
    <definedName name="Actual_Net_Rev_Req" localSheetId="14">#REF!</definedName>
    <definedName name="Actual_Net_Rev_Req">#REF!</definedName>
    <definedName name="ADIT">#REF!</definedName>
    <definedName name="Adjusted_KW">[4]CALCULATIONS!$C$29</definedName>
    <definedName name="AEAlloc">#REF!</definedName>
    <definedName name="Alignment" hidden="1">"a1"</definedName>
    <definedName name="AllocationDate">#REF!</definedName>
    <definedName name="Allocator.gross.plant">'[5]Appendix A'!$H$29</definedName>
    <definedName name="Allocator.net.plant">'[5]Appendix A'!$H$32</definedName>
    <definedName name="Allocator.wages.salary">'[5]Appendix A'!$H$17</definedName>
    <definedName name="Allocators">#REF!</definedName>
    <definedName name="APCFAC">#REF!</definedName>
    <definedName name="APCLF">#REF!</definedName>
    <definedName name="APCMW">#REF!</definedName>
    <definedName name="APCMWH">#REF!</definedName>
    <definedName name="AS2DocOpenMode" hidden="1">"AS2DocumentEdit"</definedName>
    <definedName name="B1P1">#REF!</definedName>
    <definedName name="Balances">#REF!</definedName>
    <definedName name="BBFAC">#REF!</definedName>
    <definedName name="BBLF">#REF!</definedName>
    <definedName name="BBMW">#REF!</definedName>
    <definedName name="BBMWH">#REF!</definedName>
    <definedName name="bench">#REF!</definedName>
    <definedName name="BILLED_HOURS">#REF!</definedName>
    <definedName name="BILLING_DEMAND__KW">#REF!</definedName>
    <definedName name="BPAAlloc">#REF!</definedName>
    <definedName name="BPACustAlloc">#REF!</definedName>
    <definedName name="BPAGenAlloc">#REF!</definedName>
    <definedName name="BPAGenHeader">#REF!</definedName>
    <definedName name="BRDMONTH">#REF!</definedName>
    <definedName name="BRDMONTH12">#REF!</definedName>
    <definedName name="BRDQTR">#REF!</definedName>
    <definedName name="BRDYTD">#REF!</definedName>
    <definedName name="BRMAT">#REF!</definedName>
    <definedName name="BS">'[6]Consol Adj.'!#REF!</definedName>
    <definedName name="CAAAlloc">#REF!</definedName>
    <definedName name="CandAByCust">#REF!</definedName>
    <definedName name="CandAByFunc">#REF!</definedName>
    <definedName name="cap">#REF!</definedName>
    <definedName name="CE" localSheetId="5">'[7]Actual Gross Rev'!$N$213</definedName>
    <definedName name="CE" localSheetId="8">'[7]Actual Gross Rev'!$N$213</definedName>
    <definedName name="CE" localSheetId="14">'[7]Actual Gross Rev'!$N$213</definedName>
    <definedName name="CE" localSheetId="16">'[8]ATRR Est.'!$G$172</definedName>
    <definedName name="CE" localSheetId="0">'[9]Actual Gross Rev'!$N$213</definedName>
    <definedName name="CE" localSheetId="9">'[7]Actual Gross Rev'!$N$213</definedName>
    <definedName name="CE">'[10]Actual Gross Rev'!$N$213</definedName>
    <definedName name="CEA">'[8]ATRR Act'!$G$172</definedName>
    <definedName name="CECE" comment="Common Plant Allocator">[11]AttachmentH!$J$189</definedName>
    <definedName name="CEE" localSheetId="8">'[12]Actual Gross Rev Req'!#REF!</definedName>
    <definedName name="CEE" localSheetId="14">'[12]Actual Gross Rev Req'!#REF!</definedName>
    <definedName name="CEE">'[12]Actual Gross Rev Req'!#REF!</definedName>
    <definedName name="CENTS_KWH__GROSS">#REF!</definedName>
    <definedName name="CENTS_KWH__NET">#REF!</definedName>
    <definedName name="CH_COS">#REF!</definedName>
    <definedName name="CITYM">#REF!</definedName>
    <definedName name="CITYS">#REF!</definedName>
    <definedName name="CITYST">#REF!</definedName>
    <definedName name="CITYT">#REF!</definedName>
    <definedName name="Class">#REF!</definedName>
    <definedName name="ClassCode">#REF!</definedName>
    <definedName name="ClassCustomer">#REF!</definedName>
    <definedName name="ClassDA">#REF!</definedName>
    <definedName name="ClassFunction">#REF!</definedName>
    <definedName name="ClassMethod">#REF!</definedName>
    <definedName name="ClientMatter" hidden="1">"b1"</definedName>
    <definedName name="ColumnAttributes1">#REF!</definedName>
    <definedName name="ColumnHeadings1">#REF!</definedName>
    <definedName name="Columns">#REF!</definedName>
    <definedName name="Cover">#REF!</definedName>
    <definedName name="cp">#REF!</definedName>
    <definedName name="CPAlloc">#REF!</definedName>
    <definedName name="CPHeader">#REF!</definedName>
    <definedName name="_xlnm.Criteria">#REF!</definedName>
    <definedName name="Current_sum">#REF!</definedName>
    <definedName name="Current_Year">'[13]Electric Fund Historical'!$D$1</definedName>
    <definedName name="custgrowth">#REF!</definedName>
    <definedName name="CYPRUSFAC">#REF!</definedName>
    <definedName name="CYPRUSLF">#REF!</definedName>
    <definedName name="CYPRUSMW">#REF!</definedName>
    <definedName name="CYPRUSMWH">#REF!</definedName>
    <definedName name="DA" localSheetId="5">'[7]Actual Gross Rev'!$J$43</definedName>
    <definedName name="DA" localSheetId="8">'[7]Actual Gross Rev'!$J$43</definedName>
    <definedName name="DA" localSheetId="14">'[7]Actual Gross Rev'!$J$43</definedName>
    <definedName name="DA" localSheetId="0">'[9]Actual Gross Rev'!$J$43</definedName>
    <definedName name="DA" localSheetId="9">'[7]Actual Gross Rev'!$J$43</definedName>
    <definedName name="DA">'[10]Actual Gross Rev'!$J$43</definedName>
    <definedName name="data">#REF!</definedName>
    <definedName name="data_3">[14]Permanent!$A$9:$O$20</definedName>
    <definedName name="_xlnm.Database">#REF!</definedName>
    <definedName name="DATABASE1">#REF!</definedName>
    <definedName name="Database2">[15]REPORT!$A$16:$F$278</definedName>
    <definedName name="Date" hidden="1">"b1"</definedName>
    <definedName name="DE">#REF!</definedName>
    <definedName name="DEC00" hidden="1">{#N/A,#N/A,FALSE,"ARREC"}</definedName>
    <definedName name="DefaultCopy">#REF!</definedName>
    <definedName name="DefaultPaste">#REF!</definedName>
    <definedName name="demand">#REF!</definedName>
    <definedName name="detail">#REF!</definedName>
    <definedName name="DMFAC">#REF!</definedName>
    <definedName name="DMLF">#REF!</definedName>
    <definedName name="DMMW">#REF!</definedName>
    <definedName name="DMMWH">#REF!</definedName>
    <definedName name="DocumentName" hidden="1">"b1"</definedName>
    <definedName name="DocumentNum" hidden="1">"a1"</definedName>
    <definedName name="DPROD">#REF!</definedName>
    <definedName name="DR">('[12]Actual Gross Rev Req'!$M$25-'[12]Actual Gross Rev Req'!$M$26)/'[12]Actual Gross Rev Req'!$M$25</definedName>
    <definedName name="draft">#REF!</definedName>
    <definedName name="e1p1">#REF!</definedName>
    <definedName name="e1p2">#REF!</definedName>
    <definedName name="e2p1">#REF!</definedName>
    <definedName name="e3p1">#REF!</definedName>
    <definedName name="e3p2">#REF!</definedName>
    <definedName name="e4p1">#REF!</definedName>
    <definedName name="e5p1">#REF!</definedName>
    <definedName name="e5p2">#REF!</definedName>
    <definedName name="e5p3">#REF!</definedName>
    <definedName name="e5p4">#REF!</definedName>
    <definedName name="e7p1">#REF!</definedName>
    <definedName name="e8p1">#REF!</definedName>
    <definedName name="ENERGYSALES">#REF!</definedName>
    <definedName name="_xlnm.Extract">#REF!</definedName>
    <definedName name="f1p1">#REF!</definedName>
    <definedName name="f2p1">[16]F1!#REF!</definedName>
    <definedName name="f3p1">[16]F1!#REF!</definedName>
    <definedName name="FEB00" hidden="1">{#N/A,#N/A,FALSE,"ARREC"}</definedName>
    <definedName name="firstcust">#REF!</definedName>
    <definedName name="firstkwh">#REF!</definedName>
    <definedName name="ForcastRev">#REF!</definedName>
    <definedName name="ForecastRev72">#REF!</definedName>
    <definedName name="ForecastRev73">#REF!</definedName>
    <definedName name="ForecastRevHeader">#REF!</definedName>
    <definedName name="ForecastRevHeader72">#REF!</definedName>
    <definedName name="FRANM">#REF!</definedName>
    <definedName name="FRANT">#REF!</definedName>
    <definedName name="FTHUAFAC">#REF!</definedName>
    <definedName name="FTHUALF">#REF!</definedName>
    <definedName name="FTHUAMW">#REF!</definedName>
    <definedName name="FTHUAMWH">#REF!</definedName>
    <definedName name="Function">#REF!</definedName>
    <definedName name="FYear1">[17]COS!#REF!</definedName>
    <definedName name="FYear2">[17]COS!#REF!</definedName>
    <definedName name="FYear3">[17]COS!#REF!</definedName>
    <definedName name="FYear4">[17]COS!#REF!</definedName>
    <definedName name="FYear5">[17]COS!#REF!</definedName>
    <definedName name="GP" localSheetId="5">'[7]Actual Gross Rev'!$J$169</definedName>
    <definedName name="GP" localSheetId="8">'[7]Actual Gross Rev'!$J$169</definedName>
    <definedName name="GP" localSheetId="14">'[7]Actual Gross Rev'!$J$169</definedName>
    <definedName name="GP" localSheetId="0">'[9]Actual Gross Rev'!$J$169</definedName>
    <definedName name="GP" localSheetId="9">'[7]Actual Gross Rev'!$J$169</definedName>
    <definedName name="GP">'[10]Actual Gross Rev'!$J$169</definedName>
    <definedName name="GROSS_REVENUE">#REF!</definedName>
    <definedName name="histdate">#REF!</definedName>
    <definedName name="HOME">#REF!</definedName>
    <definedName name="Hours">[4]CALCULATIONS!$C$11</definedName>
    <definedName name="HUGHESFAC">#REF!</definedName>
    <definedName name="HUGHESLF">#REF!</definedName>
    <definedName name="HUGHESMW">#REF!</definedName>
    <definedName name="HUGHESMWH">#REF!</definedName>
    <definedName name="IBMFAC">#REF!</definedName>
    <definedName name="IBMLF">#REF!</definedName>
    <definedName name="IBMMW">#REF!</definedName>
    <definedName name="IBMMWH">#REF!</definedName>
    <definedName name="Inc_Stat">#REF!</definedName>
    <definedName name="Index">#REF!</definedName>
    <definedName name="IndexHeader">#REF!</definedName>
    <definedName name="INPUTS4">[18]Inputs!$A$291:$Q$365</definedName>
    <definedName name="INPUTS5">[18]Inputs!$A$367:$Q$460</definedName>
    <definedName name="INPUTS6">[18]Inputs!$P$148:$AE$173</definedName>
    <definedName name="itc">#REF!</definedName>
    <definedName name="KCPLallocatorsP">'[19]KCPL Projected TCOS'!$I$318:$J$329</definedName>
    <definedName name="kk">#REF!</definedName>
    <definedName name="KWH">#REF!</definedName>
    <definedName name="LD_Factor">#REF!</definedName>
    <definedName name="Library" hidden="1">"a1"</definedName>
    <definedName name="LIQAIRFAC">#REF!</definedName>
    <definedName name="LIQAIRLF">#REF!</definedName>
    <definedName name="LIQAIRMW">#REF!</definedName>
    <definedName name="LIQAIRMWH">#REF!</definedName>
    <definedName name="LOAD_FACTOR">#REF!</definedName>
    <definedName name="LOAD_FACTOR_BASED_ON_BILLING_DEMAND">#REF!</definedName>
    <definedName name="Load81">#REF!</definedName>
    <definedName name="Load81Header">#REF!</definedName>
    <definedName name="Load82">#REF!</definedName>
    <definedName name="Load82Header">#REF!</definedName>
    <definedName name="Load83">#REF!</definedName>
    <definedName name="Load83Header">#REF!</definedName>
    <definedName name="Load84">#REF!</definedName>
    <definedName name="Load84Header">#REF!</definedName>
    <definedName name="Load85">#REF!</definedName>
    <definedName name="Load85Header">#REF!</definedName>
    <definedName name="Load86">#REF!</definedName>
    <definedName name="Load86Header">#REF!</definedName>
    <definedName name="Load87">#REF!</definedName>
    <definedName name="LoadHeader">#REF!</definedName>
    <definedName name="LoadHeaderHistoric">#REF!</definedName>
    <definedName name="M">'[6]Consol Adj.'!#REF!</definedName>
    <definedName name="MACRO1">#REF!</definedName>
    <definedName name="Marty">#REF!</definedName>
    <definedName name="MAY" hidden="1">{#N/A,#N/A,FALSE,"EMPPAY"}</definedName>
    <definedName name="Mgmt">[20]Current!#REF!</definedName>
    <definedName name="minsys">#REF!</definedName>
    <definedName name="MISS1FAC">#REF!</definedName>
    <definedName name="MISS1LF">#REF!</definedName>
    <definedName name="MISS1MW">#REF!</definedName>
    <definedName name="MISS1MWH">#REF!</definedName>
    <definedName name="MISS2FAC">#REF!</definedName>
    <definedName name="MISS2LF">#REF!</definedName>
    <definedName name="MISS2MW">#REF!</definedName>
    <definedName name="MISS2MWH">#REF!</definedName>
    <definedName name="MONTH">#REF!</definedName>
    <definedName name="MONTH12">#REF!</definedName>
    <definedName name="months">[14]Permanent!$A$24:$A$35</definedName>
    <definedName name="NET_REVENUE">#REF!</definedName>
    <definedName name="new">#REF!</definedName>
    <definedName name="NOTE">'[6]Consol Adj.'!#REF!</definedName>
    <definedName name="NOxpMB1">[18]Inputs!$D$294</definedName>
    <definedName name="NP" localSheetId="5">'[7]Actual Gross Rev'!$J$185</definedName>
    <definedName name="NP" localSheetId="8">'[7]Actual Gross Rev'!$J$185</definedName>
    <definedName name="NP" localSheetId="14">'[7]Actual Gross Rev'!$J$185</definedName>
    <definedName name="NP" localSheetId="16">'[8]ATRR Est.'!$F$45</definedName>
    <definedName name="NP" localSheetId="0">'[9]Actual Gross Rev'!$J$185</definedName>
    <definedName name="NP" localSheetId="9">'[7]Actual Gross Rev'!$J$185</definedName>
    <definedName name="NP">'[10]Actual Gross Rev'!$J$185</definedName>
    <definedName name="NPA">'[8]ATRR Act'!$F$45</definedName>
    <definedName name="NSP_COS">#REF!</definedName>
    <definedName name="OMCustomer">#REF!</definedName>
    <definedName name="OMFunct">#REF!</definedName>
    <definedName name="POWER_FACTOR">#REF!</definedName>
    <definedName name="Power51Header">#REF!</definedName>
    <definedName name="Power52">#REF!</definedName>
    <definedName name="Power52Header">#REF!</definedName>
    <definedName name="Power53">#REF!</definedName>
    <definedName name="Power53Header">#REF!</definedName>
    <definedName name="Power54">#REF!</definedName>
    <definedName name="Power54Header">#REF!</definedName>
    <definedName name="Power55">#REF!</definedName>
    <definedName name="Power55Header">#REF!</definedName>
    <definedName name="Power56">#REF!</definedName>
    <definedName name="Power56Header">#REF!</definedName>
    <definedName name="PowerHeader">#REF!</definedName>
    <definedName name="PowerSum">#REF!</definedName>
    <definedName name="PRet" localSheetId="5">'[7]Projected Gross Rev Req'!$L$228</definedName>
    <definedName name="PRet" localSheetId="8">'[7]Projected Gross Rev Req'!$L$228</definedName>
    <definedName name="PRet" localSheetId="14">'[7]Projected Gross Rev Req'!$L$228</definedName>
    <definedName name="PRet" localSheetId="0">'[9]Projected Gross Rev Req'!$L$228</definedName>
    <definedName name="PRet" localSheetId="9">'[7]Projected Gross Rev Req'!$L$228</definedName>
    <definedName name="PRet">'[10]Projected Gross Rev Req'!$L$228</definedName>
    <definedName name="Print">#REF!</definedName>
    <definedName name="_xlnm.Print_Area" localSheetId="2">'A1-RevCred'!$A$1:$N$61</definedName>
    <definedName name="_xlnm.Print_Area" localSheetId="3">'A2-A&amp;G'!$A$1:$D$47</definedName>
    <definedName name="_xlnm.Print_Area" localSheetId="4">'A3-ADIT'!$A$1:$G$21</definedName>
    <definedName name="_xlnm.Print_Area" localSheetId="5">'A4-Rate Base'!$A$1:$I$93</definedName>
    <definedName name="_xlnm.Print_Area" localSheetId="7">'A6-Divisor'!$A$1:$G$22</definedName>
    <definedName name="_xlnm.Print_Area" localSheetId="8">'A7-IncentPlant'!$A$1:$O$45</definedName>
    <definedName name="_xlnm.Print_Area" localSheetId="1">'Act Att-H'!$A$1:$K$259</definedName>
    <definedName name="_xlnm.Print_Area" localSheetId="11">'P1-Trans Plant'!$A$1:$AA$49</definedName>
    <definedName name="_xlnm.Print_Area" localSheetId="13">'P3-Divisor'!$A$1:$G$30</definedName>
    <definedName name="_xlnm.Print_Area" localSheetId="14">'P4-IncentPlant'!$A$1:$O$53</definedName>
    <definedName name="_xlnm.Print_Area" localSheetId="15">'P5-ADIT'!$A$1:$K$136</definedName>
    <definedName name="_xlnm.Print_Area" localSheetId="10">'Proj Att-H'!$A$1:$K$251</definedName>
    <definedName name="_xlnm.Print_Area" localSheetId="16">'Schedule 1'!$A$1:$E$50</definedName>
    <definedName name="_xlnm.Print_Area" localSheetId="0">'Table of Contents'!$A$1:$E$50</definedName>
    <definedName name="_xlnm.Print_Area" localSheetId="9">'TU-TrueUp'!$A$1:$I$66</definedName>
    <definedName name="_xlnm.Print_Area">#REF!</definedName>
    <definedName name="_xlnm.Print_Titles" localSheetId="11">'P1-Trans Plant'!$A:$F</definedName>
    <definedName name="_xlnm.Print_Titles" localSheetId="9">'TU-TrueUp'!$2:$4</definedName>
    <definedName name="Print1">#REF!</definedName>
    <definedName name="Print3">#REF!</definedName>
    <definedName name="Print4">#REF!</definedName>
    <definedName name="Print5">#REF!</definedName>
    <definedName name="PrintArea" localSheetId="14">#REF!</definedName>
    <definedName name="PrintArea">#REF!</definedName>
    <definedName name="ProjIDList">#REF!</definedName>
    <definedName name="ProposedRate91">#REF!</definedName>
    <definedName name="PSClass">#REF!</definedName>
    <definedName name="PSCo_COS">#REF!</definedName>
    <definedName name="psrate">#REF!</definedName>
    <definedName name="PTitle" localSheetId="5">'[7]Projected Net Rev Req'!$C$4</definedName>
    <definedName name="PTitle" localSheetId="8">'[7]Projected Net Rev Req'!$C$4</definedName>
    <definedName name="PTitle" localSheetId="14">'[7]Projected Net Rev Req'!$C$4</definedName>
    <definedName name="PTitle" localSheetId="0">'[9]Projected Net Rev Req'!$C$4</definedName>
    <definedName name="PTitle" localSheetId="9">'[7]Projected Net Rev Req'!$C$4</definedName>
    <definedName name="PTitle">'[10]Projected Net Rev Req'!$C$4</definedName>
    <definedName name="q_MTEP06_App_AB_Facility">#REF!</definedName>
    <definedName name="q_MTEP06_App_AB_Projects">#REF!</definedName>
    <definedName name="qmat">#REF!</definedName>
    <definedName name="QTR">#REF!</definedName>
    <definedName name="qtrinfo">#REF!</definedName>
    <definedName name="RACC">#REF!</definedName>
    <definedName name="RateClass">#REF!</definedName>
    <definedName name="ratios">#REF!</definedName>
    <definedName name="RBCustomer">#REF!</definedName>
    <definedName name="RCITYM">#REF!</definedName>
    <definedName name="RCITYS">#REF!</definedName>
    <definedName name="RCITYST">#REF!</definedName>
    <definedName name="RCITYT">#REF!</definedName>
    <definedName name="Recorded_Year_Hours_per_month">#REF!</definedName>
    <definedName name="Recover">[21]Macro1!$A$124</definedName>
    <definedName name="ReportTitle1">#REF!</definedName>
    <definedName name="Reserve2011">#REF!</definedName>
    <definedName name="revreq">#REF!</definedName>
    <definedName name="revvar">#REF!</definedName>
    <definedName name="RFRANM">#REF!</definedName>
    <definedName name="RFRANT">#REF!</definedName>
    <definedName name="ROR">'[8]ATRR Est.'!$G$179</definedName>
    <definedName name="RowDetails1">#REF!</definedName>
    <definedName name="RRBT">#REF!</definedName>
    <definedName name="RRUCO">#REF!</definedName>
    <definedName name="RSTATE">#REF!</definedName>
    <definedName name="Seasons">#REF!</definedName>
    <definedName name="SILVERFAC">#REF!</definedName>
    <definedName name="SILVERLF">#REF!</definedName>
    <definedName name="SILVERMW">#REF!</definedName>
    <definedName name="SILVERMWH">#REF!</definedName>
    <definedName name="SPS_COS">#REF!</definedName>
    <definedName name="stat">#REF!</definedName>
    <definedName name="STATE">#REF!</definedName>
    <definedName name="step1">#REF!</definedName>
    <definedName name="step2">#REF!</definedName>
    <definedName name="SumForecast">#REF!</definedName>
    <definedName name="SumHistoric">#REF!</definedName>
    <definedName name="SumPower">#REF!</definedName>
    <definedName name="SumPresRate">#REF!</definedName>
    <definedName name="SumPropRate">#REF!</definedName>
    <definedName name="SumRateBase">#REF!</definedName>
    <definedName name="SumRevClass">#REF!</definedName>
    <definedName name="SumRevPresRate">#REF!</definedName>
    <definedName name="SumRevPropRate">#REF!</definedName>
    <definedName name="SumRevRate">#REF!</definedName>
    <definedName name="SumRevReq">#REF!</definedName>
    <definedName name="SUPP">'[6]Consol Adj.'!#REF!</definedName>
    <definedName name="TableName">"Dummy"</definedName>
    <definedName name="TableOfContents">#REF!</definedName>
    <definedName name="taxcalc">#REF!</definedName>
    <definedName name="TAXES">#REF!</definedName>
    <definedName name="TBLHeader">#REF!</definedName>
    <definedName name="TE" localSheetId="5">'[7]Actual Gross Rev'!$L$159</definedName>
    <definedName name="TE" localSheetId="8">'[7]Actual Gross Rev'!$L$159</definedName>
    <definedName name="TE" localSheetId="14">'[7]Actual Gross Rev'!$L$159</definedName>
    <definedName name="TE" localSheetId="0">'[9]Actual Gross Rev'!$L$159</definedName>
    <definedName name="TE" localSheetId="9">'[7]Actual Gross Rev'!$L$159</definedName>
    <definedName name="TE">'[10]Actual Gross Rev'!$L$159</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stcust">#REF!</definedName>
    <definedName name="testdate">#REF!</definedName>
    <definedName name="testkwh">#REF!</definedName>
    <definedName name="TextRefCopyRangeCount" hidden="1">1</definedName>
    <definedName name="Time" hidden="1">"b1"</definedName>
    <definedName name="TMCFAC">#REF!</definedName>
    <definedName name="TMCLF">#REF!</definedName>
    <definedName name="TMCMW">#REF!</definedName>
    <definedName name="TMCMWH">#REF!</definedName>
    <definedName name="Tota_Deferred">#REF!</definedName>
    <definedName name="tp" localSheetId="5">'[7]Actual Gross Rev'!$L$158</definedName>
    <definedName name="tp" localSheetId="8">'[7]Actual Gross Rev'!$L$158</definedName>
    <definedName name="tp" localSheetId="14">'[7]Actual Gross Rev'!$L$158</definedName>
    <definedName name="TP" localSheetId="16">'[8]ATRR Est.'!$G$158</definedName>
    <definedName name="tp" localSheetId="0">'[9]Actual Gross Rev'!$L$158</definedName>
    <definedName name="tp" localSheetId="9">'[7]Actual Gross Rev'!$L$158</definedName>
    <definedName name="tp">'[10]Actual Gross Rev'!$L$158</definedName>
    <definedName name="TPA">'[8]ATRR Act'!$G$158</definedName>
    <definedName name="TrackerCust">#REF!</definedName>
    <definedName name="TrackerPrice">#REF!</definedName>
    <definedName name="TU" localSheetId="8">#REF!</definedName>
    <definedName name="TU" localSheetId="14">#REF!</definedName>
    <definedName name="TU" localSheetId="10">#REF!</definedName>
    <definedName name="TU" localSheetId="9">'TU-TrueUp'!$H$36</definedName>
    <definedName name="TU">#REF!</definedName>
    <definedName name="Typist" hidden="1">"b1"</definedName>
    <definedName name="UACHRPFAC">#REF!</definedName>
    <definedName name="UACHRPLF">#REF!</definedName>
    <definedName name="UACHRPMW">#REF!</definedName>
    <definedName name="UACHRPMWH">#REF!</definedName>
    <definedName name="UAMAINFAC">#REF!</definedName>
    <definedName name="UAMAINLF">#REF!</definedName>
    <definedName name="UAMAINMW">#REF!</definedName>
    <definedName name="UAMAINMWH">#REF!</definedName>
    <definedName name="UAMEDFAC">#REF!</definedName>
    <definedName name="UAMEDLF">#REF!</definedName>
    <definedName name="UAMEDMW">#REF!</definedName>
    <definedName name="UAMEDMWH">#REF!</definedName>
    <definedName name="Unbundle_Rate_Base">#REF!</definedName>
    <definedName name="Unbundle_Rev_Req">#REF!</definedName>
    <definedName name="Unbundling_Unit_Cost">#REF!</definedName>
    <definedName name="Unbundling_Unit_Title">#REF!</definedName>
    <definedName name="unitcost">#REF!</definedName>
    <definedName name="UnitCost21">#REF!</definedName>
    <definedName name="UnitCost22">#REF!</definedName>
    <definedName name="UP">#REF!</definedName>
    <definedName name="utility">#REF!</definedName>
    <definedName name="utilstt">#REF!</definedName>
    <definedName name="Value" hidden="1">{"assumptions",#N/A,FALSE,"Scenario 1";"valuation",#N/A,FALSE,"Scenario 1"}</definedName>
    <definedName name="Version" hidden="1">"a1"</definedName>
    <definedName name="wrn.ARREC." hidden="1">{#N/A,#N/A,FALSE,"ARREC"}</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EMPPAY." hidden="1">{#N/A,#N/A,FALSE,"EMPPAY"}</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 localSheetId="5">'[7]Actual Gross Rev'!$L$207</definedName>
    <definedName name="WS" localSheetId="8">'[7]Actual Gross Rev'!$L$207</definedName>
    <definedName name="WS" localSheetId="14">'[7]Actual Gross Rev'!$L$207</definedName>
    <definedName name="WS" localSheetId="16">'[8]ATRR Est.'!$G$168</definedName>
    <definedName name="WS" localSheetId="0">'[9]Actual Gross Rev'!$L$207</definedName>
    <definedName name="WS" localSheetId="9">'[7]Actual Gross Rev'!$L$207</definedName>
    <definedName name="WS">'[10]Actual Gross Rev'!$L$207</definedName>
    <definedName name="WSA">'[8]ATRR Act'!$G$168</definedName>
    <definedName name="Xcel">'[22]Data Entry and Forecaster'!#REF!</definedName>
    <definedName name="Xcel_COS">#REF!</definedName>
    <definedName name="xx" hidden="1">{#N/A,#N/A,FALSE,"EMPPAY"}</definedName>
    <definedName name="YTD">#REF!</definedName>
    <definedName name="Z_5C332329_7D4E_4C16_8567_CAD656F9D2F1_.wvu.PrintArea" localSheetId="9" hidden="1">'TU-TrueUp'!$A$2:$N$65</definedName>
    <definedName name="Z_5C332329_7D4E_4C16_8567_CAD656F9D2F1_.wvu.PrintTitles" localSheetId="9" hidden="1">'TU-TrueUp'!$2:$4</definedName>
    <definedName name="Z_F04A2B9A_C6FE_4FEB_AD1E_2CF9AC309BE4_.wvu.PrintArea" localSheetId="5" hidden="1">'A4-Rate Base'!$A$1:$L$91</definedName>
    <definedName name="Z_F04A2B9A_C6FE_4FEB_AD1E_2CF9AC309BE4_.wvu.PrintArea" localSheetId="8" hidden="1">'A7-IncentPlant'!$A$1:$L$128</definedName>
    <definedName name="Z_F04A2B9A_C6FE_4FEB_AD1E_2CF9AC309BE4_.wvu.PrintArea" localSheetId="14" hidden="1">'P4-IncentPlant'!$A$1:$L$135</definedName>
    <definedName name="Z_FAA8FFD9_C96B_4A1B_8B9E_B863FD90DDBA_.wvu.PrintArea" localSheetId="11" hidden="1">'P1-Trans Plant'!$A$1:$AN$46</definedName>
    <definedName name="Z_FAA8FFD9_C96B_4A1B_8B9E_B863FD90DDBA_.wvu.PrintArea" localSheetId="13" hidden="1">'P3-Divisor'!$A$1:$O$29</definedName>
    <definedName name="Z_FAA8FFD9_C96B_4A1B_8B9E_B863FD90DDBA_.wvu.PrintTitles" localSheetId="11" hidden="1">'P1-Trans Plant'!$A:$F</definedName>
  </definedNames>
  <calcPr calcId="152511" iterate="1"/>
</workbook>
</file>

<file path=xl/calcChain.xml><?xml version="1.0" encoding="utf-8"?>
<calcChain xmlns="http://schemas.openxmlformats.org/spreadsheetml/2006/main">
  <c r="F41" i="31" l="1"/>
  <c r="F40" i="31"/>
  <c r="F36" i="31"/>
  <c r="F37" i="31"/>
  <c r="F38" i="31"/>
  <c r="F39" i="31"/>
  <c r="F35" i="31"/>
  <c r="D145" i="9" l="1"/>
  <c r="D80" i="9"/>
  <c r="D80" i="36"/>
  <c r="D81" i="36" s="1"/>
  <c r="D82" i="36" s="1"/>
  <c r="D83" i="36" s="1"/>
  <c r="D84" i="36" s="1"/>
  <c r="D85" i="36" s="1"/>
  <c r="D86" i="36" s="1"/>
  <c r="D87" i="36" s="1"/>
  <c r="D88" i="36" s="1"/>
  <c r="D89" i="36" s="1"/>
  <c r="D90" i="36" s="1"/>
  <c r="J18" i="26" l="1"/>
  <c r="D61" i="9" l="1"/>
  <c r="E32" i="27" l="1"/>
  <c r="E22" i="27"/>
  <c r="E16" i="27" l="1"/>
  <c r="D62" i="9"/>
  <c r="I64" i="9"/>
  <c r="I66" i="9"/>
  <c r="G66" i="9" s="1"/>
  <c r="J31" i="36"/>
  <c r="J28" i="36"/>
  <c r="J130" i="36"/>
  <c r="I19" i="25"/>
  <c r="D28" i="16" l="1"/>
  <c r="H33" i="23" l="1"/>
  <c r="E33" i="23"/>
  <c r="C33" i="23" l="1"/>
  <c r="F10" i="23" l="1"/>
  <c r="I70" i="23"/>
  <c r="I57" i="23"/>
  <c r="F48" i="4" l="1"/>
  <c r="I200" i="9"/>
  <c r="D196" i="9"/>
  <c r="D190" i="9"/>
  <c r="D127" i="9" l="1"/>
  <c r="D120" i="9"/>
  <c r="D21" i="16" l="1"/>
  <c r="D29" i="16"/>
  <c r="D12" i="16" l="1"/>
  <c r="D106" i="9" l="1"/>
  <c r="E45" i="23"/>
  <c r="C45" i="23"/>
  <c r="D79" i="9" l="1"/>
  <c r="I81" i="23" l="1"/>
  <c r="N25" i="4" l="1"/>
  <c r="N26" i="4"/>
  <c r="N27" i="4"/>
  <c r="N28" i="4"/>
  <c r="N29" i="4"/>
  <c r="N24" i="4"/>
  <c r="I69" i="23" l="1"/>
  <c r="H45" i="23"/>
  <c r="D9" i="31" l="1"/>
  <c r="Q30" i="26" l="1"/>
  <c r="J94" i="36"/>
  <c r="J14" i="26" l="1"/>
  <c r="H14" i="26"/>
  <c r="J131" i="36" l="1"/>
  <c r="J128" i="36"/>
  <c r="J60" i="36"/>
  <c r="J29" i="36"/>
  <c r="J26" i="36"/>
  <c r="F12" i="36"/>
  <c r="I12" i="36" s="1"/>
  <c r="J12" i="36" s="1"/>
  <c r="H24" i="36"/>
  <c r="B30" i="36"/>
  <c r="F46" i="36"/>
  <c r="I46" i="36" s="1"/>
  <c r="J46" i="36" s="1"/>
  <c r="H58" i="36"/>
  <c r="J62" i="36"/>
  <c r="B64" i="36"/>
  <c r="A35" i="36"/>
  <c r="A36" i="36"/>
  <c r="F114" i="36"/>
  <c r="I114" i="36" s="1"/>
  <c r="J114" i="36" s="1"/>
  <c r="H126" i="36"/>
  <c r="B132" i="36"/>
  <c r="A69" i="36"/>
  <c r="A70" i="36"/>
  <c r="A103" i="36"/>
  <c r="A104" i="36"/>
  <c r="J61" i="36" l="1"/>
  <c r="J129" i="36"/>
  <c r="F115" i="36"/>
  <c r="I115" i="36" s="1"/>
  <c r="J115" i="36" s="1"/>
  <c r="F47" i="36"/>
  <c r="I47" i="36" s="1"/>
  <c r="J47" i="36" s="1"/>
  <c r="J27" i="36"/>
  <c r="K18" i="26"/>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F116" i="36"/>
  <c r="I116" i="36" s="1"/>
  <c r="F48" i="36"/>
  <c r="I48" i="36" s="1"/>
  <c r="J48" i="36" s="1"/>
  <c r="F13" i="36"/>
  <c r="I13" i="36" s="1"/>
  <c r="J116" i="36" l="1"/>
  <c r="F117" i="36"/>
  <c r="I117" i="36" s="1"/>
  <c r="F49" i="36"/>
  <c r="I49" i="36" s="1"/>
  <c r="J49" i="36" s="1"/>
  <c r="F14" i="36"/>
  <c r="I14" i="36" s="1"/>
  <c r="J13" i="36"/>
  <c r="A3" i="36"/>
  <c r="F91" i="36"/>
  <c r="F90" i="36"/>
  <c r="F89" i="36"/>
  <c r="F88" i="36"/>
  <c r="F87" i="36"/>
  <c r="F86" i="36"/>
  <c r="F85" i="36"/>
  <c r="F84" i="36"/>
  <c r="F83" i="36"/>
  <c r="F82" i="36"/>
  <c r="F81" i="36"/>
  <c r="F80" i="36"/>
  <c r="A7" i="36"/>
  <c r="A9" i="36" s="1"/>
  <c r="A10" i="36" s="1"/>
  <c r="A11" i="36" s="1"/>
  <c r="F28" i="36" s="1"/>
  <c r="J14" i="36" l="1"/>
  <c r="J117" i="36"/>
  <c r="F118" i="36"/>
  <c r="I118" i="36" s="1"/>
  <c r="F50" i="36"/>
  <c r="I50" i="36" s="1"/>
  <c r="F15" i="36"/>
  <c r="I15" i="36" s="1"/>
  <c r="A37" i="36"/>
  <c r="A71" i="36"/>
  <c r="A105" i="36"/>
  <c r="A12" i="36"/>
  <c r="A13" i="36" s="1"/>
  <c r="A14" i="36" s="1"/>
  <c r="A15" i="36" s="1"/>
  <c r="A16" i="36" s="1"/>
  <c r="A17" i="36" s="1"/>
  <c r="A18" i="36" s="1"/>
  <c r="A19" i="36" s="1"/>
  <c r="A20" i="36" s="1"/>
  <c r="A21" i="36" s="1"/>
  <c r="A22" i="36" s="1"/>
  <c r="A23" i="36" s="1"/>
  <c r="F31" i="36" s="1"/>
  <c r="J118" i="36" l="1"/>
  <c r="F119" i="36"/>
  <c r="I119" i="36" s="1"/>
  <c r="F51" i="36"/>
  <c r="I51" i="36" s="1"/>
  <c r="J50" i="36"/>
  <c r="J15" i="36"/>
  <c r="F16" i="36"/>
  <c r="I16" i="36" s="1"/>
  <c r="A24" i="36"/>
  <c r="A26" i="36" s="1"/>
  <c r="J119" i="36" l="1"/>
  <c r="J16" i="36"/>
  <c r="J51" i="36"/>
  <c r="F120" i="36"/>
  <c r="I120" i="36" s="1"/>
  <c r="F52" i="36"/>
  <c r="I52" i="36" s="1"/>
  <c r="F17" i="36"/>
  <c r="I17" i="36" s="1"/>
  <c r="A27" i="36"/>
  <c r="A28" i="36" s="1"/>
  <c r="J120" i="36" l="1"/>
  <c r="J17" i="36"/>
  <c r="F121" i="36"/>
  <c r="I121" i="36" s="1"/>
  <c r="F53" i="36"/>
  <c r="I53" i="36" s="1"/>
  <c r="J52" i="36"/>
  <c r="F18" i="36"/>
  <c r="I18" i="36" s="1"/>
  <c r="F27" i="36"/>
  <c r="A29" i="36"/>
  <c r="J18" i="36" l="1"/>
  <c r="J121" i="36"/>
  <c r="F122" i="36"/>
  <c r="I122" i="36" s="1"/>
  <c r="J122" i="36" s="1"/>
  <c r="F54" i="36"/>
  <c r="I54" i="36" s="1"/>
  <c r="J53" i="36"/>
  <c r="F19" i="36"/>
  <c r="I19" i="36" s="1"/>
  <c r="A30" i="36"/>
  <c r="A31" i="36" s="1"/>
  <c r="F32" i="36" s="1"/>
  <c r="J19" i="36" l="1"/>
  <c r="J54" i="36"/>
  <c r="F123" i="36"/>
  <c r="I123" i="36" s="1"/>
  <c r="J123" i="36" s="1"/>
  <c r="F55" i="36"/>
  <c r="I55" i="36" s="1"/>
  <c r="J55" i="36" s="1"/>
  <c r="F20" i="36"/>
  <c r="I20" i="36" s="1"/>
  <c r="F30" i="36"/>
  <c r="A32" i="36"/>
  <c r="J20" i="36" l="1"/>
  <c r="F125" i="36"/>
  <c r="I125" i="36" s="1"/>
  <c r="F124" i="36"/>
  <c r="I124" i="36" s="1"/>
  <c r="J124" i="36" s="1"/>
  <c r="F56" i="36"/>
  <c r="I56" i="36" s="1"/>
  <c r="J56" i="36" s="1"/>
  <c r="F57" i="36"/>
  <c r="I57" i="36" s="1"/>
  <c r="I58" i="36" s="1"/>
  <c r="F21" i="36"/>
  <c r="I21" i="36" s="1"/>
  <c r="A33" i="36"/>
  <c r="A34" i="36" s="1"/>
  <c r="A40" i="36" s="1"/>
  <c r="A41" i="36" s="1"/>
  <c r="A43" i="36" s="1"/>
  <c r="A44" i="36" s="1"/>
  <c r="A45" i="36" s="1"/>
  <c r="J21" i="36" l="1"/>
  <c r="I126" i="36"/>
  <c r="J125" i="36"/>
  <c r="J133" i="36" s="1"/>
  <c r="J132" i="36" s="1"/>
  <c r="J134" i="36" s="1"/>
  <c r="J136" i="36" s="1"/>
  <c r="D68" i="25" s="1"/>
  <c r="J57" i="36"/>
  <c r="J65" i="36" s="1"/>
  <c r="J64" i="36" s="1"/>
  <c r="J66" i="36" s="1"/>
  <c r="J68" i="36" s="1"/>
  <c r="D66" i="25" s="1"/>
  <c r="F23" i="36"/>
  <c r="I23" i="36" s="1"/>
  <c r="F22" i="36"/>
  <c r="I22" i="36" s="1"/>
  <c r="F34" i="36"/>
  <c r="A46" i="36"/>
  <c r="A47" i="36" s="1"/>
  <c r="A48" i="36" s="1"/>
  <c r="A49" i="36" s="1"/>
  <c r="A50" i="36" s="1"/>
  <c r="A51" i="36" s="1"/>
  <c r="A52" i="36" s="1"/>
  <c r="A53" i="36" s="1"/>
  <c r="A54" i="36" s="1"/>
  <c r="A55" i="36" s="1"/>
  <c r="A56" i="36" s="1"/>
  <c r="A57" i="36" s="1"/>
  <c r="F62" i="36"/>
  <c r="J22" i="36" l="1"/>
  <c r="J23" i="36" s="1"/>
  <c r="J30" i="36" s="1"/>
  <c r="I24" i="36"/>
  <c r="A58" i="36"/>
  <c r="A60" i="36" s="1"/>
  <c r="F65" i="36"/>
  <c r="J32" i="36" l="1"/>
  <c r="J34" i="36" s="1"/>
  <c r="D69" i="25" s="1"/>
  <c r="A61" i="36"/>
  <c r="A62" i="36" s="1"/>
  <c r="F61" i="36" s="1"/>
  <c r="A63" i="36" l="1"/>
  <c r="A64" i="36" l="1"/>
  <c r="A65" i="36" s="1"/>
  <c r="F64" i="36" s="1"/>
  <c r="A66" i="36" l="1"/>
  <c r="F66" i="36"/>
  <c r="A67" i="36" l="1"/>
  <c r="A68" i="36" s="1"/>
  <c r="A74" i="36" s="1"/>
  <c r="A75" i="36" s="1"/>
  <c r="A77" i="36" s="1"/>
  <c r="A78" i="36" s="1"/>
  <c r="A79" i="36" s="1"/>
  <c r="D139" i="25"/>
  <c r="H31" i="21"/>
  <c r="F68" i="36" l="1"/>
  <c r="A80" i="36"/>
  <c r="A81" i="36" s="1"/>
  <c r="A82" i="36" s="1"/>
  <c r="A83" i="36" s="1"/>
  <c r="A84" i="36" s="1"/>
  <c r="A85" i="36" s="1"/>
  <c r="A86" i="36" s="1"/>
  <c r="A87" i="36" s="1"/>
  <c r="A88" i="36" s="1"/>
  <c r="A89" i="36" s="1"/>
  <c r="A90" i="36" s="1"/>
  <c r="A91" i="36" s="1"/>
  <c r="H33" i="21"/>
  <c r="H34" i="21" s="1"/>
  <c r="A92" i="36" l="1"/>
  <c r="A94" i="36" s="1"/>
  <c r="A95" i="36" s="1"/>
  <c r="F99" i="36"/>
  <c r="F51" i="4"/>
  <c r="F50" i="4"/>
  <c r="F49" i="4"/>
  <c r="D14" i="9"/>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3" i="31" s="1"/>
  <c r="D24" i="31" l="1"/>
  <c r="H24" i="21"/>
  <c r="H36" i="21" s="1"/>
  <c r="H55" i="21" s="1"/>
  <c r="D83" i="25" l="1"/>
  <c r="D82" i="25"/>
  <c r="D78" i="25"/>
  <c r="D72" i="25"/>
  <c r="D71" i="25"/>
  <c r="D70" i="25"/>
  <c r="D55" i="25"/>
  <c r="D50" i="25"/>
  <c r="A96" i="36" l="1"/>
  <c r="H69" i="23"/>
  <c r="G69" i="23"/>
  <c r="F69" i="23"/>
  <c r="H57" i="23"/>
  <c r="G57" i="23"/>
  <c r="F57" i="23"/>
  <c r="E57" i="23"/>
  <c r="F15" i="15"/>
  <c r="H70" i="23" s="1"/>
  <c r="F14" i="15"/>
  <c r="G70" i="23" s="1"/>
  <c r="F13" i="15"/>
  <c r="F70" i="23" s="1"/>
  <c r="F12" i="15"/>
  <c r="E70" i="23" s="1"/>
  <c r="A97" i="36" l="1"/>
  <c r="A98" i="36" s="1"/>
  <c r="D9" i="20"/>
  <c r="D10" i="20" s="1"/>
  <c r="D11" i="20" s="1"/>
  <c r="D12" i="20" s="1"/>
  <c r="D13" i="20" s="1"/>
  <c r="D14" i="20" s="1"/>
  <c r="D15" i="20" s="1"/>
  <c r="D16" i="20" s="1"/>
  <c r="D17" i="20" s="1"/>
  <c r="D18" i="20" s="1"/>
  <c r="D19" i="20" s="1"/>
  <c r="A108" i="36" l="1"/>
  <c r="A109" i="36" s="1"/>
  <c r="A111" i="36" s="1"/>
  <c r="A112" i="36" s="1"/>
  <c r="A113" i="36" s="1"/>
  <c r="F130" i="36" s="1"/>
  <c r="A99" i="36"/>
  <c r="A100" i="36" s="1"/>
  <c r="A101" i="36" s="1"/>
  <c r="A102" i="36" s="1"/>
  <c r="A114" i="36"/>
  <c r="A115" i="36" s="1"/>
  <c r="A116" i="36" s="1"/>
  <c r="A117" i="36" s="1"/>
  <c r="A118" i="36" s="1"/>
  <c r="A119" i="36" s="1"/>
  <c r="A120" i="36" s="1"/>
  <c r="A121" i="36" s="1"/>
  <c r="A122" i="36" s="1"/>
  <c r="A123" i="36" s="1"/>
  <c r="A124" i="36" s="1"/>
  <c r="A125" i="36" s="1"/>
  <c r="A12" i="15"/>
  <c r="A13" i="15" s="1"/>
  <c r="A14" i="15" s="1"/>
  <c r="A15" i="15" s="1"/>
  <c r="F133" i="36" l="1"/>
  <c r="A126" i="36"/>
  <c r="A128" i="36" s="1"/>
  <c r="A129" i="36" l="1"/>
  <c r="A130" i="36" s="1"/>
  <c r="F129" i="36" s="1"/>
  <c r="K26" i="26"/>
  <c r="O26" i="26" l="1"/>
  <c r="N26" i="26"/>
  <c r="A131" i="36"/>
  <c r="K27" i="26"/>
  <c r="D121" i="9"/>
  <c r="O27" i="26" l="1"/>
  <c r="N27" i="26"/>
  <c r="A132" i="36"/>
  <c r="A133" i="36" s="1"/>
  <c r="F132" i="36" s="1"/>
  <c r="K28" i="26"/>
  <c r="A3" i="31"/>
  <c r="O28" i="26" l="1"/>
  <c r="N28" i="26"/>
  <c r="A134" i="36"/>
  <c r="F134" i="36"/>
  <c r="K29" i="26"/>
  <c r="C15" i="31"/>
  <c r="O29" i="26" l="1"/>
  <c r="N29" i="26"/>
  <c r="N42" i="26" s="1"/>
  <c r="A135" i="36"/>
  <c r="A136" i="3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M19" i="30" s="1"/>
  <c r="H18" i="30"/>
  <c r="H19" i="30" s="1"/>
  <c r="I19" i="30" s="1"/>
  <c r="J19" i="30" s="1"/>
  <c r="J20"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J21" i="30" l="1"/>
  <c r="D19" i="30"/>
  <c r="J22" i="30"/>
  <c r="M44" i="30"/>
  <c r="F136" i="36"/>
  <c r="K31" i="26"/>
  <c r="O31" i="26" s="1"/>
  <c r="N19" i="30"/>
  <c r="N20" i="30" s="1"/>
  <c r="J23" i="30"/>
  <c r="C19" i="30"/>
  <c r="D20" i="30"/>
  <c r="O19" i="30"/>
  <c r="K19"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19" i="29"/>
  <c r="C20" i="29"/>
  <c r="C21" i="29"/>
  <c r="C22" i="29"/>
  <c r="C23" i="29"/>
  <c r="C24" i="29"/>
  <c r="C25" i="29"/>
  <c r="C26" i="29"/>
  <c r="C27" i="29"/>
  <c r="C28" i="29"/>
  <c r="C29" i="29"/>
  <c r="C30" i="29"/>
  <c r="C31" i="29"/>
  <c r="C32" i="29"/>
  <c r="C33" i="29"/>
  <c r="C34" i="29"/>
  <c r="C35" i="29"/>
  <c r="C36" i="29"/>
  <c r="C37" i="29"/>
  <c r="C38" i="29"/>
  <c r="C39" i="29"/>
  <c r="C40" i="29"/>
  <c r="C41" i="29"/>
  <c r="D18" i="29"/>
  <c r="C18" i="29"/>
  <c r="M19" i="29"/>
  <c r="M20" i="29" s="1"/>
  <c r="M21" i="29" s="1"/>
  <c r="M22" i="29" s="1"/>
  <c r="M23" i="29" s="1"/>
  <c r="M24" i="29" s="1"/>
  <c r="M25" i="29" s="1"/>
  <c r="M26" i="29" s="1"/>
  <c r="M27" i="29" s="1"/>
  <c r="M28" i="29" s="1"/>
  <c r="I19" i="29"/>
  <c r="J19" i="29" s="1"/>
  <c r="N18" i="29"/>
  <c r="J18" i="29"/>
  <c r="A8" i="29"/>
  <c r="A9" i="29" s="1"/>
  <c r="A10" i="29" s="1"/>
  <c r="A11" i="29" s="1"/>
  <c r="A12" i="29" s="1"/>
  <c r="A13" i="29" s="1"/>
  <c r="A14"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3" i="29"/>
  <c r="N19" i="29" l="1"/>
  <c r="E18" i="29"/>
  <c r="K32" i="26"/>
  <c r="O32" i="26" s="1"/>
  <c r="E19" i="29"/>
  <c r="E19" i="30"/>
  <c r="E20" i="30"/>
  <c r="N21" i="30"/>
  <c r="J24" i="30"/>
  <c r="C45" i="30"/>
  <c r="O20" i="30"/>
  <c r="O37" i="30"/>
  <c r="K20" i="30"/>
  <c r="O21" i="30"/>
  <c r="O23" i="30"/>
  <c r="O25" i="30"/>
  <c r="O27" i="30"/>
  <c r="O29" i="30"/>
  <c r="O31" i="30"/>
  <c r="O33" i="30"/>
  <c r="O35" i="30"/>
  <c r="D21" i="30"/>
  <c r="O22" i="30"/>
  <c r="O24" i="30"/>
  <c r="O26" i="30"/>
  <c r="O28" i="30"/>
  <c r="O30" i="30"/>
  <c r="O32" i="30"/>
  <c r="O34" i="30"/>
  <c r="O36" i="30"/>
  <c r="N28" i="29"/>
  <c r="M29" i="29"/>
  <c r="D19" i="29"/>
  <c r="N20" i="29"/>
  <c r="N21" i="29"/>
  <c r="I20" i="29"/>
  <c r="K33" i="26" l="1"/>
  <c r="O33" i="26" s="1"/>
  <c r="N22" i="30"/>
  <c r="E21" i="30"/>
  <c r="J25" i="30"/>
  <c r="K21" i="30"/>
  <c r="D22" i="30"/>
  <c r="O38" i="30"/>
  <c r="M30" i="29"/>
  <c r="N29" i="29"/>
  <c r="I21" i="29"/>
  <c r="D20" i="29"/>
  <c r="N22" i="29"/>
  <c r="J20" i="29"/>
  <c r="K34" i="26" l="1"/>
  <c r="O34" i="26" s="1"/>
  <c r="N23" i="30"/>
  <c r="E22" i="30"/>
  <c r="J26" i="30"/>
  <c r="O39" i="30"/>
  <c r="K22" i="30"/>
  <c r="D23" i="30"/>
  <c r="I22" i="29"/>
  <c r="D21" i="29"/>
  <c r="E20" i="29"/>
  <c r="M31" i="29"/>
  <c r="N30" i="29"/>
  <c r="N23" i="29"/>
  <c r="J21" i="29"/>
  <c r="K35" i="26" l="1"/>
  <c r="O35" i="26" s="1"/>
  <c r="N24" i="30"/>
  <c r="E23" i="30"/>
  <c r="J27" i="30"/>
  <c r="O40" i="30"/>
  <c r="K23" i="30"/>
  <c r="D24" i="30"/>
  <c r="M32" i="29"/>
  <c r="N31" i="29"/>
  <c r="E21" i="29"/>
  <c r="I23" i="29"/>
  <c r="D22" i="29"/>
  <c r="N24" i="29"/>
  <c r="J22" i="29"/>
  <c r="K36" i="26" l="1"/>
  <c r="O36" i="26" s="1"/>
  <c r="N25" i="30"/>
  <c r="E24" i="30"/>
  <c r="J28" i="30"/>
  <c r="O41" i="30"/>
  <c r="O42" i="30"/>
  <c r="K24" i="30"/>
  <c r="D25" i="30"/>
  <c r="I24" i="29"/>
  <c r="D23" i="29"/>
  <c r="N32" i="29"/>
  <c r="M33" i="29"/>
  <c r="E22" i="29"/>
  <c r="N25" i="29"/>
  <c r="J23" i="29"/>
  <c r="O45" i="30" l="1"/>
  <c r="K37" i="26"/>
  <c r="O37" i="26" s="1"/>
  <c r="N26" i="30"/>
  <c r="E25" i="30"/>
  <c r="J29" i="30"/>
  <c r="K25" i="30"/>
  <c r="D26" i="30"/>
  <c r="E23" i="29"/>
  <c r="M34" i="29"/>
  <c r="N33" i="29"/>
  <c r="I25" i="29"/>
  <c r="D24" i="29"/>
  <c r="N27" i="29"/>
  <c r="N26" i="29"/>
  <c r="J24" i="29"/>
  <c r="K38" i="26" l="1"/>
  <c r="O38" i="26" s="1"/>
  <c r="N27" i="30"/>
  <c r="E26" i="30"/>
  <c r="J30" i="30"/>
  <c r="K26" i="30"/>
  <c r="D27" i="30"/>
  <c r="M35" i="29"/>
  <c r="N34" i="29"/>
  <c r="E24" i="29"/>
  <c r="I26" i="29"/>
  <c r="D25" i="29"/>
  <c r="J25" i="29"/>
  <c r="K39" i="26" l="1"/>
  <c r="O39" i="26" s="1"/>
  <c r="N28" i="30"/>
  <c r="E27" i="30"/>
  <c r="J31" i="30"/>
  <c r="K27" i="30"/>
  <c r="D28" i="30"/>
  <c r="M36" i="29"/>
  <c r="N35" i="29"/>
  <c r="E25" i="29"/>
  <c r="I27" i="29"/>
  <c r="D26" i="29"/>
  <c r="J26" i="29"/>
  <c r="K41" i="26" l="1"/>
  <c r="O41" i="26" s="1"/>
  <c r="K40" i="26"/>
  <c r="O40" i="26" s="1"/>
  <c r="N29" i="30"/>
  <c r="E28" i="30"/>
  <c r="J32" i="30"/>
  <c r="K28" i="30"/>
  <c r="D29" i="30"/>
  <c r="E26" i="29"/>
  <c r="I28" i="29"/>
  <c r="D27" i="29"/>
  <c r="N36" i="29"/>
  <c r="M37" i="29"/>
  <c r="J27" i="29"/>
  <c r="O42" i="26" l="1"/>
  <c r="W30" i="26" s="1"/>
  <c r="N30" i="30"/>
  <c r="E29" i="30"/>
  <c r="J33" i="30"/>
  <c r="K29" i="30"/>
  <c r="D30" i="30"/>
  <c r="E27" i="29"/>
  <c r="D28" i="29"/>
  <c r="J28" i="29"/>
  <c r="I29" i="29"/>
  <c r="M38" i="29"/>
  <c r="N37" i="29"/>
  <c r="N31" i="30" l="1"/>
  <c r="E30" i="30"/>
  <c r="J34" i="30"/>
  <c r="K30" i="30"/>
  <c r="E28" i="29"/>
  <c r="N38" i="29"/>
  <c r="M39" i="29"/>
  <c r="J29" i="29"/>
  <c r="I30" i="29"/>
  <c r="D29" i="29"/>
  <c r="N32" i="30" l="1"/>
  <c r="E31" i="30"/>
  <c r="J35" i="30"/>
  <c r="D31" i="30"/>
  <c r="K31" i="30"/>
  <c r="D32" i="30"/>
  <c r="N39" i="29"/>
  <c r="M40" i="29"/>
  <c r="D30" i="29"/>
  <c r="I31" i="29"/>
  <c r="J30" i="29"/>
  <c r="E29" i="29"/>
  <c r="N33" i="30" l="1"/>
  <c r="E32" i="30"/>
  <c r="J36" i="30"/>
  <c r="K32" i="30"/>
  <c r="D33" i="30"/>
  <c r="I32" i="29"/>
  <c r="D31" i="29"/>
  <c r="J31" i="29"/>
  <c r="M41" i="29"/>
  <c r="N41" i="29" s="1"/>
  <c r="N40" i="29"/>
  <c r="E30" i="29"/>
  <c r="N34" i="30" l="1"/>
  <c r="E33" i="30"/>
  <c r="J37" i="30"/>
  <c r="K33" i="30"/>
  <c r="D34" i="30"/>
  <c r="E31" i="29"/>
  <c r="D32" i="29"/>
  <c r="I33" i="29"/>
  <c r="J32" i="29"/>
  <c r="N35" i="30" l="1"/>
  <c r="E34" i="30"/>
  <c r="J38" i="30"/>
  <c r="K34" i="30"/>
  <c r="I34" i="29"/>
  <c r="D33" i="29"/>
  <c r="J33" i="29"/>
  <c r="E32" i="29"/>
  <c r="N36" i="30" l="1"/>
  <c r="E35" i="30"/>
  <c r="J39" i="30"/>
  <c r="D35" i="30"/>
  <c r="K35" i="30"/>
  <c r="D36" i="30"/>
  <c r="E33" i="29"/>
  <c r="I35" i="29"/>
  <c r="D34" i="29"/>
  <c r="J34" i="29"/>
  <c r="N37" i="30" l="1"/>
  <c r="E36" i="30"/>
  <c r="J40" i="30"/>
  <c r="K36" i="30"/>
  <c r="D37" i="30"/>
  <c r="D35" i="29"/>
  <c r="J35" i="29"/>
  <c r="I36" i="29"/>
  <c r="E34" i="29"/>
  <c r="N38" i="30" l="1"/>
  <c r="E37" i="30"/>
  <c r="J41" i="30"/>
  <c r="K37" i="30"/>
  <c r="D38" i="30"/>
  <c r="D36" i="29"/>
  <c r="J36" i="29"/>
  <c r="I37" i="29"/>
  <c r="E35" i="29"/>
  <c r="N39" i="30" l="1"/>
  <c r="E38" i="30"/>
  <c r="J42" i="30"/>
  <c r="K38" i="30"/>
  <c r="D39" i="30"/>
  <c r="E36" i="29"/>
  <c r="J37" i="29"/>
  <c r="D37" i="29"/>
  <c r="I38" i="29"/>
  <c r="N40" i="30" l="1"/>
  <c r="E39" i="30"/>
  <c r="J45" i="30"/>
  <c r="K39" i="30"/>
  <c r="D40" i="30"/>
  <c r="E37" i="29"/>
  <c r="I39" i="29"/>
  <c r="D38" i="29"/>
  <c r="J38" i="29"/>
  <c r="N41" i="30" l="1"/>
  <c r="E40" i="30"/>
  <c r="K40" i="30"/>
  <c r="D41" i="30"/>
  <c r="I40" i="29"/>
  <c r="D39" i="29"/>
  <c r="J39" i="29"/>
  <c r="E38" i="29"/>
  <c r="N42" i="30" l="1"/>
  <c r="E41" i="30"/>
  <c r="K41" i="30"/>
  <c r="E39" i="29"/>
  <c r="I41" i="29"/>
  <c r="J40" i="29"/>
  <c r="D40" i="29"/>
  <c r="N45" i="30" l="1"/>
  <c r="E42" i="30"/>
  <c r="D42" i="30"/>
  <c r="D44" i="30" s="1"/>
  <c r="I44" i="30"/>
  <c r="K42" i="30"/>
  <c r="K45" i="30" s="1"/>
  <c r="J41" i="29"/>
  <c r="D41" i="29"/>
  <c r="E40" i="29"/>
  <c r="E45" i="30" l="1"/>
  <c r="E41" i="29"/>
  <c r="E50" i="23" l="1"/>
  <c r="E49" i="23"/>
  <c r="D111" i="9"/>
  <c r="A3" i="27"/>
  <c r="G208" i="25" l="1"/>
  <c r="D74" i="25"/>
  <c r="D75" i="25"/>
  <c r="I173" i="25"/>
  <c r="I166" i="25"/>
  <c r="I165" i="25"/>
  <c r="D207" i="25"/>
  <c r="D206" i="25"/>
  <c r="I202" i="25"/>
  <c r="I200" i="25"/>
  <c r="I197" i="25"/>
  <c r="I195" i="25"/>
  <c r="D189" i="25"/>
  <c r="D183" i="25"/>
  <c r="D184" i="25"/>
  <c r="D185" i="25"/>
  <c r="D182" i="25"/>
  <c r="D138" i="25"/>
  <c r="D137" i="25"/>
  <c r="D33" i="27"/>
  <c r="D35" i="27"/>
  <c r="D36" i="27"/>
  <c r="D37" i="27"/>
  <c r="D38" i="27"/>
  <c r="D32" i="27"/>
  <c r="D17" i="27"/>
  <c r="D18" i="27"/>
  <c r="D19" i="27"/>
  <c r="D20" i="27"/>
  <c r="D22" i="27"/>
  <c r="D23" i="27"/>
  <c r="F23" i="27" s="1"/>
  <c r="D25" i="27"/>
  <c r="D26" i="27"/>
  <c r="D16" i="27"/>
  <c r="D117" i="25"/>
  <c r="D116" i="25"/>
  <c r="D115"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E51" i="23" s="1"/>
  <c r="D123" i="9"/>
  <c r="G23" i="28" l="1"/>
  <c r="G24" i="28" s="1"/>
  <c r="A3" i="28"/>
  <c r="I26" i="25" l="1"/>
  <c r="D32" i="31"/>
  <c r="C220" i="25"/>
  <c r="K217" i="25"/>
  <c r="I214" i="25"/>
  <c r="G207" i="25"/>
  <c r="G206" i="25"/>
  <c r="D192" i="25"/>
  <c r="G190" i="25" s="1"/>
  <c r="I188" i="25"/>
  <c r="D186" i="25"/>
  <c r="G185" i="25"/>
  <c r="G184" i="25"/>
  <c r="G182" i="25"/>
  <c r="C159" i="25"/>
  <c r="G156" i="25"/>
  <c r="I153" i="25"/>
  <c r="D132" i="25"/>
  <c r="F127" i="25"/>
  <c r="F126" i="25"/>
  <c r="F123" i="25"/>
  <c r="I117" i="25"/>
  <c r="B116" i="25"/>
  <c r="B114" i="25"/>
  <c r="F108" i="25"/>
  <c r="F106" i="25"/>
  <c r="F104" i="25"/>
  <c r="F105" i="25" s="1"/>
  <c r="C94" i="25"/>
  <c r="K91" i="25"/>
  <c r="I88" i="25"/>
  <c r="F73" i="25"/>
  <c r="F71" i="25"/>
  <c r="F63" i="25" s="1"/>
  <c r="F55" i="25"/>
  <c r="B55" i="25"/>
  <c r="B60" i="25" s="1"/>
  <c r="F54" i="25"/>
  <c r="F78" i="25" s="1"/>
  <c r="B54" i="25"/>
  <c r="B59" i="25" s="1"/>
  <c r="C42" i="25"/>
  <c r="K39" i="25"/>
  <c r="I36" i="25"/>
  <c r="U26" i="26" l="1"/>
  <c r="U22" i="26"/>
  <c r="U18" i="26"/>
  <c r="U27" i="26"/>
  <c r="U29" i="26"/>
  <c r="U25" i="26"/>
  <c r="U21" i="26"/>
  <c r="U23" i="26"/>
  <c r="U28" i="26"/>
  <c r="U24" i="26"/>
  <c r="U20" i="26"/>
  <c r="U19" i="26"/>
  <c r="D136" i="25"/>
  <c r="D142" i="25" s="1"/>
  <c r="Z32" i="26"/>
  <c r="Z36" i="26"/>
  <c r="Z40" i="26"/>
  <c r="Z33" i="26"/>
  <c r="Z37" i="26"/>
  <c r="Z41" i="26"/>
  <c r="Z30" i="26"/>
  <c r="Z35" i="26"/>
  <c r="Z34" i="26"/>
  <c r="Z38" i="26"/>
  <c r="Z31" i="26"/>
  <c r="Z39" i="26"/>
  <c r="D143" i="25" l="1"/>
  <c r="H50" i="21"/>
  <c r="I122" i="9" l="1"/>
  <c r="D74" i="9"/>
  <c r="D73" i="9"/>
  <c r="D72" i="9"/>
  <c r="A71" i="9"/>
  <c r="A72" i="9" s="1"/>
  <c r="A73" i="9" s="1"/>
  <c r="A74" i="9" s="1"/>
  <c r="A75" i="9" s="1"/>
  <c r="F78" i="9"/>
  <c r="F76" i="9"/>
  <c r="F68" i="9" s="1"/>
  <c r="C65" i="9"/>
  <c r="C64" i="9"/>
  <c r="C63" i="9"/>
  <c r="C62" i="9"/>
  <c r="C61" i="9"/>
  <c r="D38" i="9"/>
  <c r="K35" i="9"/>
  <c r="I32" i="9"/>
  <c r="F14" i="9"/>
  <c r="D82" i="23" l="1"/>
  <c r="I80" i="23"/>
  <c r="I79" i="23"/>
  <c r="I78" i="23"/>
  <c r="I77" i="23"/>
  <c r="I76" i="23"/>
  <c r="A75" i="23"/>
  <c r="D75" i="9"/>
  <c r="D71" i="9"/>
  <c r="D70" i="23"/>
  <c r="D77" i="9" s="1"/>
  <c r="I77" i="9" s="1"/>
  <c r="C70" i="23"/>
  <c r="D76" i="9" s="1"/>
  <c r="I76" i="9" s="1"/>
  <c r="I46" i="23"/>
  <c r="D57" i="9" s="1"/>
  <c r="H46" i="23"/>
  <c r="D56" i="9" s="1"/>
  <c r="G46" i="23"/>
  <c r="D55" i="9" s="1"/>
  <c r="F46" i="23"/>
  <c r="D54" i="9" s="1"/>
  <c r="E46" i="23"/>
  <c r="D53" i="9" s="1"/>
  <c r="D46" i="23"/>
  <c r="D88" i="9" s="1"/>
  <c r="I23" i="23"/>
  <c r="D83" i="9" s="1"/>
  <c r="H23" i="23"/>
  <c r="G23" i="23"/>
  <c r="D49" i="9" s="1"/>
  <c r="D231" i="25" s="1"/>
  <c r="F23" i="23"/>
  <c r="D48" i="9" s="1"/>
  <c r="E23" i="23"/>
  <c r="D47" i="9" s="1"/>
  <c r="D229" i="25" s="1"/>
  <c r="D23" i="23"/>
  <c r="D46" i="9" s="1"/>
  <c r="C23" i="23"/>
  <c r="D45" i="9" s="1"/>
  <c r="D227" i="25" s="1"/>
  <c r="I82" i="23" l="1"/>
  <c r="D78" i="9" s="1"/>
  <c r="D73" i="25" s="1"/>
  <c r="I73" i="25"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0" i="25"/>
  <c r="I71" i="25"/>
  <c r="I12" i="26"/>
  <c r="I72" i="25"/>
  <c r="D63" i="25"/>
  <c r="I63" i="25" s="1"/>
  <c r="D68" i="9"/>
  <c r="I68" i="9" s="1"/>
  <c r="I78" i="9" l="1"/>
  <c r="I18" i="26"/>
  <c r="E18" i="26" s="1"/>
  <c r="S18" i="26" s="1"/>
  <c r="I29" i="26"/>
  <c r="I19" i="26"/>
  <c r="E19" i="26" s="1"/>
  <c r="S19" i="26" s="1"/>
  <c r="I20" i="26"/>
  <c r="E20" i="26" s="1"/>
  <c r="S20" i="26" s="1"/>
  <c r="D20" i="26"/>
  <c r="C46" i="23"/>
  <c r="D87" i="9" s="1"/>
  <c r="H43" i="21"/>
  <c r="H52" i="21" s="1"/>
  <c r="D25" i="31" s="1"/>
  <c r="D26" i="31" s="1"/>
  <c r="D27" i="31" s="1"/>
  <c r="C11" i="21"/>
  <c r="B10" i="21"/>
  <c r="A8" i="21"/>
  <c r="D21" i="26" l="1"/>
  <c r="I21" i="26"/>
  <c r="E21" i="26" s="1"/>
  <c r="S21" i="26" s="1"/>
  <c r="H56" i="21"/>
  <c r="H57" i="21"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1" i="21" s="1"/>
  <c r="A22" i="21" s="1"/>
  <c r="A23" i="21" s="1"/>
  <c r="A24" i="21" s="1"/>
  <c r="A28" i="21" s="1"/>
  <c r="A29" i="21" s="1"/>
  <c r="A30" i="21" s="1"/>
  <c r="A31" i="21" s="1"/>
  <c r="A32" i="21" s="1"/>
  <c r="A33" i="21" s="1"/>
  <c r="A34" i="21" s="1"/>
  <c r="A35" i="21" s="1"/>
  <c r="A36" i="21" s="1"/>
  <c r="A40" i="21" s="1"/>
  <c r="A41" i="21" s="1"/>
  <c r="A42" i="21" s="1"/>
  <c r="A43" i="21" s="1"/>
  <c r="A46" i="21" s="1"/>
  <c r="A47" i="21" s="1"/>
  <c r="A48" i="21" s="1"/>
  <c r="A49" i="21" s="1"/>
  <c r="S42" i="26" l="1"/>
  <c r="J27" i="26"/>
  <c r="F27" i="26" s="1"/>
  <c r="D30" i="26"/>
  <c r="I30" i="26"/>
  <c r="E30" i="26" s="1"/>
  <c r="X30" i="26" s="1"/>
  <c r="A50" i="21"/>
  <c r="A52" i="21" s="1"/>
  <c r="A55" i="21" s="1"/>
  <c r="A56" i="21" s="1"/>
  <c r="A57"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F11" i="4"/>
  <c r="G11" i="4" s="1"/>
  <c r="G10" i="4"/>
  <c r="H103" i="16"/>
  <c r="H104" i="16" s="1"/>
  <c r="D113" i="9"/>
  <c r="D23" i="16"/>
  <c r="D110" i="9"/>
  <c r="D24" i="27" l="1"/>
  <c r="D116" i="9"/>
  <c r="D19" i="31"/>
  <c r="D29" i="31" s="1"/>
  <c r="D35" i="31" s="1"/>
  <c r="K52" i="4"/>
  <c r="J28" i="26"/>
  <c r="F28" i="26" s="1"/>
  <c r="D31" i="26"/>
  <c r="I31" i="26"/>
  <c r="E31" i="26" s="1"/>
  <c r="X31" i="26" s="1"/>
  <c r="D21" i="27"/>
  <c r="D27" i="27" s="1"/>
  <c r="I22" i="9"/>
  <c r="N45" i="4"/>
  <c r="D14" i="25" s="1"/>
  <c r="I14" i="25" s="1"/>
  <c r="J52" i="4"/>
  <c r="G52" i="4"/>
  <c r="H52" i="4"/>
  <c r="L52" i="4"/>
  <c r="I52" i="4"/>
  <c r="M52" i="4"/>
  <c r="G12" i="4"/>
  <c r="D13" i="9" s="1"/>
  <c r="D13" i="25" s="1"/>
  <c r="I13" i="25" s="1"/>
  <c r="F12" i="4"/>
  <c r="D37" i="31" l="1"/>
  <c r="D36" i="31"/>
  <c r="I17" i="25"/>
  <c r="J29" i="26"/>
  <c r="F29" i="26" s="1"/>
  <c r="D32" i="26"/>
  <c r="I32" i="26"/>
  <c r="E32" i="26" s="1"/>
  <c r="X32" i="26" s="1"/>
  <c r="N52" i="4"/>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4" i="25" s="1"/>
  <c r="D118" i="25" s="1"/>
  <c r="I43" i="26"/>
  <c r="H44" i="26"/>
  <c r="D49" i="25" s="1"/>
  <c r="D228" i="25" s="1"/>
  <c r="D232" i="25" s="1"/>
  <c r="F113" i="9"/>
  <c r="I219" i="9"/>
  <c r="I158" i="9"/>
  <c r="I93" i="9"/>
  <c r="K222" i="9"/>
  <c r="D225" i="9"/>
  <c r="G161" i="9"/>
  <c r="D164" i="9"/>
  <c r="D99" i="9"/>
  <c r="K96" i="9"/>
  <c r="J40" i="26" l="1"/>
  <c r="F40" i="26" s="1"/>
  <c r="D51" i="25"/>
  <c r="G212" i="9"/>
  <c r="G211" i="9"/>
  <c r="I206" i="9"/>
  <c r="D197" i="9"/>
  <c r="G195" i="9" s="1"/>
  <c r="I193" i="9"/>
  <c r="D191" i="9"/>
  <c r="G190" i="9"/>
  <c r="G189" i="9"/>
  <c r="G187" i="9"/>
  <c r="I177" i="9"/>
  <c r="I169" i="9"/>
  <c r="D137" i="9"/>
  <c r="D134" i="9"/>
  <c r="D39" i="27" s="1"/>
  <c r="F132" i="9"/>
  <c r="C132" i="9"/>
  <c r="F131" i="9"/>
  <c r="F128" i="9"/>
  <c r="C128" i="9"/>
  <c r="B121" i="9"/>
  <c r="B119" i="9"/>
  <c r="D86" i="9"/>
  <c r="D89" i="9" s="1"/>
  <c r="I115" i="9"/>
  <c r="F111" i="9"/>
  <c r="F109" i="9"/>
  <c r="F110" i="9" s="1"/>
  <c r="D81" i="9"/>
  <c r="D65" i="9"/>
  <c r="D239" i="25" s="1"/>
  <c r="D64" i="9"/>
  <c r="D238" i="25" s="1"/>
  <c r="D63" i="9"/>
  <c r="D237" i="25" s="1"/>
  <c r="D235" i="25"/>
  <c r="D58" i="9"/>
  <c r="F57" i="9"/>
  <c r="B57" i="9"/>
  <c r="B65" i="9" s="1"/>
  <c r="F56" i="9"/>
  <c r="B56" i="9"/>
  <c r="B64" i="9" s="1"/>
  <c r="F55" i="9"/>
  <c r="B55" i="9"/>
  <c r="B63" i="9" s="1"/>
  <c r="F54" i="9"/>
  <c r="F83" i="9" s="1"/>
  <c r="B54" i="9"/>
  <c r="B62" i="9" s="1"/>
  <c r="F53" i="9"/>
  <c r="B53" i="9"/>
  <c r="B61" i="9" s="1"/>
  <c r="D50" i="9"/>
  <c r="J41" i="26" l="1"/>
  <c r="F41" i="26" s="1"/>
  <c r="F44" i="26" s="1"/>
  <c r="D141" i="9"/>
  <c r="D148" i="9" s="1"/>
  <c r="D140" i="25"/>
  <c r="D144" i="25" s="1"/>
  <c r="I208" i="9"/>
  <c r="D213" i="9" s="1"/>
  <c r="D214" i="9" s="1"/>
  <c r="E212" i="9" s="1"/>
  <c r="I212" i="9" s="1"/>
  <c r="I201" i="25"/>
  <c r="I203" i="25" s="1"/>
  <c r="I164" i="25"/>
  <c r="I179" i="9"/>
  <c r="I181" i="9" s="1"/>
  <c r="D66" i="9"/>
  <c r="I172" i="9"/>
  <c r="I174" i="9" s="1"/>
  <c r="D91" i="9" l="1"/>
  <c r="D153" i="9" s="1"/>
  <c r="D147" i="9"/>
  <c r="I182" i="9"/>
  <c r="I183" i="9" s="1"/>
  <c r="E188" i="9"/>
  <c r="G188" i="9" s="1"/>
  <c r="G191" i="9" s="1"/>
  <c r="I191" i="9" s="1"/>
  <c r="G14" i="9"/>
  <c r="J44" i="26"/>
  <c r="D54" i="25" s="1"/>
  <c r="D56" i="25" s="1"/>
  <c r="D208" i="25"/>
  <c r="D209" i="25" s="1"/>
  <c r="E206" i="25" s="1"/>
  <c r="I206" i="25" s="1"/>
  <c r="G46" i="9"/>
  <c r="G119" i="9"/>
  <c r="G83" i="9"/>
  <c r="G13" i="9"/>
  <c r="G54" i="9"/>
  <c r="D149" i="9"/>
  <c r="E213" i="9"/>
  <c r="M11" i="30" s="1"/>
  <c r="O47" i="30" s="1"/>
  <c r="E211" i="9"/>
  <c r="I211" i="9" s="1"/>
  <c r="D59" i="25" l="1"/>
  <c r="D61" i="25" s="1"/>
  <c r="E207" i="25"/>
  <c r="I207" i="25" s="1"/>
  <c r="G48" i="9"/>
  <c r="G113" i="9"/>
  <c r="G108" i="9"/>
  <c r="G128" i="9"/>
  <c r="G112" i="9"/>
  <c r="G56" i="9"/>
  <c r="G127" i="9"/>
  <c r="G110" i="9"/>
  <c r="G120" i="9"/>
  <c r="G109" i="9"/>
  <c r="E208" i="25"/>
  <c r="I208" i="25" s="1"/>
  <c r="G107" i="9"/>
  <c r="G106" i="9"/>
  <c r="G105" i="9"/>
  <c r="G111" i="9"/>
  <c r="G87" i="9"/>
  <c r="I87" i="9" s="1"/>
  <c r="M11" i="29"/>
  <c r="O19" i="29" s="1"/>
  <c r="I11" i="30"/>
  <c r="K47" i="30" s="1"/>
  <c r="F47" i="30" s="1"/>
  <c r="I212" i="25" s="1"/>
  <c r="I213" i="9"/>
  <c r="I214" i="9" s="1"/>
  <c r="I11" i="29"/>
  <c r="K19" i="29" s="1"/>
  <c r="I13" i="9"/>
  <c r="I14" i="9"/>
  <c r="I195" i="9"/>
  <c r="K195" i="9" s="1"/>
  <c r="I46" i="9"/>
  <c r="O37" i="29" l="1"/>
  <c r="O30" i="29"/>
  <c r="O36" i="29"/>
  <c r="O23" i="29"/>
  <c r="I209" i="25"/>
  <c r="D133" i="25" s="1"/>
  <c r="O33" i="29"/>
  <c r="O28" i="29"/>
  <c r="O41" i="29"/>
  <c r="O32" i="29"/>
  <c r="O20" i="29"/>
  <c r="K33" i="29"/>
  <c r="D236" i="25"/>
  <c r="D240" i="25" s="1"/>
  <c r="K41" i="29"/>
  <c r="K25" i="29"/>
  <c r="O40" i="29"/>
  <c r="O34" i="29"/>
  <c r="O25" i="29"/>
  <c r="O29" i="29"/>
  <c r="O18" i="29"/>
  <c r="O38" i="29"/>
  <c r="O26" i="29"/>
  <c r="O24" i="29"/>
  <c r="O21" i="29"/>
  <c r="D138" i="9"/>
  <c r="D146" i="9" s="1"/>
  <c r="D150" i="9" s="1"/>
  <c r="D155" i="9" s="1"/>
  <c r="K38" i="29"/>
  <c r="K30" i="29"/>
  <c r="F30" i="29" s="1"/>
  <c r="K22" i="29"/>
  <c r="O39" i="29"/>
  <c r="O35" i="29"/>
  <c r="O27" i="29"/>
  <c r="O31" i="29"/>
  <c r="O22" i="29"/>
  <c r="K37" i="29"/>
  <c r="F37" i="29" s="1"/>
  <c r="K29" i="29"/>
  <c r="K21" i="29"/>
  <c r="K34" i="29"/>
  <c r="F34" i="29" s="1"/>
  <c r="K26" i="29"/>
  <c r="F26" i="29" s="1"/>
  <c r="K18" i="29"/>
  <c r="G49" i="9"/>
  <c r="I49" i="9" s="1"/>
  <c r="G114" i="9"/>
  <c r="G57" i="9"/>
  <c r="G121" i="9"/>
  <c r="K40" i="29"/>
  <c r="K36" i="29"/>
  <c r="K32" i="29"/>
  <c r="F32" i="29" s="1"/>
  <c r="K28" i="29"/>
  <c r="K24" i="29"/>
  <c r="K20" i="29"/>
  <c r="K39" i="29"/>
  <c r="K35" i="29"/>
  <c r="K31" i="29"/>
  <c r="K27" i="29"/>
  <c r="K23" i="29"/>
  <c r="F29" i="29"/>
  <c r="F19" i="29"/>
  <c r="I17" i="9"/>
  <c r="I48" i="9"/>
  <c r="I54" i="9"/>
  <c r="I62" i="9" s="1"/>
  <c r="I105" i="9"/>
  <c r="F31" i="29" l="1"/>
  <c r="F40" i="29"/>
  <c r="F21" i="29"/>
  <c r="F18" i="29"/>
  <c r="F28" i="29"/>
  <c r="F36" i="29"/>
  <c r="F27" i="29"/>
  <c r="F20" i="29"/>
  <c r="F24" i="29"/>
  <c r="F33" i="29"/>
  <c r="F23" i="29"/>
  <c r="F25" i="29"/>
  <c r="F41" i="29"/>
  <c r="F22" i="29"/>
  <c r="F35" i="29"/>
  <c r="F38" i="29"/>
  <c r="F39" i="29"/>
  <c r="I111" i="9"/>
  <c r="I106" i="9"/>
  <c r="I107" i="9"/>
  <c r="I50" i="9"/>
  <c r="G50" i="9" s="1"/>
  <c r="I57" i="9"/>
  <c r="I65" i="9" s="1"/>
  <c r="I56" i="9"/>
  <c r="I119" i="9"/>
  <c r="I83" i="9"/>
  <c r="G88" i="9" l="1"/>
  <c r="I88" i="9" s="1"/>
  <c r="G133" i="9"/>
  <c r="I133" i="9" s="1"/>
  <c r="G132" i="9"/>
  <c r="G130" i="9"/>
  <c r="I130" i="9" s="1"/>
  <c r="I112" i="9"/>
  <c r="I113" i="9"/>
  <c r="I58" i="9"/>
  <c r="I121" i="9"/>
  <c r="I114" i="9"/>
  <c r="I132" i="9"/>
  <c r="I108" i="9"/>
  <c r="D12" i="27" l="1"/>
  <c r="I120" i="9"/>
  <c r="I123" i="9" s="1"/>
  <c r="I110" i="9"/>
  <c r="I109" i="9"/>
  <c r="E26" i="27" l="1"/>
  <c r="I116" i="9"/>
  <c r="I86" i="9" s="1"/>
  <c r="I89" i="9" s="1"/>
  <c r="G149" i="9"/>
  <c r="G79" i="9"/>
  <c r="G72" i="9"/>
  <c r="G148" i="9"/>
  <c r="G147" i="9"/>
  <c r="I147" i="9" s="1"/>
  <c r="G74" i="9"/>
  <c r="G80" i="9"/>
  <c r="I80" i="9" s="1"/>
  <c r="G73" i="9"/>
  <c r="G75" i="9"/>
  <c r="I79" i="9"/>
  <c r="E20" i="27"/>
  <c r="E24" i="27"/>
  <c r="E19" i="27"/>
  <c r="E38" i="27"/>
  <c r="E25" i="27"/>
  <c r="E21" i="27"/>
  <c r="E17" i="27"/>
  <c r="E18" i="27"/>
  <c r="E33" i="27"/>
  <c r="E37" i="27"/>
  <c r="E35" i="27"/>
  <c r="E36" i="27"/>
  <c r="I128" i="9"/>
  <c r="I127" i="9"/>
  <c r="I72" i="9" l="1"/>
  <c r="I148" i="9"/>
  <c r="I149" i="9"/>
  <c r="I75" i="9"/>
  <c r="I74" i="9"/>
  <c r="I73" i="9"/>
  <c r="I134" i="9"/>
  <c r="I81" i="9" l="1"/>
  <c r="I91" i="9" s="1"/>
  <c r="I153" i="9" l="1"/>
  <c r="I146" i="9" s="1"/>
  <c r="I150" i="9" s="1"/>
  <c r="I155" i="9" s="1"/>
  <c r="I10" i="9" s="1"/>
  <c r="I19" i="9" l="1"/>
  <c r="D25" i="9" s="1"/>
  <c r="I167" i="25"/>
  <c r="I169" i="25" s="1"/>
  <c r="G67" i="25" s="1"/>
  <c r="D27" i="9" l="1"/>
  <c r="D26" i="9"/>
  <c r="G228" i="25"/>
  <c r="I228" i="25" s="1"/>
  <c r="G114" i="25"/>
  <c r="G54" i="25"/>
  <c r="G49" i="25"/>
  <c r="G78" i="25"/>
  <c r="I177" i="25"/>
  <c r="E183" i="25"/>
  <c r="G183" i="25" s="1"/>
  <c r="G186" i="25" s="1"/>
  <c r="I186" i="25" s="1"/>
  <c r="D28" i="9" l="1"/>
  <c r="D30" i="9" s="1"/>
  <c r="D29" i="9"/>
  <c r="D31" i="9" s="1"/>
  <c r="G236" i="25"/>
  <c r="I236" i="25" s="1"/>
  <c r="G230" i="25"/>
  <c r="I230" i="25" s="1"/>
  <c r="G108" i="25"/>
  <c r="G103" i="25"/>
  <c r="G107" i="25"/>
  <c r="G55" i="25"/>
  <c r="G105" i="25"/>
  <c r="G50" i="25"/>
  <c r="G104" i="25"/>
  <c r="I54" i="25"/>
  <c r="I49" i="25"/>
  <c r="I190" i="25"/>
  <c r="K190" i="25" s="1"/>
  <c r="I114" i="25"/>
  <c r="I78" i="25"/>
  <c r="G238" i="25" l="1"/>
  <c r="I238" i="25" s="1"/>
  <c r="G109" i="25"/>
  <c r="G231" i="25"/>
  <c r="I59" i="25"/>
  <c r="I50" i="25"/>
  <c r="G239" i="25" l="1"/>
  <c r="I239" i="25" s="1"/>
  <c r="I240" i="25" s="1"/>
  <c r="G240" i="25" s="1"/>
  <c r="J95" i="36" s="1"/>
  <c r="J96" i="36" s="1"/>
  <c r="I231" i="25"/>
  <c r="I232" i="25" s="1"/>
  <c r="G232" i="25" s="1"/>
  <c r="I55" i="25"/>
  <c r="I60" i="25" s="1"/>
  <c r="I51" i="25"/>
  <c r="G127" i="25" l="1"/>
  <c r="G125" i="25"/>
  <c r="G83" i="25"/>
  <c r="I83" i="25" s="1"/>
  <c r="G128" i="25"/>
  <c r="G51" i="25"/>
  <c r="G142" i="25"/>
  <c r="G69" i="25"/>
  <c r="G68" i="25"/>
  <c r="G144" i="25"/>
  <c r="G74" i="25"/>
  <c r="I74" i="25" s="1"/>
  <c r="G143" i="25"/>
  <c r="G70" i="25"/>
  <c r="G61" i="25"/>
  <c r="G75" i="25"/>
  <c r="I61" i="25"/>
  <c r="I56" i="25"/>
  <c r="G115" i="25"/>
  <c r="G116" i="25"/>
  <c r="I116" i="25" s="1"/>
  <c r="F13" i="27" l="1"/>
  <c r="D107" i="25"/>
  <c r="I115" i="25"/>
  <c r="I118" i="25" s="1"/>
  <c r="G122" i="25"/>
  <c r="F20" i="27" l="1"/>
  <c r="F32" i="27"/>
  <c r="D122" i="25"/>
  <c r="F35" i="27"/>
  <c r="D125" i="25" s="1"/>
  <c r="I125" i="25" s="1"/>
  <c r="F24" i="27"/>
  <c r="D108" i="25" s="1"/>
  <c r="F26" i="27"/>
  <c r="D110" i="25" s="1"/>
  <c r="I110" i="25" s="1"/>
  <c r="P27" i="26"/>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89" i="36" s="1"/>
  <c r="I89" i="36" s="1"/>
  <c r="Q35" i="26"/>
  <c r="W35" i="26" s="1"/>
  <c r="Y35" i="26" s="1"/>
  <c r="AA35" i="26" s="1"/>
  <c r="H85" i="36" s="1"/>
  <c r="I85" i="36" s="1"/>
  <c r="Q31" i="26"/>
  <c r="W31" i="26" s="1"/>
  <c r="Y31" i="26" s="1"/>
  <c r="AA31" i="26" s="1"/>
  <c r="H81" i="36" s="1"/>
  <c r="I81" i="36" s="1"/>
  <c r="Q38" i="26"/>
  <c r="W38" i="26" s="1"/>
  <c r="Y38" i="26" s="1"/>
  <c r="AA38" i="26" s="1"/>
  <c r="H88" i="36" s="1"/>
  <c r="I88" i="36" s="1"/>
  <c r="Q34" i="26"/>
  <c r="W34" i="26" s="1"/>
  <c r="Y34" i="26" s="1"/>
  <c r="AA34" i="26" s="1"/>
  <c r="H84" i="36" s="1"/>
  <c r="I84" i="36" s="1"/>
  <c r="Q41" i="26"/>
  <c r="W41" i="26" s="1"/>
  <c r="Y41" i="26" s="1"/>
  <c r="AA41" i="26" s="1"/>
  <c r="H91" i="36" s="1"/>
  <c r="I91" i="36" s="1"/>
  <c r="Q37" i="26"/>
  <c r="W37" i="26" s="1"/>
  <c r="Y37" i="26" s="1"/>
  <c r="AA37" i="26" s="1"/>
  <c r="H87" i="36" s="1"/>
  <c r="I87" i="36" s="1"/>
  <c r="Q33" i="26"/>
  <c r="W33" i="26" s="1"/>
  <c r="Y33" i="26" s="1"/>
  <c r="AA33" i="26" s="1"/>
  <c r="H83" i="36" s="1"/>
  <c r="I83" i="36" s="1"/>
  <c r="Q40" i="26"/>
  <c r="W40" i="26" s="1"/>
  <c r="Y40" i="26" s="1"/>
  <c r="AA40" i="26" s="1"/>
  <c r="H90" i="36" s="1"/>
  <c r="I90" i="36" s="1"/>
  <c r="Q36" i="26"/>
  <c r="W36" i="26" s="1"/>
  <c r="Y36" i="26" s="1"/>
  <c r="AA36" i="26" s="1"/>
  <c r="H86" i="36" s="1"/>
  <c r="I86" i="36" s="1"/>
  <c r="Q32" i="26"/>
  <c r="W32" i="26" s="1"/>
  <c r="Y32" i="26" s="1"/>
  <c r="AA32" i="26" s="1"/>
  <c r="H82" i="36" s="1"/>
  <c r="I82" i="36" s="1"/>
  <c r="F33" i="27"/>
  <c r="D123" i="25" s="1"/>
  <c r="F37" i="27"/>
  <c r="D127" i="25" s="1"/>
  <c r="I127" i="25" s="1"/>
  <c r="F19" i="27"/>
  <c r="D103" i="25" s="1"/>
  <c r="I103" i="25" s="1"/>
  <c r="F18" i="27"/>
  <c r="D102" i="25" s="1"/>
  <c r="F17" i="27"/>
  <c r="D101" i="25" s="1"/>
  <c r="F16" i="27"/>
  <c r="D104" i="25"/>
  <c r="I104" i="25" s="1"/>
  <c r="F36" i="27"/>
  <c r="D126" i="25" s="1"/>
  <c r="F25" i="27"/>
  <c r="D109" i="25" s="1"/>
  <c r="I109" i="25" s="1"/>
  <c r="F38" i="27"/>
  <c r="D128" i="25" s="1"/>
  <c r="I128" i="25" s="1"/>
  <c r="F21" i="27"/>
  <c r="D105" i="25" s="1"/>
  <c r="I105" i="25" s="1"/>
  <c r="F22" i="27"/>
  <c r="D106" i="25" s="1"/>
  <c r="I75" i="25"/>
  <c r="I142" i="25"/>
  <c r="G123" i="25"/>
  <c r="V18" i="26" l="1"/>
  <c r="T42" i="26"/>
  <c r="V42" i="26" s="1"/>
  <c r="J97" i="36" s="1"/>
  <c r="J98" i="36" s="1"/>
  <c r="W42" i="26"/>
  <c r="Y30" i="26"/>
  <c r="R42" i="26"/>
  <c r="P42" i="26"/>
  <c r="Q42" i="26"/>
  <c r="I123" i="25"/>
  <c r="D100" i="25"/>
  <c r="I172" i="25" s="1"/>
  <c r="I174" i="25" s="1"/>
  <c r="I176" i="25" s="1"/>
  <c r="I178" i="25" s="1"/>
  <c r="F27" i="27"/>
  <c r="D111" i="25" s="1"/>
  <c r="F39" i="27"/>
  <c r="D129" i="25"/>
  <c r="I122" i="25"/>
  <c r="I143" i="25"/>
  <c r="I144" i="25"/>
  <c r="I69" i="25"/>
  <c r="I70" i="25"/>
  <c r="I68" i="25"/>
  <c r="D81" i="25" l="1"/>
  <c r="D84" i="25" s="1"/>
  <c r="AA30" i="26"/>
  <c r="Y42" i="26"/>
  <c r="I129" i="25"/>
  <c r="G101" i="25"/>
  <c r="G100" i="25"/>
  <c r="G106" i="25"/>
  <c r="G82" i="25"/>
  <c r="I82" i="25" s="1"/>
  <c r="G102" i="25"/>
  <c r="H80" i="36" l="1"/>
  <c r="AA42" i="26"/>
  <c r="I100" i="25"/>
  <c r="H92" i="36" l="1"/>
  <c r="I80" i="36"/>
  <c r="J80" i="36" s="1"/>
  <c r="I101" i="25"/>
  <c r="I102" i="25"/>
  <c r="I106" i="25"/>
  <c r="J81" i="36" l="1"/>
  <c r="J82" i="36" s="1"/>
  <c r="J83" i="36" s="1"/>
  <c r="J84" i="36" s="1"/>
  <c r="J85" i="36" s="1"/>
  <c r="J86" i="36" s="1"/>
  <c r="J87" i="36" s="1"/>
  <c r="J88" i="36" s="1"/>
  <c r="J89" i="36" s="1"/>
  <c r="J90" i="36" s="1"/>
  <c r="J91" i="36" s="1"/>
  <c r="I92" i="36"/>
  <c r="I108" i="25"/>
  <c r="I107" i="25"/>
  <c r="J99" i="36" l="1"/>
  <c r="J100" i="36" s="1"/>
  <c r="J102" i="36" s="1"/>
  <c r="D67" i="25" s="1"/>
  <c r="I111" i="25"/>
  <c r="I81" i="25" s="1"/>
  <c r="I84" i="25" s="1"/>
  <c r="I67" i="25" l="1"/>
  <c r="I76" i="25" s="1"/>
  <c r="I86" i="25" s="1"/>
  <c r="I148" i="25" s="1"/>
  <c r="I141" i="25" s="1"/>
  <c r="I145" i="25" s="1"/>
  <c r="I150" i="25" s="1"/>
  <c r="I10" i="25" s="1"/>
  <c r="I21" i="25" s="1"/>
  <c r="D29" i="25" s="1"/>
  <c r="D76" i="25"/>
  <c r="D86" i="25" s="1"/>
  <c r="D148" i="25" s="1"/>
  <c r="D141" i="25" l="1"/>
  <c r="D145" i="25" s="1"/>
  <c r="D150" i="25" s="1"/>
  <c r="I23" i="25"/>
  <c r="D30" i="25" l="1"/>
  <c r="D31" i="25"/>
  <c r="D33" i="25" l="1"/>
  <c r="D35" i="25" s="1"/>
  <c r="D32" i="25"/>
  <c r="D34" i="25" s="1"/>
</calcChain>
</file>

<file path=xl/sharedStrings.xml><?xml version="1.0" encoding="utf-8"?>
<sst xmlns="http://schemas.openxmlformats.org/spreadsheetml/2006/main" count="2107" uniqueCount="1060">
  <si>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</si>
  <si>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</si>
  <si>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</si>
  <si>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</si>
  <si>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</si>
  <si>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</si>
  <si>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</si>
  <si>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</si>
  <si>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</si>
  <si>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</si>
  <si>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</si>
  <si>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</si>
  <si>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</si>
  <si>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</si>
  <si>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</si>
  <si>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</si>
  <si>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</si>
  <si>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</si>
  <si>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</si>
  <si>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</si>
  <si>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</si>
  <si>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</si>
  <si>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</si>
  <si>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</si>
  <si>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</si>
  <si>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</si>
  <si>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</si>
  <si>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</si>
  <si>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</si>
  <si>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</si>
  <si>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</si>
  <si>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</si>
  <si>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</si>
  <si>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356.1</t>
  </si>
  <si>
    <t>GP=</t>
  </si>
  <si>
    <t>NP=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</si>
  <si>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</si>
  <si>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</si>
  <si>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</si>
  <si>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</si>
  <si>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</si>
  <si>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</si>
  <si>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</si>
  <si>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</si>
  <si>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</si>
  <si>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</si>
  <si>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</si>
  <si>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</si>
  <si>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</si>
  <si>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</si>
  <si>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</si>
  <si>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</si>
  <si>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</si>
  <si>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</si>
  <si>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</si>
  <si>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</si>
  <si>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</si>
  <si>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</si>
  <si>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</si>
  <si>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</si>
  <si>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</si>
  <si>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</si>
  <si>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</si>
  <si>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</si>
  <si>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</si>
  <si>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</si>
  <si>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</si>
  <si>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</si>
  <si>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</si>
  <si>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</si>
  <si>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</si>
  <si>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</si>
  <si>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</si>
  <si>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 xml:space="preserve">  Water</t>
  </si>
  <si>
    <t>RETURN (R)</t>
  </si>
  <si>
    <t>Common Stock</t>
  </si>
  <si>
    <t>(sum lines 23-25)</t>
  </si>
  <si>
    <t>Cost</t>
  </si>
  <si>
    <t>%</t>
  </si>
  <si>
    <t>Weighted</t>
  </si>
  <si>
    <t>=WCLTD</t>
  </si>
  <si>
    <t>=R</t>
  </si>
  <si>
    <t>Note</t>
  </si>
  <si>
    <t>Letter</t>
  </si>
  <si>
    <t>A</t>
  </si>
  <si>
    <t>B</t>
  </si>
  <si>
    <t>C</t>
  </si>
  <si>
    <t>D</t>
  </si>
  <si>
    <t>E</t>
  </si>
  <si>
    <t>F</t>
  </si>
  <si>
    <t>G</t>
  </si>
  <si>
    <t>Identified in Form 1 as being only transmission related.</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</si>
  <si>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</si>
  <si>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</si>
  <si>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</si>
  <si>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</si>
  <si>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</si>
  <si>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</si>
  <si>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</si>
  <si>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</si>
  <si>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</si>
  <si>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</si>
  <si>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</si>
  <si>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</si>
  <si>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</si>
  <si>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CIT=(T/1-T) * (1-(WCLTD/R)) =</t>
  </si>
  <si>
    <t>Amortized Investment Tax Credit (266.8f) (enter negative)</t>
  </si>
  <si>
    <t xml:space="preserve">      1 / (1 - T)  = (from line 21)</t>
  </si>
  <si>
    <t>WS</t>
  </si>
  <si>
    <t xml:space="preserve">  CWC  </t>
  </si>
  <si>
    <t>5a</t>
  </si>
  <si>
    <t>219.20-24.c</t>
  </si>
  <si>
    <t>219.25.c</t>
  </si>
  <si>
    <t>219.26.c</t>
  </si>
  <si>
    <t>263.i</t>
  </si>
  <si>
    <t>201.3.d</t>
  </si>
  <si>
    <t>111.57.c</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</si>
  <si>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</si>
  <si>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</si>
  <si>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</si>
  <si>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</si>
  <si>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</si>
  <si>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</si>
  <si>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</si>
  <si>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</si>
  <si>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</si>
  <si>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</si>
  <si>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</si>
  <si>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</si>
  <si>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</si>
  <si>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</si>
  <si>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</si>
  <si>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</si>
  <si>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</si>
  <si>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</si>
  <si>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</si>
  <si>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</si>
  <si>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</si>
  <si>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</si>
  <si>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</si>
  <si>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</si>
  <si>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</si>
  <si>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</si>
  <si>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</si>
  <si>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</si>
  <si>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</si>
  <si>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</si>
  <si>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  FAS 109 Adjustment</t>
  </si>
  <si>
    <t xml:space="preserve">  Prepayments (Account 165)</t>
  </si>
  <si>
    <t>SUPPORTING CALCULATIONS AND NOTES</t>
  </si>
  <si>
    <t>Plant Type</t>
  </si>
  <si>
    <t>Transmission Plant</t>
  </si>
  <si>
    <t>General Plant</t>
  </si>
  <si>
    <t xml:space="preserve">NET PLANT IN SERVICE  </t>
  </si>
  <si>
    <t xml:space="preserve">WORKING CAPITAL </t>
  </si>
  <si>
    <t xml:space="preserve">  Materials &amp; Supplies </t>
  </si>
  <si>
    <t xml:space="preserve">     Less Account 561</t>
  </si>
  <si>
    <t>2a</t>
  </si>
  <si>
    <t xml:space="preserve">O&amp;M  </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</si>
  <si>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t>
  </si>
  <si>
    <t>350.b</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</si>
  <si>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</si>
  <si>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</si>
  <si>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 xml:space="preserve">     Plus:  Fixed PBOP expense</t>
  </si>
  <si>
    <t xml:space="preserve">     Less:  Actual PBOP expense</t>
  </si>
  <si>
    <t>5b</t>
  </si>
  <si>
    <t>5c</t>
  </si>
  <si>
    <t>TOTAL O&amp;M  (sum lines 1, 3, 5a, 5b, 6, 7 less lines 2, 4, 5, 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</si>
  <si>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</si>
  <si>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</si>
  <si>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</si>
  <si>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</si>
  <si>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</si>
  <si>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</si>
  <si>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</si>
  <si>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</si>
  <si>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</si>
  <si>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</si>
  <si>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</si>
  <si>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</si>
  <si>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</si>
  <si>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</si>
  <si>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</si>
  <si>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</si>
  <si>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</si>
  <si>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</si>
  <si>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</si>
  <si>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</si>
  <si>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</si>
  <si>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</si>
  <si>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</si>
  <si>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</si>
  <si>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</si>
  <si>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</si>
  <si>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</si>
  <si>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</si>
  <si>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</si>
  <si>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</si>
  <si>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</si>
  <si>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</si>
  <si>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</si>
  <si>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</si>
  <si>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</si>
  <si>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</si>
  <si>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</si>
  <si>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</si>
  <si>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</si>
  <si>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</si>
  <si>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</si>
  <si>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</si>
  <si>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</si>
  <si>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</si>
  <si>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</si>
  <si>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</si>
  <si>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</si>
  <si>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</si>
  <si>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</si>
  <si>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</si>
  <si>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</si>
  <si>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</si>
  <si>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</si>
  <si>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</si>
  <si>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</si>
  <si>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</si>
  <si>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</si>
  <si>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</si>
  <si>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</si>
  <si>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</si>
  <si>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</si>
  <si>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</si>
  <si>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 xml:space="preserve">Less: Safety Related Advertising </t>
  </si>
  <si>
    <t>Transmission Related Regulatory Expense</t>
  </si>
  <si>
    <t>Actual PBOP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</si>
  <si>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</si>
  <si>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</si>
  <si>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</si>
  <si>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</si>
  <si>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</si>
  <si>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</si>
  <si>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</si>
  <si>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</si>
  <si>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</si>
  <si>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</si>
  <si>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</si>
  <si>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</si>
  <si>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</si>
  <si>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</si>
  <si>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</si>
  <si>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</si>
  <si>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</si>
  <si>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</si>
  <si>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</si>
  <si>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</si>
  <si>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</si>
  <si>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</si>
  <si>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</si>
  <si>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</si>
  <si>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</si>
  <si>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</si>
  <si>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</si>
  <si>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(232.1.f - 278.1.f - 278.3.f)*FIT</t>
  </si>
  <si>
    <t>Page 1</t>
  </si>
  <si>
    <t>Page 2</t>
  </si>
  <si>
    <t>Page 3</t>
  </si>
  <si>
    <t>Page 4</t>
  </si>
  <si>
    <t>The revenues credited shall include only the amounts received directly for service under this tariff reflecting CLFP's integrated transmission facilities.  They do not include revenues associated with FERC annual charges, gross receipts taxes, ancillary services, facilities not included in this template (e.g., direct assignment facilities and GSUs) which are not recovered under this Rate Formula Template.</t>
  </si>
  <si>
    <t>/kW-year</t>
  </si>
  <si>
    <t>/kW-month</t>
  </si>
  <si>
    <t>/kW-week</t>
  </si>
  <si>
    <t>6 days/week</t>
  </si>
  <si>
    <t>/kW-day</t>
  </si>
  <si>
    <t>7 days/week</t>
  </si>
  <si>
    <t>16 hours/day</t>
  </si>
  <si>
    <t>24 hours/day</t>
  </si>
  <si>
    <t>12-CP</t>
  </si>
  <si>
    <t>RATES</t>
  </si>
  <si>
    <t>Transmission System Peak Load (kW)</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</si>
  <si>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</si>
  <si>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</si>
  <si>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</si>
  <si>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</si>
  <si>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</si>
  <si>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</si>
  <si>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</si>
  <si>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</si>
  <si>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 xml:space="preserve">Debt cost rate = long-term interest (line 21) / long term debt (line 27).  Preferred cost rate = preferred dividends (line 22) / preferred outstanding (line 28).   ROE will be supported in the original filing and no change in ROE may be made absent a filing with FERC.  </t>
  </si>
  <si>
    <t xml:space="preserve">EPRI Annual Membership Dues listed in Form 1 at 335.1.b, all Regulatory Commission Expenses itemized at 351.h, and non-safety-related advertising included in Account 930.1.  The FERC's annual charges for the year assessed the Transmission Owner for service since annual charges assessed directly under this tariff. </t>
  </si>
  <si>
    <t>EPRI &amp; Reg. Comm. Exp. &amp; Non-safety Ad.</t>
  </si>
  <si>
    <t xml:space="preserve">Transmission Related Regulatory Expense   </t>
  </si>
  <si>
    <t>(Note J)</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</si>
  <si>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</si>
  <si>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 xml:space="preserve">  ADIT Adjustment for 2018 Tax Reform</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</si>
  <si>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</si>
  <si>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</si>
  <si>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</si>
  <si>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</si>
  <si>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</si>
  <si>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</si>
  <si>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</si>
  <si>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</si>
  <si>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</si>
  <si>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</si>
  <si>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</si>
  <si>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</si>
  <si>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</si>
  <si>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</si>
  <si>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</si>
  <si>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</si>
  <si>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</si>
  <si>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</si>
  <si>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</si>
  <si>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</si>
  <si>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</si>
  <si>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</si>
  <si>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</si>
  <si>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</si>
  <si>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</si>
  <si>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</si>
  <si>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</si>
  <si>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</si>
  <si>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</si>
  <si>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</si>
  <si>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</si>
  <si>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</si>
  <si>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</si>
  <si>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</si>
  <si>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</si>
  <si>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Note:</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</si>
  <si>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</si>
  <si>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</si>
  <si>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</si>
  <si>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</si>
  <si>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</si>
  <si>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</si>
  <si>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</si>
  <si>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</si>
  <si>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</si>
  <si>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</si>
  <si>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</si>
  <si>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</si>
  <si>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</si>
  <si>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</si>
  <si>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</si>
  <si>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</si>
  <si>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</si>
  <si>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Page 1 of 2</t>
  </si>
  <si>
    <t>CWIP</t>
  </si>
  <si>
    <t>LHFFU</t>
  </si>
  <si>
    <t>Working Capital</t>
  </si>
  <si>
    <t>Line No</t>
  </si>
  <si>
    <t>Production</t>
  </si>
  <si>
    <t>Distribution</t>
  </si>
  <si>
    <t>General &amp; Intangible</t>
  </si>
  <si>
    <t>Common</t>
  </si>
  <si>
    <t>CWIP (Note C)</t>
  </si>
  <si>
    <t>Land Held for Future Use</t>
  </si>
  <si>
    <t xml:space="preserve">  Materials &amp; Supplies</t>
  </si>
  <si>
    <t xml:space="preserve">  Prepayments</t>
  </si>
  <si>
    <t>FN1 Reference for Dec</t>
  </si>
  <si>
    <t>216.x.b</t>
  </si>
  <si>
    <t>214.x.d</t>
  </si>
  <si>
    <t>227.8.c &amp; 227.16.c</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</si>
  <si>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</si>
  <si>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</si>
  <si>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</si>
  <si>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</si>
  <si>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</si>
  <si>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</si>
  <si>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</si>
  <si>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</si>
  <si>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</si>
  <si>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</si>
  <si>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</si>
  <si>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</si>
  <si>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</si>
  <si>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</si>
  <si>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Consistent with 266.8.b &amp; 267.8.h</t>
  </si>
  <si>
    <t>Average of the 13 Monthly Balances -</t>
  </si>
  <si>
    <t>Page 2 of 2</t>
  </si>
  <si>
    <t>Unfunded Reserves    (Note G)</t>
  </si>
  <si>
    <t>List of all reserves:</t>
  </si>
  <si>
    <t xml:space="preserve">Amount </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</si>
  <si>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</si>
  <si>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</si>
  <si>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</si>
  <si>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</si>
  <si>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</si>
  <si>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</si>
  <si>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</si>
  <si>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</si>
  <si>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</si>
  <si>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</si>
  <si>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</si>
  <si>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ratebase.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</si>
  <si>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</si>
  <si>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</si>
  <si>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</si>
  <si>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</si>
  <si>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</si>
  <si>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Gross Plant In Service (Attachment H, Note Y and BB)</t>
  </si>
  <si>
    <t>Accumulated Depreciation (Attachment H, Note Y and BB)</t>
  </si>
  <si>
    <t>Adjustments to Rate Base (Attachment H, Note Y)</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</si>
  <si>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</si>
  <si>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</si>
  <si>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</si>
  <si>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</si>
  <si>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</si>
  <si>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</si>
  <si>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</si>
  <si>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</si>
  <si>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</si>
  <si>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</si>
  <si>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</si>
  <si>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</si>
  <si>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</si>
  <si>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</si>
  <si>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</si>
  <si>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</si>
  <si>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</si>
  <si>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</si>
  <si>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(Sum of Lines 19 through 25)</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</si>
  <si>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</si>
  <si>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</si>
  <si>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</si>
  <si>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</si>
  <si>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</si>
  <si>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</si>
  <si>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</si>
  <si>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</si>
  <si>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</si>
  <si>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</si>
  <si>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</si>
  <si>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</si>
  <si>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</si>
  <si>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 xml:space="preserve">Excess Deferred Income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</si>
  <si>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</si>
  <si>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</si>
  <si>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</si>
  <si>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</si>
  <si>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</si>
  <si>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</si>
  <si>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</si>
  <si>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</si>
  <si>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</si>
  <si>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</si>
  <si>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25 through 26b)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</si>
  <si>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</si>
  <si>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</si>
  <si>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</si>
  <si>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</si>
  <si>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</si>
  <si>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</si>
  <si>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</si>
  <si>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</si>
  <si>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</si>
  <si>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</si>
  <si>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</si>
  <si>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</si>
  <si>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</si>
  <si>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</si>
  <si>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</si>
  <si>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</si>
  <si>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</si>
  <si>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</si>
  <si>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</si>
  <si>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</si>
  <si>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</si>
  <si>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</si>
  <si>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</si>
  <si>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</si>
  <si>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</si>
  <si>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</si>
  <si>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</si>
  <si>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</si>
  <si>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</si>
  <si>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</si>
  <si>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</si>
  <si>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112.12.c  (enter negative)</t>
  </si>
  <si>
    <t>Proprietary Capital</t>
  </si>
  <si>
    <t xml:space="preserve">Less Preferred Stock </t>
  </si>
  <si>
    <t xml:space="preserve">Less Account 216.1 </t>
  </si>
  <si>
    <t xml:space="preserve"> 112, sum of  18.c through 21.c</t>
  </si>
  <si>
    <t>112.3.c</t>
  </si>
  <si>
    <t>Line 26</t>
  </si>
  <si>
    <t>Sum of Lines 27-29)</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</si>
  <si>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</si>
  <si>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</si>
  <si>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</si>
  <si>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</si>
  <si>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</si>
  <si>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</si>
  <si>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</si>
  <si>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</si>
  <si>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</si>
  <si>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</si>
  <si>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</si>
  <si>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</si>
  <si>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</si>
  <si>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</si>
  <si>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</si>
  <si>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</si>
  <si>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</si>
  <si>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</si>
  <si>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</si>
  <si>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</si>
  <si>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</si>
  <si>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</si>
  <si>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Page 2 Line 23b includes any unamortized balances related to the recovery of abandoned plant costs approved by FERC under a separate docket.  Page 3, Line 11a includes the Amortization expense of abandonment costs.  These are shown in the workpapers required pursuant to the Annual Rate Calculation and True-up Procedures.</t>
  </si>
  <si>
    <t>Unamortized Abandoned Plant and Amortization of Abandoned Plant will be zero until the Commission accepts or approves recovery of the cost of abandoned plant.  Utility must submit a Section 205 filing to recover the cost of abandoned plant.</t>
  </si>
  <si>
    <t>AFUDC ceases when CWIP is recovered in rate base.  No CWIP will be included in rate base on line 18a absent FERC authorization.</t>
  </si>
  <si>
    <t>(Note S)</t>
  </si>
  <si>
    <t xml:space="preserve">ADJUSTMENTS TO RATE BASE </t>
  </si>
  <si>
    <t xml:space="preserve">     Less FERC Annual Fees (Note I)</t>
  </si>
  <si>
    <t xml:space="preserve">     Less EPRI &amp; Reg. Comm. Exp. &amp; Non-safety  Ad.  (Note I)</t>
  </si>
  <si>
    <t xml:space="preserve">     Plus Transmission Related Reg. Comm. Exp.  (Note I)</t>
  </si>
  <si>
    <t>(Note K)</t>
  </si>
  <si>
    <t>(Note L)</t>
  </si>
  <si>
    <t>TAXES OTHER THAN INCOME TAXES  (Note D)</t>
  </si>
  <si>
    <t xml:space="preserve">ROE will be supported in the original filing and no change in ROE may be made absent a filing with FERC.  </t>
  </si>
  <si>
    <t>Workpapers for this calculation will be included in supporting documentation.</t>
  </si>
  <si>
    <t>GROSS PLANT IN SERVICE     (Note A)</t>
  </si>
  <si>
    <t>ACCUMULATED DEPRECIATION   (Note A)</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</si>
  <si>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561.3, and 561.BA.</t>
    </r>
  </si>
  <si>
    <t>Recovery of any regulatory assets requires authorization from the Commission.</t>
  </si>
  <si>
    <t>(Notes C &amp; O)</t>
  </si>
  <si>
    <t>RATE BASE: (Note A, V)</t>
  </si>
  <si>
    <t>DEPRECIATION AND AMORTIZATION EXPENSE (Note A)</t>
  </si>
  <si>
    <t>Unfunded Reserves are customer contributed capital such as when employee vacation expense is accrued but not yet incurred.  Also, pursuant to Special Instructions to Accounts 228.1 through 228.4, no amounts shall be credited to accounts 228.1 through 228.4 unless authorized by a regulatory authority or authorities to be collected in a utility’s rates.</t>
  </si>
  <si>
    <t>ACCOUNT 454 (RENT FROM ELECTRIC PROPERTY)  (Note A)</t>
  </si>
  <si>
    <t>Company Records (Note A)</t>
  </si>
  <si>
    <t>Company Records (Note B)</t>
  </si>
  <si>
    <t>Item</t>
  </si>
  <si>
    <t xml:space="preserve">Recovery of any project-specific regulatory assets requires authorization from the Commission.  A carrying charge equal to the weighted cost of capital will be applied to the start-up regulatory asset prior to the rate year when costs are first recovered. </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</si>
  <si>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</si>
  <si>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</si>
  <si>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</si>
  <si>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</si>
  <si>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</si>
  <si>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</si>
  <si>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</si>
  <si>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</si>
  <si>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</si>
  <si>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</si>
  <si>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</si>
  <si>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</si>
  <si>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</si>
  <si>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</si>
  <si>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</si>
  <si>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</si>
  <si>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</si>
  <si>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</si>
  <si>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</si>
  <si>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</si>
  <si>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</si>
  <si>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</si>
  <si>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</si>
  <si>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</si>
  <si>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</si>
  <si>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</si>
  <si>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</si>
  <si>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 xml:space="preserve">         Property (Note P)</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</si>
  <si>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</si>
  <si>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</si>
  <si>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</si>
  <si>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</si>
  <si>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</si>
  <si>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</si>
  <si>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</si>
  <si>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</si>
  <si>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</si>
  <si>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</si>
  <si>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</si>
  <si>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</si>
  <si>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</si>
  <si>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</si>
  <si>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</si>
  <si>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</si>
  <si>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</si>
  <si>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</si>
  <si>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</si>
  <si>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</si>
  <si>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</si>
  <si>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</si>
  <si>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</si>
  <si>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</si>
  <si>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</si>
  <si>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</si>
  <si>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</si>
  <si>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</si>
  <si>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</si>
  <si>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</si>
  <si>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</si>
  <si>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</si>
  <si>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</si>
  <si>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</si>
  <si>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</si>
  <si>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</si>
  <si>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</si>
  <si>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</si>
  <si>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</si>
  <si>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</si>
  <si>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</si>
  <si>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</si>
  <si>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</si>
  <si>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</si>
  <si>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</si>
  <si>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</si>
  <si>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</si>
  <si>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</si>
  <si>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</si>
  <si>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</si>
  <si>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</si>
  <si>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</si>
  <si>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</si>
  <si>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</si>
  <si>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</si>
  <si>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</si>
  <si>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Percentage of Avg. Jan -Aug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</si>
  <si>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</si>
  <si>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</si>
  <si>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</si>
  <si>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</si>
  <si>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</si>
  <si>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</si>
  <si>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</si>
  <si>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</si>
  <si>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</si>
  <si>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</si>
  <si>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</si>
  <si>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</si>
  <si>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</si>
  <si>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</si>
  <si>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</si>
  <si>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     Less FERC Annual Fees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</si>
  <si>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</si>
  <si>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</si>
  <si>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</si>
  <si>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</si>
  <si>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</si>
  <si>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</si>
  <si>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</si>
  <si>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4</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</si>
  <si>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</si>
  <si>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</si>
  <si>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</si>
  <si>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</si>
  <si>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</si>
  <si>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</si>
  <si>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</si>
  <si>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</si>
  <si>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</si>
  <si>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</si>
  <si>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</si>
  <si>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</si>
  <si>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</si>
  <si>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</si>
  <si>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(Sum lines 3,6,9,10,12,13 less lines 4,5,7,8,11)</t>
  </si>
  <si>
    <t>Actual Attachment H, Page 3, Line 11</t>
  </si>
  <si>
    <t>Actual Attachment H, Page 3, Line 11a</t>
  </si>
  <si>
    <t>Actual Attachment H, Page 3, Line 24</t>
  </si>
  <si>
    <t>Actual Attachment H, Page 3, Line 24a</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</si>
  <si>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</si>
  <si>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</si>
  <si>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</si>
  <si>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</si>
  <si>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</si>
  <si>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</si>
  <si>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</si>
  <si>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</si>
  <si>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</si>
  <si>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</si>
  <si>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</si>
  <si>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</si>
  <si>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</si>
  <si>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27</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</si>
  <si>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</si>
  <si>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</si>
  <si>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</si>
  <si>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</si>
  <si>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</si>
  <si>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</si>
  <si>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</si>
  <si>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25</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</si>
  <si>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</si>
  <si>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</si>
  <si>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</si>
  <si>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</si>
  <si>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</si>
  <si>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</si>
  <si>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</si>
  <si>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</si>
  <si>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</si>
  <si>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</si>
  <si>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7</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</si>
  <si>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</si>
  <si>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</si>
  <si>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</si>
  <si>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</si>
  <si>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</si>
  <si>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</si>
  <si>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</si>
  <si>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</si>
  <si>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</si>
  <si>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</si>
  <si>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</si>
  <si>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</si>
  <si>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</si>
  <si>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</si>
  <si>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</si>
  <si>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</si>
  <si>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</si>
  <si>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</si>
  <si>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P1, Line 29, Column (i)</t>
  </si>
  <si>
    <t>Worksheet P1, Line 29, Column (k)</t>
  </si>
  <si>
    <t>Worksheet P1, Line 28, Column (d)</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</si>
  <si>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</si>
  <si>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</si>
  <si>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</si>
  <si>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</si>
  <si>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A2 Line 10</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</si>
  <si>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</si>
  <si>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</si>
  <si>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</si>
  <si>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</si>
  <si>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</si>
  <si>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</si>
  <si>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</si>
  <si>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</si>
  <si>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</si>
  <si>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</si>
  <si>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</si>
  <si>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(b) (Note G)</t>
  </si>
  <si>
    <t>Worksheet A4, Page 1, Line 28, Col. (c)</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</si>
  <si>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</si>
  <si>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</si>
  <si>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</si>
  <si>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</si>
  <si>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</si>
  <si>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</si>
  <si>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</si>
  <si>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</si>
  <si>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</si>
  <si>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2, Line 14, Col. (h) (Note F)</t>
  </si>
  <si>
    <t>Worksheet A4, Page 2, Line 14, Col. (b) (Note P)</t>
  </si>
  <si>
    <t>Worksheet A4, Page 2, Line 14, Col. (c) (Notes U &amp; N)</t>
  </si>
  <si>
    <t>Worksheet A4, Page 2, Line 22, Col. (h)  (Note NN)</t>
  </si>
  <si>
    <t>Worksheet A4, Page 1, Line 14, Col. (h) (Note G)</t>
  </si>
  <si>
    <t>Worksheet A4, Page 1, Line 14, Col. (g)   (Note Q)</t>
  </si>
  <si>
    <t>Page 1 of 1</t>
  </si>
  <si>
    <t>Cells highlighted in green signify that the data is sourced from other worksheets in the formula and that the reference is static.</t>
  </si>
  <si>
    <t xml:space="preserve">  Excess Deferred Fed Income Taxes Adj for 2018 Tax Reform</t>
  </si>
  <si>
    <t>Note B</t>
  </si>
  <si>
    <t>For FERC account no. 930.1, the Company reviews all entries and identifies those that are safety related advertising.</t>
  </si>
  <si>
    <t>For FERC account nos. 920 and 926, the Company reviews all entries and identifies the PBOP expenses to be removed from A&amp;G.</t>
  </si>
  <si>
    <t>Worksheet A2 Line 22</t>
  </si>
  <si>
    <t>Depreciation rates, Post-Employment Benefits Other than Pensions (PBOP),  and ROE are fixed amounts that can be changed only through a Section 205 filing.  The initial PBOP expense will be used in lieu of the actual PBOP  expense incurred in the year absent an appropriate filing with FERC.</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</si>
  <si>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</si>
  <si>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</si>
  <si>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</si>
  <si>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</si>
  <si>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</si>
  <si>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</si>
  <si>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</si>
  <si>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 xml:space="preserve">STRUCTURES AND IMPROVEMENTS             </t>
  </si>
  <si>
    <t xml:space="preserve">OFFICE FURNITURE AND EQUIPMENT          </t>
  </si>
  <si>
    <t xml:space="preserve">COMPUTER HARDWARE                       </t>
  </si>
  <si>
    <t xml:space="preserve">COMPUTER SOFTWARE                       </t>
  </si>
  <si>
    <t xml:space="preserve">STORES EQUIPMENT               </t>
  </si>
  <si>
    <t>TOOLS, SHOP AND GARAGE EQUIPMENT</t>
  </si>
  <si>
    <t xml:space="preserve">LABORATORY EQUIPMENT           </t>
  </si>
  <si>
    <t xml:space="preserve">  TOTAL POWER OPERATED EQUIPMENT</t>
  </si>
  <si>
    <t xml:space="preserve">  TOTAL COMMUNICATION EQUIPMENT        </t>
  </si>
  <si>
    <t xml:space="preserve">    TOTAL GENERAL PLANT </t>
  </si>
  <si>
    <t>TRANSPORTATION EQUIPMENT</t>
  </si>
  <si>
    <t>TOTAL TRANSMISSION PLANT</t>
  </si>
  <si>
    <t>Worksheet A7</t>
  </si>
  <si>
    <t>Incentive Plant Worksheet</t>
  </si>
  <si>
    <t>Project:</t>
  </si>
  <si>
    <t>n/a</t>
  </si>
  <si>
    <t>Deprec. Rate:</t>
  </si>
  <si>
    <t>ROE Adder</t>
  </si>
  <si>
    <t>Beginning Bal:</t>
  </si>
  <si>
    <t>Beginning Dep:</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</si>
  <si>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</si>
  <si>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</si>
  <si>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</si>
  <si>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</si>
  <si>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</si>
  <si>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</si>
  <si>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</si>
  <si>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</si>
  <si>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</si>
  <si>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</si>
  <si>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</si>
  <si>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</si>
  <si>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</si>
  <si>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</si>
  <si>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</si>
  <si>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</si>
  <si>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(Page 2, Line 30 x Page 4, Line 30, Col. (5)) + Page 4, Line 31</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</si>
  <si>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</si>
  <si>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</si>
  <si>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</si>
  <si>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</si>
  <si>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</si>
  <si>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</si>
  <si>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</si>
  <si>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</si>
  <si>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</si>
  <si>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</si>
  <si>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</si>
  <si>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</si>
  <si>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</si>
  <si>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</si>
  <si>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</si>
  <si>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</si>
  <si>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</si>
  <si>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</si>
  <si>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</si>
  <si>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</si>
  <si>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</si>
  <si>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</si>
  <si>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</si>
  <si>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</si>
  <si>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</si>
  <si>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</si>
  <si>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</si>
  <si>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</si>
  <si>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</si>
  <si>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</si>
  <si>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</si>
  <si>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</si>
  <si>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</si>
  <si>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</si>
  <si>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</si>
  <si>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</si>
  <si>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</si>
  <si>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</si>
  <si>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</si>
  <si>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</si>
  <si>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Cash Working Capital assigned to transmission is one-eighth of O&amp;M allocated to transmission at Page 3, Line 8, Column 5.    Prepayments are the electric related prepayments booked to Account No. 165 and reported on Page 111 Line 57 in the Form 1.</t>
  </si>
  <si>
    <t>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</si>
  <si>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</si>
  <si>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Accumulated Deferred Income Tax Credits are computed on Worksheet A3.</t>
  </si>
  <si>
    <t>Note D</t>
  </si>
  <si>
    <t>Includes the amortization of any excess/deficient deferred income taxes resulting from changes to income tax laws, income tax rates (including changes in apportionment) and other actions taken by a taxing authority.  Excess and deficient deferred income taxes will reduce or increase tax expense by the amount of the excess or deficiency multiplied by (1/1-T).</t>
  </si>
  <si>
    <t>X</t>
  </si>
  <si>
    <t>(Note X)</t>
  </si>
  <si>
    <t>(Notes T, Y)</t>
  </si>
  <si>
    <t>Y</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</si>
  <si>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</si>
  <si>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</si>
  <si>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</si>
  <si>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</si>
  <si>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</si>
  <si>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</si>
  <si>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</si>
  <si>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</si>
  <si>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</si>
  <si>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</si>
  <si>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</si>
  <si>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</si>
  <si>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</si>
  <si>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</si>
  <si>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</si>
  <si>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</si>
  <si>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</si>
  <si>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</si>
  <si>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</si>
  <si>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</si>
  <si>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</si>
  <si>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</si>
  <si>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</si>
  <si>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</si>
  <si>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</si>
  <si>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 xml:space="preserve">The balances in Accounts 281, 282, 283 and 190, as adjusted by any amounts in contra accounts identified as regulatory assets  or liabilities related to FASB 109.  </t>
  </si>
  <si>
    <t>(Notes A, C)</t>
  </si>
  <si>
    <t>(Notes B, C)</t>
  </si>
  <si>
    <t>(Except ADIT which is average of Beg. &amp; End Balances; See Note D)</t>
  </si>
  <si>
    <t>274.2.b &amp; 275.2.k</t>
  </si>
  <si>
    <t>276.9.b &amp; 277.9.k</t>
  </si>
  <si>
    <t>234.8.b&amp;c</t>
  </si>
  <si>
    <t>272.2.b &amp; 273.2.k</t>
  </si>
  <si>
    <t>Worksheet A4, Page 1, Line 13, Column (e )</t>
  </si>
  <si>
    <t>Worksheet A4, Page 1, Line 27, Column (g )</t>
  </si>
  <si>
    <t>Worksheet A4, Page 2, Line 13, Column (h )</t>
  </si>
  <si>
    <t>Worksheet A4, Page 2, Line 13, Column (b )</t>
  </si>
  <si>
    <t>Worksheet A4, Page 2, Line 13, Column (c )</t>
  </si>
  <si>
    <t xml:space="preserve">Worksheet A4, Page 1, Line 13, Col. (h) </t>
  </si>
  <si>
    <t>Worksheet A4, Page 1, Line 27, Col. (c)</t>
  </si>
  <si>
    <t xml:space="preserve">Worksheet A4, Page 1, Line 27, Col. (b)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</si>
  <si>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</si>
  <si>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</si>
  <si>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</si>
  <si>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</si>
  <si>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</si>
  <si>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</si>
  <si>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</si>
  <si>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</si>
  <si>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</si>
  <si>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</si>
  <si>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</si>
  <si>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</si>
  <si>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</si>
  <si>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</si>
  <si>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</si>
  <si>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</si>
  <si>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</si>
  <si>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8 - Line 10</t>
  </si>
  <si>
    <t>Line 15 - Line 16</t>
  </si>
  <si>
    <t>Line 17 * Line 18</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</si>
  <si>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</si>
  <si>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</si>
  <si>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</si>
  <si>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</si>
  <si>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</si>
  <si>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</si>
  <si>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</si>
  <si>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</si>
  <si>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</si>
  <si>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</si>
  <si>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</si>
  <si>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</si>
  <si>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Adjustment</t>
  </si>
  <si>
    <t>Volume Revenue Adjustment</t>
  </si>
  <si>
    <t>kW</t>
  </si>
  <si>
    <t>Divisor for Actual Rate Year from Step 7</t>
  </si>
  <si>
    <t>(line 14 / line 18)</t>
  </si>
  <si>
    <t>$/kW</t>
  </si>
  <si>
    <t>True-Up Amount before Interest (line 24)</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</si>
  <si>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</si>
  <si>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</si>
  <si>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</si>
  <si>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</si>
  <si>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</si>
  <si>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</si>
  <si>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</si>
  <si>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</si>
  <si>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</si>
  <si>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</si>
  <si>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</si>
  <si>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</si>
  <si>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</si>
  <si>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</si>
  <si>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</si>
  <si>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Use the lower of Short Term Interest Rate and FERC Interest Rate if the True-up Amount is greater than or equal to zero.Use FERC Interest Rate if the True-up Amount is less than zero.</t>
  </si>
  <si>
    <t xml:space="preserve">Permanent Differences  </t>
  </si>
  <si>
    <t>24aa</t>
  </si>
  <si>
    <t>Actual Attachment H, Page 3, Line 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</si>
  <si>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</si>
  <si>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</si>
  <si>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</si>
  <si>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</si>
  <si>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</si>
  <si>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</si>
  <si>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</si>
  <si>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</si>
  <si>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</si>
  <si>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</si>
  <si>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</si>
  <si>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</si>
  <si>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</si>
  <si>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</si>
  <si>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</si>
  <si>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</si>
  <si>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</si>
  <si>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</si>
  <si>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</si>
  <si>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</si>
  <si>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</si>
  <si>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</si>
  <si>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</si>
  <si>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</si>
  <si>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</si>
  <si>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</si>
  <si>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</si>
  <si>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</si>
  <si>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</si>
  <si>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</si>
  <si>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</si>
  <si>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</si>
  <si>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</si>
  <si>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</si>
  <si>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</si>
  <si>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</si>
  <si>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</si>
  <si>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</si>
  <si>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</si>
  <si>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</si>
  <si>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</si>
  <si>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</si>
  <si>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</si>
  <si>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</si>
  <si>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</si>
  <si>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</si>
  <si>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</si>
  <si>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</si>
  <si>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Worksheet P5, Page 2, Line 54, Column H</t>
  </si>
  <si>
    <t>Worksheet P5, Page 3, Line 81, Column H</t>
  </si>
  <si>
    <t>Worksheet P5, Page 4, Line 108, Column H</t>
  </si>
  <si>
    <t>Worksheet P5, Page 1, Line 27, Column H</t>
  </si>
  <si>
    <t>g</t>
  </si>
  <si>
    <t>h</t>
  </si>
  <si>
    <t>i</t>
  </si>
  <si>
    <t>j</t>
  </si>
  <si>
    <t>k</t>
  </si>
  <si>
    <t>l</t>
  </si>
  <si>
    <t>m</t>
  </si>
  <si>
    <t>n</t>
  </si>
  <si>
    <t>o</t>
  </si>
  <si>
    <t>p</t>
  </si>
  <si>
    <t>q</t>
  </si>
  <si>
    <t>r</t>
  </si>
  <si>
    <t>s</t>
  </si>
  <si>
    <t>t</t>
  </si>
  <si>
    <t>u</t>
  </si>
  <si>
    <t>27a</t>
  </si>
  <si>
    <t>Account No. 255
Accumulated Deferred Investment Credit  (enter negative) (Note D)</t>
  </si>
  <si>
    <t>/MW-hour</t>
  </si>
  <si>
    <t>Depreciation on Additions</t>
  </si>
  <si>
    <t xml:space="preserve"> Tax Depreciation on Plant</t>
  </si>
  <si>
    <t>December 31st balance Prorated Items From Latest FF1</t>
  </si>
  <si>
    <t>Allocation Factor "NP"</t>
  </si>
  <si>
    <t>Allocated December 31st Balance Transmission Items</t>
  </si>
  <si>
    <t>Activity for Year prior to Rate Year</t>
  </si>
  <si>
    <t xml:space="preserve">  Account No. 282 (Transmission only - enter negative)</t>
  </si>
  <si>
    <t>Prorated Balance of Rate Year</t>
  </si>
  <si>
    <t>(Line 77 + Line 78)</t>
  </si>
  <si>
    <t>(Line 75 + Line 76)</t>
  </si>
  <si>
    <t>(Line 73 * Line 74)</t>
  </si>
  <si>
    <t>Worksheet A3, Column d, Line 3</t>
  </si>
  <si>
    <t>Worksheet P1, Page 3, Column q, Line 27a</t>
  </si>
  <si>
    <t>Projected Attachment H, Page 5, Line 12</t>
  </si>
  <si>
    <t>Act Att-H, page 1 line 2</t>
  </si>
  <si>
    <t>Act Att-H, page 1 line 3</t>
  </si>
  <si>
    <t>Worksheet P3, Line 15</t>
  </si>
  <si>
    <t>Worksheet TU, line 37</t>
  </si>
  <si>
    <t>(Sum of Lines 27-29)</t>
  </si>
  <si>
    <t>(Line 79 - Line 80)</t>
  </si>
  <si>
    <t>yyyy</t>
  </si>
  <si>
    <t>mmm-yy</t>
  </si>
  <si>
    <t>Rate Year -1</t>
  </si>
  <si>
    <t>Rate Year</t>
  </si>
  <si>
    <t>Balances as of Ending Rate Year -2</t>
  </si>
  <si>
    <t>Estimated - For the 12 months ended 12/31/2020</t>
  </si>
  <si>
    <t>Plant Balances as of Dec 31, 2018 &gt;</t>
  </si>
  <si>
    <t>BHBE System</t>
  </si>
  <si>
    <t>ARH Demand</t>
  </si>
  <si>
    <t>Demand</t>
  </si>
  <si>
    <t>ARH Commodity</t>
  </si>
  <si>
    <t>HJ Commodity</t>
  </si>
  <si>
    <t>Actuals - For the 12 months ended 12/31/2020</t>
  </si>
  <si>
    <t>Jan-19</t>
  </si>
  <si>
    <t>Feb-19</t>
  </si>
  <si>
    <t>Mar-19</t>
  </si>
  <si>
    <t>Apr-19</t>
  </si>
  <si>
    <t>/mW-year</t>
  </si>
  <si>
    <t>/mW-month</t>
  </si>
  <si>
    <t>/mW-week</t>
  </si>
  <si>
    <t>/mW-day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</si>
</sst>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5">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s>
  <fills count="8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1">
    <xf numFmtId="172" fontId="0" fillId="0" borderId="0" applyProtection="0"/>
    <xf numFmtId="4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37" fontId="29" fillId="0" borderId="0" applyFont="0" applyFill="0" applyBorder="0" applyAlignment="0" applyProtection="0"/>
    <xf numFmtId="37" fontId="29" fillId="0" borderId="0" applyFont="0" applyFill="0" applyBorder="0" applyAlignment="0" applyProtection="0"/>
    <xf numFmtId="38" fontId="29" fillId="0" borderId="0" applyFont="0" applyFill="0" applyBorder="0" applyAlignment="0" applyProtection="0"/>
    <xf numFmtId="37" fontId="29" fillId="0" borderId="0" applyFont="0" applyFill="0" applyBorder="0" applyAlignment="0" applyProtection="0"/>
    <xf numFmtId="37" fontId="29" fillId="0" borderId="0" applyFont="0" applyFill="0" applyBorder="0" applyAlignment="0" applyProtection="0"/>
    <xf numFmtId="38" fontId="29" fillId="0" borderId="0" applyFont="0" applyFill="0" applyBorder="0" applyAlignment="0" applyProtection="0"/>
    <xf numFmtId="37" fontId="29" fillId="0" borderId="0" applyFont="0" applyFill="0" applyBorder="0" applyAlignment="0" applyProtection="0"/>
    <xf numFmtId="38" fontId="29" fillId="0" borderId="0" applyFont="0" applyFill="0" applyBorder="0" applyAlignment="0" applyProtection="0"/>
    <xf numFmtId="37" fontId="29" fillId="0" borderId="0" applyFont="0" applyFill="0" applyBorder="0" applyAlignment="0" applyProtection="0"/>
    <xf numFmtId="0" fontId="8" fillId="0" borderId="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38"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1" fillId="45"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38" fontId="32" fillId="0" borderId="0" applyBorder="0" applyAlignment="0"/>
    <xf numFmtId="175" fontId="28" fillId="53" borderId="16">
      <alignment horizontal="center" vertical="center"/>
    </xf>
    <xf numFmtId="176" fontId="8" fillId="0" borderId="17">
      <alignment horizontal="left"/>
    </xf>
    <xf numFmtId="0" fontId="33" fillId="0" borderId="0"/>
    <xf numFmtId="0" fontId="34" fillId="36" borderId="0" applyNumberFormat="0" applyBorder="0" applyAlignment="0" applyProtection="0"/>
    <xf numFmtId="0" fontId="35" fillId="0" borderId="0" applyNumberFormat="0" applyFill="0" applyBorder="0" applyAlignment="0" applyProtection="0"/>
    <xf numFmtId="177" fontId="36" fillId="0" borderId="1" applyNumberFormat="0" applyFill="0" applyAlignment="0" applyProtection="0">
      <alignment horizontal="center"/>
    </xf>
    <xf numFmtId="178" fontId="36" fillId="0" borderId="3" applyFill="0" applyAlignment="0" applyProtection="0">
      <alignment horizontal="center"/>
    </xf>
    <xf numFmtId="38" fontId="8" fillId="0" borderId="0">
      <alignment horizontal="right"/>
    </xf>
    <xf numFmtId="37" fontId="37" fillId="0" borderId="0" applyFill="0">
      <alignment horizontal="right"/>
    </xf>
    <xf numFmtId="37" fontId="37" fillId="0" borderId="0">
      <alignment horizontal="right"/>
    </xf>
    <xf numFmtId="0" fontId="37" fillId="0" borderId="0" applyFill="0">
      <alignment horizontal="center"/>
    </xf>
    <xf numFmtId="37" fontId="37" fillId="0" borderId="18" applyFill="0">
      <alignment horizontal="right"/>
    </xf>
    <xf numFmtId="37" fontId="37" fillId="0" borderId="0">
      <alignment horizontal="right"/>
    </xf>
    <xf numFmtId="0" fontId="38" fillId="0" borderId="0" applyFill="0">
      <alignment vertical="top"/>
    </xf>
    <xf numFmtId="0" fontId="39" fillId="0" borderId="0" applyFill="0">
      <alignment horizontal="left" vertical="top"/>
    </xf>
    <xf numFmtId="37" fontId="37" fillId="0" borderId="4" applyFill="0">
      <alignment horizontal="right"/>
    </xf>
    <xf numFmtId="0" fontId="8" fillId="0" borderId="0" applyNumberFormat="0" applyFont="0" applyAlignment="0"/>
    <xf numFmtId="0" fontId="38" fillId="0" borderId="0" applyFill="0">
      <alignment wrapText="1"/>
    </xf>
    <xf numFmtId="0" fontId="39" fillId="0" borderId="0" applyFill="0">
      <alignment horizontal="left" vertical="top" wrapText="1"/>
    </xf>
    <xf numFmtId="37" fontId="37" fillId="0" borderId="0" applyFill="0">
      <alignment horizontal="right"/>
    </xf>
    <xf numFmtId="0" fontId="40" fillId="0" borderId="0" applyNumberFormat="0" applyFont="0" applyAlignment="0">
      <alignment horizontal="center"/>
    </xf>
    <xf numFmtId="0" fontId="41" fillId="0" borderId="0" applyFill="0">
      <alignment vertical="top" wrapText="1"/>
    </xf>
    <xf numFmtId="0" fontId="27" fillId="0" borderId="0" applyFill="0">
      <alignment horizontal="left" vertical="top" wrapText="1"/>
    </xf>
    <xf numFmtId="37" fontId="37" fillId="0" borderId="0" applyFill="0">
      <alignment horizontal="right"/>
    </xf>
    <xf numFmtId="0" fontId="40" fillId="0" borderId="0" applyNumberFormat="0" applyFont="0" applyAlignment="0">
      <alignment horizontal="center"/>
    </xf>
    <xf numFmtId="0" fontId="42" fillId="0" borderId="0" applyFill="0">
      <alignment vertical="center" wrapText="1"/>
    </xf>
    <xf numFmtId="0" fontId="26" fillId="0" borderId="0">
      <alignment horizontal="left" vertical="center" wrapText="1"/>
    </xf>
    <xf numFmtId="37" fontId="37" fillId="0" borderId="0" applyFill="0">
      <alignment horizontal="right"/>
    </xf>
    <xf numFmtId="0" fontId="40" fillId="0" borderId="0" applyNumberFormat="0" applyFont="0" applyAlignment="0">
      <alignment horizontal="center"/>
    </xf>
    <xf numFmtId="0" fontId="43" fillId="0" borderId="0" applyFill="0">
      <alignment horizontal="center" vertical="center" wrapText="1"/>
    </xf>
    <xf numFmtId="0" fontId="8" fillId="0" borderId="0" applyFill="0">
      <alignment horizontal="center" vertical="center" wrapText="1"/>
    </xf>
    <xf numFmtId="37" fontId="44" fillId="0" borderId="0" applyFill="0">
      <alignment horizontal="right"/>
    </xf>
    <xf numFmtId="0" fontId="40"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37" fontId="44" fillId="0" borderId="0" applyFill="0">
      <alignment horizontal="right"/>
    </xf>
    <xf numFmtId="0" fontId="40" fillId="0" borderId="0" applyNumberFormat="0" applyFont="0" applyAlignment="0">
      <alignment horizontal="center"/>
    </xf>
    <xf numFmtId="0" fontId="47" fillId="0" borderId="0">
      <alignment horizontal="center" wrapText="1"/>
    </xf>
    <xf numFmtId="0" fontId="48" fillId="0" borderId="0" applyFill="0">
      <alignment horizontal="center" wrapText="1"/>
    </xf>
    <xf numFmtId="0" fontId="49" fillId="54" borderId="19" applyNumberFormat="0" applyAlignment="0" applyProtection="0"/>
    <xf numFmtId="0" fontId="50" fillId="55" borderId="20" applyNumberFormat="0" applyAlignment="0" applyProtection="0"/>
    <xf numFmtId="179" fontId="29" fillId="0" borderId="0" applyFont="0" applyFill="0" applyBorder="0" applyAlignment="0" applyProtection="0"/>
    <xf numFmtId="43" fontId="6" fillId="0" borderId="0" applyFont="0" applyFill="0" applyBorder="0" applyAlignment="0" applyProtection="0"/>
    <xf numFmtId="43" fontId="51" fillId="0" borderId="0" applyFont="0" applyFill="0" applyBorder="0" applyAlignment="0" applyProtection="0"/>
    <xf numFmtId="0" fontId="52" fillId="0" borderId="0"/>
    <xf numFmtId="44" fontId="8" fillId="0" borderId="0" applyFont="0" applyFill="0" applyBorder="0" applyAlignment="0" applyProtection="0"/>
    <xf numFmtId="180" fontId="8" fillId="0" borderId="17">
      <alignment horizontal="center"/>
    </xf>
    <xf numFmtId="181" fontId="53" fillId="0" borderId="0" applyFont="0" applyFill="0" applyBorder="0" applyAlignment="0" applyProtection="0"/>
    <xf numFmtId="0" fontId="54" fillId="0" borderId="0" applyNumberFormat="0" applyFill="0" applyBorder="0" applyAlignment="0" applyProtection="0"/>
    <xf numFmtId="182" fontId="8" fillId="0" borderId="0">
      <protection locked="0"/>
    </xf>
    <xf numFmtId="0" fontId="55" fillId="0" borderId="0"/>
    <xf numFmtId="0" fontId="56" fillId="0" borderId="0"/>
    <xf numFmtId="0" fontId="57" fillId="0" borderId="0"/>
    <xf numFmtId="0" fontId="58" fillId="37" borderId="0" applyNumberFormat="0" applyBorder="0" applyAlignment="0" applyProtection="0"/>
    <xf numFmtId="38" fontId="37" fillId="56" borderId="0" applyNumberFormat="0" applyBorder="0" applyAlignment="0" applyProtection="0"/>
    <xf numFmtId="0" fontId="59" fillId="0" borderId="0" applyNumberFormat="0" applyFill="0" applyBorder="0" applyAlignment="0" applyProtection="0"/>
    <xf numFmtId="0" fontId="27" fillId="0" borderId="21" applyNumberFormat="0" applyAlignment="0" applyProtection="0">
      <alignment horizontal="left" vertical="center"/>
    </xf>
    <xf numFmtId="0" fontId="27" fillId="0" borderId="15">
      <alignment horizontal="left" vertical="center"/>
    </xf>
    <xf numFmtId="0" fontId="60" fillId="0" borderId="0">
      <alignment horizontal="center"/>
    </xf>
    <xf numFmtId="0" fontId="61" fillId="0" borderId="22" applyNumberFormat="0" applyFill="0" applyAlignment="0" applyProtection="0"/>
    <xf numFmtId="0" fontId="62" fillId="0" borderId="23" applyNumberFormat="0" applyFill="0" applyAlignment="0" applyProtection="0"/>
    <xf numFmtId="0" fontId="63" fillId="0" borderId="24" applyNumberFormat="0" applyFill="0" applyAlignment="0" applyProtection="0"/>
    <xf numFmtId="0" fontId="63" fillId="0" borderId="0" applyNumberFormat="0" applyFill="0" applyBorder="0" applyAlignment="0" applyProtection="0"/>
    <xf numFmtId="183" fontId="8" fillId="0" borderId="0">
      <protection locked="0"/>
    </xf>
    <xf numFmtId="183" fontId="8" fillId="0" borderId="0">
      <protection locked="0"/>
    </xf>
    <xf numFmtId="0" fontId="64" fillId="0" borderId="25" applyNumberFormat="0" applyFill="0" applyAlignment="0" applyProtection="0"/>
    <xf numFmtId="10" fontId="37" fillId="57" borderId="17" applyNumberFormat="0" applyBorder="0" applyAlignment="0" applyProtection="0"/>
    <xf numFmtId="0" fontId="65" fillId="40" borderId="19" applyNumberFormat="0" applyAlignment="0" applyProtection="0"/>
    <xf numFmtId="0" fontId="37" fillId="56" borderId="0"/>
    <xf numFmtId="0" fontId="66" fillId="0" borderId="26" applyNumberFormat="0" applyFill="0" applyAlignment="0" applyProtection="0"/>
    <xf numFmtId="184" fontId="8" fillId="0" borderId="17">
      <alignment horizontal="center"/>
    </xf>
    <xf numFmtId="185" fontId="67" fillId="0" borderId="0"/>
    <xf numFmtId="17" fontId="68" fillId="0" borderId="0">
      <alignment horizontal="center"/>
    </xf>
    <xf numFmtId="186" fontId="8" fillId="0" borderId="0" applyFont="0" applyFill="0" applyBorder="0" applyAlignment="0" applyProtection="0"/>
    <xf numFmtId="187" fontId="8" fillId="0" borderId="0" applyFont="0" applyFill="0" applyBorder="0" applyAlignment="0" applyProtection="0"/>
    <xf numFmtId="0" fontId="69" fillId="58" borderId="0" applyNumberFormat="0" applyBorder="0" applyAlignment="0" applyProtection="0"/>
    <xf numFmtId="43" fontId="70" fillId="0" borderId="0" applyNumberFormat="0" applyFill="0" applyBorder="0" applyAlignment="0" applyProtection="0"/>
    <xf numFmtId="0" fontId="36" fillId="0" borderId="0" applyNumberFormat="0" applyFill="0" applyAlignment="0" applyProtection="0"/>
    <xf numFmtId="37" fontId="71" fillId="0" borderId="0"/>
    <xf numFmtId="188" fontId="72" fillId="0" borderId="0"/>
    <xf numFmtId="172" fontId="9" fillId="0" borderId="0" applyProtection="0"/>
    <xf numFmtId="0" fontId="8" fillId="0" borderId="0"/>
    <xf numFmtId="0" fontId="6" fillId="0" borderId="0"/>
    <xf numFmtId="0" fontId="51" fillId="0" borderId="0"/>
    <xf numFmtId="0" fontId="8" fillId="0" borderId="17">
      <alignment horizontal="center" wrapText="1"/>
    </xf>
    <xf numFmtId="2" fontId="8" fillId="0" borderId="17">
      <alignment horizontal="center"/>
    </xf>
    <xf numFmtId="189" fontId="73" fillId="0" borderId="17" applyFont="0">
      <alignment horizontal="center"/>
    </xf>
    <xf numFmtId="0" fontId="8" fillId="59" borderId="27" applyNumberFormat="0" applyFont="0" applyAlignment="0" applyProtection="0"/>
    <xf numFmtId="1" fontId="8" fillId="0" borderId="17">
      <alignment horizontal="center"/>
    </xf>
    <xf numFmtId="0" fontId="74" fillId="54" borderId="28" applyNumberFormat="0" applyAlignment="0" applyProtection="0"/>
    <xf numFmtId="10" fontId="8" fillId="0" borderId="0" applyFon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75" fillId="0" borderId="1">
      <alignment horizontal="center"/>
    </xf>
    <xf numFmtId="3" fontId="29" fillId="0" borderId="0" applyFont="0" applyFill="0" applyBorder="0" applyAlignment="0" applyProtection="0"/>
    <xf numFmtId="0" fontId="29" fillId="60" borderId="0" applyNumberFormat="0" applyFont="0" applyBorder="0" applyAlignment="0" applyProtection="0"/>
    <xf numFmtId="37" fontId="37" fillId="56" borderId="0" applyFill="0">
      <alignment horizontal="right"/>
    </xf>
    <xf numFmtId="0" fontId="44" fillId="0" borderId="0">
      <alignment horizontal="left"/>
    </xf>
    <xf numFmtId="0" fontId="37" fillId="0" borderId="0" applyFill="0">
      <alignment horizontal="left"/>
    </xf>
    <xf numFmtId="37" fontId="37" fillId="0" borderId="3" applyFill="0">
      <alignment horizontal="right"/>
    </xf>
    <xf numFmtId="0" fontId="73" fillId="0" borderId="17" applyNumberFormat="0" applyFont="0" applyBorder="0">
      <alignment horizontal="right"/>
    </xf>
    <xf numFmtId="0" fontId="76" fillId="0" borderId="0" applyFill="0"/>
    <xf numFmtId="0" fontId="37" fillId="0" borderId="0" applyFill="0">
      <alignment horizontal="left"/>
    </xf>
    <xf numFmtId="190" fontId="37" fillId="0" borderId="3" applyFill="0">
      <alignment horizontal="right"/>
    </xf>
    <xf numFmtId="0" fontId="8" fillId="0" borderId="0" applyNumberFormat="0" applyFont="0" applyBorder="0" applyAlignment="0"/>
    <xf numFmtId="0" fontId="41" fillId="0" borderId="0" applyFill="0">
      <alignment horizontal="left" indent="1"/>
    </xf>
    <xf numFmtId="0" fontId="44" fillId="0" borderId="0" applyFill="0">
      <alignment horizontal="left"/>
    </xf>
    <xf numFmtId="37" fontId="37" fillId="0" borderId="0" applyFill="0">
      <alignment horizontal="right"/>
    </xf>
    <xf numFmtId="0" fontId="8" fillId="0" borderId="0" applyNumberFormat="0" applyFont="0" applyFill="0" applyBorder="0" applyAlignment="0"/>
    <xf numFmtId="0" fontId="41" fillId="0" borderId="0" applyFill="0">
      <alignment horizontal="left" indent="2"/>
    </xf>
    <xf numFmtId="0" fontId="37" fillId="0" borderId="0" applyFill="0">
      <alignment horizontal="left"/>
    </xf>
    <xf numFmtId="37" fontId="37" fillId="0" borderId="0" applyFill="0">
      <alignment horizontal="right"/>
    </xf>
    <xf numFmtId="0" fontId="8" fillId="0" borderId="0" applyNumberFormat="0" applyFont="0" applyBorder="0" applyAlignment="0"/>
    <xf numFmtId="0" fontId="77" fillId="0" borderId="0">
      <alignment horizontal="left" indent="3"/>
    </xf>
    <xf numFmtId="0" fontId="37" fillId="0" borderId="0" applyFill="0">
      <alignment horizontal="left"/>
    </xf>
    <xf numFmtId="37" fontId="37" fillId="0" borderId="0" applyFill="0">
      <alignment horizontal="right"/>
    </xf>
    <xf numFmtId="0" fontId="8" fillId="0" borderId="0" applyNumberFormat="0" applyFont="0" applyBorder="0" applyAlignment="0"/>
    <xf numFmtId="0" fontId="43" fillId="0" borderId="0">
      <alignment horizontal="left" indent="4"/>
    </xf>
    <xf numFmtId="0" fontId="37" fillId="0" borderId="0" applyFill="0">
      <alignment horizontal="left"/>
    </xf>
    <xf numFmtId="37" fontId="44" fillId="0" borderId="0" applyFill="0">
      <alignment horizontal="right"/>
    </xf>
    <xf numFmtId="0" fontId="8" fillId="0" borderId="0" applyNumberFormat="0" applyFont="0" applyBorder="0" applyAlignment="0"/>
    <xf numFmtId="0" fontId="45" fillId="0" borderId="0">
      <alignment horizontal="left" indent="5"/>
    </xf>
    <xf numFmtId="0" fontId="44" fillId="0" borderId="0" applyFill="0">
      <alignment horizontal="left"/>
    </xf>
    <xf numFmtId="37" fontId="44" fillId="0" borderId="0" applyFill="0">
      <alignment horizontal="right"/>
    </xf>
    <xf numFmtId="0" fontId="8" fillId="0" borderId="0" applyNumberFormat="0" applyFont="0" applyFill="0" applyBorder="0" applyAlignment="0"/>
    <xf numFmtId="0" fontId="47" fillId="0" borderId="0" applyFill="0">
      <alignment horizontal="left" indent="6"/>
    </xf>
    <xf numFmtId="0" fontId="44" fillId="0" borderId="0" applyFill="0">
      <alignment horizontal="left"/>
    </xf>
    <xf numFmtId="38" fontId="78" fillId="2" borderId="3">
      <alignment horizontal="right"/>
    </xf>
    <xf numFmtId="38" fontId="8" fillId="61" borderId="0" applyNumberFormat="0" applyFont="0" applyBorder="0" applyAlignment="0" applyProtection="0"/>
    <xf numFmtId="0" fontId="79" fillId="0" borderId="0" applyNumberFormat="0" applyAlignment="0">
      <alignment horizontal="centerContinuous"/>
    </xf>
    <xf numFmtId="0" fontId="36" fillId="0" borderId="3" applyNumberFormat="0" applyFill="0" applyAlignment="0" applyProtection="0"/>
    <xf numFmtId="37" fontId="80" fillId="0" borderId="0" applyNumberFormat="0">
      <alignment horizontal="left"/>
    </xf>
    <xf numFmtId="191" fontId="8" fillId="0" borderId="17">
      <alignment horizontal="center" wrapText="1"/>
    </xf>
    <xf numFmtId="38" fontId="29" fillId="0" borderId="0" applyFont="0" applyFill="0" applyBorder="0" applyAlignment="0" applyProtection="0"/>
    <xf numFmtId="38" fontId="29" fillId="0" borderId="0" applyFont="0" applyFill="0" applyBorder="0" applyAlignment="0" applyProtection="0"/>
    <xf numFmtId="0" fontId="8" fillId="0" borderId="0" applyNumberFormat="0" applyFill="0" applyBorder="0" applyProtection="0">
      <alignment horizontal="right" wrapText="1"/>
    </xf>
    <xf numFmtId="192" fontId="8" fillId="0" borderId="0" applyFill="0" applyBorder="0" applyAlignment="0" applyProtection="0">
      <alignment wrapText="1"/>
    </xf>
    <xf numFmtId="37" fontId="81" fillId="0" borderId="0" applyNumberFormat="0">
      <alignment horizontal="left"/>
    </xf>
    <xf numFmtId="37" fontId="82" fillId="0" borderId="0" applyNumberFormat="0">
      <alignment horizontal="left"/>
    </xf>
    <xf numFmtId="37" fontId="83" fillId="0" borderId="0" applyNumberFormat="0">
      <alignment horizontal="left"/>
    </xf>
    <xf numFmtId="185" fontId="84" fillId="0" borderId="0"/>
    <xf numFmtId="40" fontId="85" fillId="0" borderId="0"/>
    <xf numFmtId="0" fontId="86" fillId="0" borderId="0" applyNumberFormat="0" applyFill="0" applyBorder="0" applyAlignment="0" applyProtection="0"/>
    <xf numFmtId="0" fontId="87" fillId="0" borderId="29" applyNumberFormat="0" applyFill="0" applyAlignment="0" applyProtection="0"/>
    <xf numFmtId="37" fontId="37" fillId="2" borderId="0" applyNumberFormat="0" applyBorder="0" applyAlignment="0" applyProtection="0"/>
    <xf numFmtId="37" fontId="37" fillId="0" borderId="0"/>
    <xf numFmtId="3" fontId="88" fillId="0" borderId="25" applyProtection="0"/>
    <xf numFmtId="0" fontId="89" fillId="0" borderId="0" applyNumberForma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90"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90"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90" fillId="20"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90"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90"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90" fillId="32"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90" fillId="13"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90"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90"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90"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90" fillId="29"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90"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91" fillId="14"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91" fillId="3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91"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91"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91"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91"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91"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91"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92"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93" fillId="8" borderId="8" applyNumberFormat="0" applyAlignment="0" applyProtection="0"/>
    <xf numFmtId="0" fontId="19" fillId="64" borderId="8" applyNumberFormat="0" applyAlignment="0" applyProtection="0"/>
    <xf numFmtId="0" fontId="19" fillId="64" borderId="8" applyNumberFormat="0" applyAlignment="0" applyProtection="0"/>
    <xf numFmtId="0" fontId="19" fillId="64" borderId="8" applyNumberFormat="0" applyAlignment="0" applyProtection="0"/>
    <xf numFmtId="0" fontId="19" fillId="64" borderId="8"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94" fillId="9" borderId="11" applyNumberFormat="0" applyAlignment="0" applyProtection="0"/>
    <xf numFmtId="0" fontId="21" fillId="9" borderId="11" applyNumberFormat="0" applyAlignment="0" applyProtection="0"/>
    <xf numFmtId="0" fontId="21" fillId="9" borderId="11" applyNumberFormat="0" applyAlignment="0" applyProtection="0"/>
    <xf numFmtId="0" fontId="21" fillId="9" borderId="11" applyNumberFormat="0" applyAlignment="0" applyProtection="0"/>
    <xf numFmtId="0" fontId="21" fillId="9" borderId="11"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0" fillId="0" borderId="0" applyFont="0" applyFill="0" applyBorder="0" applyAlignment="0" applyProtection="0"/>
    <xf numFmtId="43" fontId="9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9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9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97"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9"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1" fillId="0" borderId="6" applyNumberFormat="0" applyFill="0" applyAlignment="0" applyProtection="0"/>
    <xf numFmtId="0" fontId="12" fillId="0" borderId="31" applyNumberFormat="0" applyFill="0" applyAlignment="0" applyProtection="0"/>
    <xf numFmtId="0" fontId="12" fillId="0" borderId="31" applyNumberFormat="0" applyFill="0" applyAlignment="0" applyProtection="0"/>
    <xf numFmtId="0" fontId="12" fillId="0" borderId="31" applyNumberFormat="0" applyFill="0" applyAlignment="0" applyProtection="0"/>
    <xf numFmtId="0" fontId="12" fillId="0" borderId="31"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3" fillId="0" borderId="7" applyNumberFormat="0" applyFill="0" applyAlignment="0" applyProtection="0"/>
    <xf numFmtId="0" fontId="13" fillId="0" borderId="33" applyNumberFormat="0" applyFill="0" applyAlignment="0" applyProtection="0"/>
    <xf numFmtId="0" fontId="13" fillId="0" borderId="33" applyNumberFormat="0" applyFill="0" applyAlignment="0" applyProtection="0"/>
    <xf numFmtId="0" fontId="13" fillId="0" borderId="33" applyNumberFormat="0" applyFill="0" applyAlignment="0" applyProtection="0"/>
    <xf numFmtId="0" fontId="13" fillId="0" borderId="33"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4" fillId="0" borderId="0" applyNumberFormat="0" applyFill="0" applyBorder="0" applyAlignment="0" applyProtection="0">
      <alignment vertical="top"/>
      <protection locked="0"/>
    </xf>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105" fillId="7" borderId="8" applyNumberFormat="0" applyAlignment="0" applyProtection="0"/>
    <xf numFmtId="0" fontId="17" fillId="58" borderId="8" applyNumberFormat="0" applyAlignment="0" applyProtection="0"/>
    <xf numFmtId="0" fontId="17" fillId="58" borderId="8" applyNumberFormat="0" applyAlignment="0" applyProtection="0"/>
    <xf numFmtId="0" fontId="17" fillId="58" borderId="8" applyNumberFormat="0" applyAlignment="0" applyProtection="0"/>
    <xf numFmtId="0" fontId="17" fillId="58" borderId="8"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106"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107"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5"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0"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5"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90" fillId="10" borderId="12"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109" fillId="8" borderId="9" applyNumberFormat="0" applyAlignment="0" applyProtection="0"/>
    <xf numFmtId="0" fontId="18" fillId="64" borderId="9" applyNumberFormat="0" applyAlignment="0" applyProtection="0"/>
    <xf numFmtId="0" fontId="18" fillId="64" borderId="9" applyNumberFormat="0" applyAlignment="0" applyProtection="0"/>
    <xf numFmtId="0" fontId="18" fillId="64" borderId="9" applyNumberFormat="0" applyAlignment="0" applyProtection="0"/>
    <xf numFmtId="0" fontId="18" fillId="64" borderId="9"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9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5"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111" fillId="0" borderId="13" applyNumberFormat="0" applyFill="0" applyAlignment="0" applyProtection="0"/>
    <xf numFmtId="0" fontId="24" fillId="0" borderId="13" applyNumberFormat="0" applyFill="0" applyAlignment="0" applyProtection="0"/>
    <xf numFmtId="0" fontId="24" fillId="0" borderId="13" applyNumberFormat="0" applyFill="0" applyAlignment="0" applyProtection="0"/>
    <xf numFmtId="0" fontId="24" fillId="0" borderId="13" applyNumberFormat="0" applyFill="0" applyAlignment="0" applyProtection="0"/>
    <xf numFmtId="0" fontId="24" fillId="0" borderId="13"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11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172" fontId="9" fillId="0" borderId="0" applyProtection="0"/>
    <xf numFmtId="0" fontId="28" fillId="0" borderId="0"/>
    <xf numFmtId="0" fontId="8" fillId="0" borderId="0"/>
    <xf numFmtId="194" fontId="8" fillId="65" borderId="0" applyNumberFormat="0" applyFill="0" applyBorder="0" applyAlignment="0" applyProtection="0">
      <alignment horizontal="right" vertical="center"/>
    </xf>
    <xf numFmtId="194" fontId="64" fillId="0" borderId="0" applyNumberFormat="0" applyFill="0" applyBorder="0" applyAlignment="0" applyProtection="0"/>
    <xf numFmtId="0" fontId="8" fillId="0" borderId="3" applyNumberFormat="0" applyFont="0" applyFill="0" applyAlignment="0" applyProtection="0"/>
    <xf numFmtId="195" fontId="7" fillId="0" borderId="0" applyFont="0" applyFill="0" applyBorder="0" applyAlignment="0" applyProtection="0"/>
    <xf numFmtId="37" fontId="113" fillId="0" borderId="0" applyFont="0" applyFill="0" applyBorder="0" applyAlignment="0" applyProtection="0">
      <alignment vertical="center"/>
      <protection locked="0"/>
    </xf>
    <xf numFmtId="196" fontId="28" fillId="0" borderId="0" applyFont="0" applyFill="0" applyBorder="0" applyAlignment="0" applyProtection="0"/>
    <xf numFmtId="0" fontId="114" fillId="0" borderId="0"/>
    <xf numFmtId="0" fontId="8" fillId="0" borderId="0" applyFill="0">
      <alignment horizontal="center" vertical="center" wrapText="1"/>
    </xf>
    <xf numFmtId="185" fontId="115" fillId="0" borderId="0" applyFont="0" applyFill="0" applyBorder="0" applyAlignment="0" applyProtection="0">
      <protection locked="0"/>
    </xf>
    <xf numFmtId="197" fontId="115" fillId="0" borderId="0" applyFont="0" applyFill="0" applyBorder="0" applyAlignment="0" applyProtection="0">
      <protection locked="0"/>
    </xf>
    <xf numFmtId="39" fontId="8" fillId="0" borderId="0" applyFont="0" applyFill="0" applyBorder="0" applyAlignment="0" applyProtection="0"/>
    <xf numFmtId="198" fontId="116" fillId="0" borderId="0" applyFont="0" applyFill="0" applyBorder="0" applyAlignment="0" applyProtection="0"/>
    <xf numFmtId="199" fontId="28" fillId="0" borderId="0" applyFont="0" applyFill="0" applyBorder="0" applyAlignment="0" applyProtection="0"/>
    <xf numFmtId="0" fontId="8" fillId="0" borderId="3" applyNumberFormat="0" applyFont="0" applyFill="0" applyBorder="0" applyProtection="0">
      <alignment horizontal="centerContinuous" vertical="center"/>
    </xf>
    <xf numFmtId="0" fontId="117" fillId="0" borderId="0" applyFill="0" applyBorder="0" applyProtection="0">
      <alignment horizontal="center"/>
      <protection locked="0"/>
    </xf>
    <xf numFmtId="41" fontId="90" fillId="0" borderId="0" applyFont="0" applyFill="0" applyBorder="0" applyAlignment="0" applyProtection="0"/>
    <xf numFmtId="41" fontId="6" fillId="0" borderId="0" applyFont="0" applyFill="0" applyBorder="0" applyAlignment="0" applyProtection="0"/>
    <xf numFmtId="200" fontId="36" fillId="0" borderId="0" applyFont="0" applyFill="0" applyBorder="0" applyAlignment="0" applyProtection="0"/>
    <xf numFmtId="201" fontId="118" fillId="0" borderId="0" applyFont="0" applyFill="0" applyBorder="0" applyAlignment="0" applyProtection="0"/>
    <xf numFmtId="202" fontId="118" fillId="0" borderId="0" applyFont="0" applyFill="0" applyBorder="0" applyAlignment="0" applyProtection="0"/>
    <xf numFmtId="203" fontId="119" fillId="0" borderId="0" applyFont="0" applyFill="0" applyBorder="0" applyAlignment="0" applyProtection="0">
      <protection locked="0"/>
    </xf>
    <xf numFmtId="3" fontId="8" fillId="0" borderId="0" applyFont="0" applyFill="0" applyBorder="0" applyAlignment="0" applyProtection="0"/>
    <xf numFmtId="0" fontId="39" fillId="0" borderId="0" applyFill="0" applyBorder="0" applyAlignment="0" applyProtection="0">
      <protection locked="0"/>
    </xf>
    <xf numFmtId="0" fontId="8" fillId="0" borderId="35"/>
    <xf numFmtId="204" fontId="118" fillId="0" borderId="0" applyFont="0" applyFill="0" applyBorder="0" applyAlignment="0" applyProtection="0"/>
    <xf numFmtId="205" fontId="118" fillId="0" borderId="0" applyFont="0" applyFill="0" applyBorder="0" applyAlignment="0" applyProtection="0"/>
    <xf numFmtId="206" fontId="118" fillId="0" borderId="0" applyFont="0" applyFill="0" applyBorder="0" applyAlignment="0" applyProtection="0"/>
    <xf numFmtId="207" fontId="119" fillId="0" borderId="0" applyFont="0" applyFill="0" applyBorder="0" applyAlignment="0" applyProtection="0">
      <protection locked="0"/>
    </xf>
    <xf numFmtId="5" fontId="8" fillId="0" borderId="0" applyFont="0" applyFill="0" applyBorder="0" applyAlignment="0" applyProtection="0"/>
    <xf numFmtId="5" fontId="8" fillId="0" borderId="0" applyFont="0" applyFill="0" applyBorder="0" applyAlignment="0" applyProtection="0"/>
    <xf numFmtId="208" fontId="28" fillId="0" borderId="0" applyFont="0" applyFill="0" applyBorder="0" applyAlignment="0" applyProtection="0"/>
    <xf numFmtId="209" fontId="8" fillId="0" borderId="0" applyFont="0" applyFill="0" applyBorder="0" applyAlignment="0" applyProtection="0"/>
    <xf numFmtId="210" fontId="115" fillId="0" borderId="0" applyFont="0" applyFill="0" applyBorder="0" applyAlignment="0" applyProtection="0">
      <protection locked="0"/>
    </xf>
    <xf numFmtId="7" fontId="37" fillId="0" borderId="0" applyFont="0" applyFill="0" applyBorder="0" applyAlignment="0" applyProtection="0"/>
    <xf numFmtId="211" fontId="116" fillId="0" borderId="0" applyFont="0" applyFill="0" applyBorder="0" applyAlignment="0" applyProtection="0"/>
    <xf numFmtId="212" fontId="120" fillId="0" borderId="0" applyFont="0" applyFill="0" applyBorder="0" applyAlignment="0" applyProtection="0"/>
    <xf numFmtId="0" fontId="121" fillId="66" borderId="36" applyNumberFormat="0" applyFont="0" applyFill="0" applyAlignment="0" applyProtection="0">
      <alignment horizontal="left" indent="1"/>
    </xf>
    <xf numFmtId="5" fontId="122" fillId="0" borderId="0" applyBorder="0"/>
    <xf numFmtId="209" fontId="122" fillId="0" borderId="0" applyBorder="0"/>
    <xf numFmtId="7" fontId="122" fillId="0" borderId="0" applyBorder="0"/>
    <xf numFmtId="37" fontId="122" fillId="0" borderId="0" applyBorder="0"/>
    <xf numFmtId="185" fontId="122" fillId="0" borderId="0" applyBorder="0"/>
    <xf numFmtId="213" fontId="122" fillId="0" borderId="0" applyBorder="0"/>
    <xf numFmtId="39" fontId="122" fillId="0" borderId="0" applyBorder="0"/>
    <xf numFmtId="214" fontId="122" fillId="0" borderId="0" applyBorder="0"/>
    <xf numFmtId="7" fontId="8" fillId="0" borderId="0" applyFont="0" applyFill="0" applyBorder="0" applyAlignment="0" applyProtection="0"/>
    <xf numFmtId="215" fontId="28" fillId="0" borderId="0" applyFont="0" applyFill="0" applyBorder="0" applyAlignment="0" applyProtection="0"/>
    <xf numFmtId="216" fontId="28" fillId="0" borderId="0" applyFont="0" applyFill="0" applyAlignment="0" applyProtection="0"/>
    <xf numFmtId="215" fontId="28" fillId="0" borderId="0" applyFont="0" applyFill="0" applyBorder="0" applyAlignment="0" applyProtection="0"/>
    <xf numFmtId="185" fontId="123" fillId="0" borderId="0" applyNumberFormat="0" applyFill="0" applyBorder="0" applyAlignment="0" applyProtection="0"/>
    <xf numFmtId="0" fontId="37" fillId="0" borderId="0" applyFont="0" applyFill="0" applyBorder="0" applyAlignment="0" applyProtection="0"/>
    <xf numFmtId="0" fontId="123" fillId="0" borderId="0" applyNumberFormat="0" applyFill="0" applyBorder="0" applyAlignment="0" applyProtection="0"/>
    <xf numFmtId="0" fontId="117" fillId="0" borderId="0" applyFill="0" applyAlignment="0" applyProtection="0">
      <protection locked="0"/>
    </xf>
    <xf numFmtId="0" fontId="117" fillId="0" borderId="3" applyFill="0" applyAlignment="0" applyProtection="0">
      <protection locked="0"/>
    </xf>
    <xf numFmtId="0" fontId="124" fillId="0" borderId="3" applyNumberFormat="0" applyFill="0" applyAlignment="0" applyProtection="0"/>
    <xf numFmtId="0" fontId="125" fillId="62" borderId="17" applyNumberFormat="0" applyAlignment="0" applyProtection="0"/>
    <xf numFmtId="5" fontId="126" fillId="0" borderId="0" applyBorder="0"/>
    <xf numFmtId="209" fontId="126" fillId="0" borderId="0" applyBorder="0"/>
    <xf numFmtId="7" fontId="126" fillId="0" borderId="0" applyBorder="0"/>
    <xf numFmtId="37" fontId="126" fillId="0" borderId="0" applyBorder="0"/>
    <xf numFmtId="185" fontId="126" fillId="0" borderId="0" applyBorder="0"/>
    <xf numFmtId="213" fontId="126" fillId="0" borderId="0" applyBorder="0"/>
    <xf numFmtId="39" fontId="126" fillId="0" borderId="0" applyBorder="0"/>
    <xf numFmtId="214" fontId="126" fillId="0" borderId="0" applyBorder="0"/>
    <xf numFmtId="0" fontId="127" fillId="0" borderId="37" applyNumberFormat="0" applyFont="0" applyFill="0" applyAlignment="0" applyProtection="0"/>
    <xf numFmtId="217" fontId="8" fillId="0" borderId="0" applyFont="0" applyFill="0" applyBorder="0" applyAlignment="0" applyProtection="0"/>
    <xf numFmtId="218" fontId="8" fillId="0" borderId="0" applyFont="0" applyFill="0" applyBorder="0" applyAlignment="0" applyProtection="0"/>
    <xf numFmtId="219" fontId="8" fillId="0" borderId="0" applyFont="0" applyFill="0" applyBorder="0" applyAlignment="0" applyProtection="0"/>
    <xf numFmtId="220" fontId="8" fillId="0" borderId="0" applyFont="0" applyFill="0" applyBorder="0" applyAlignment="0" applyProtection="0"/>
    <xf numFmtId="221" fontId="8" fillId="0" borderId="0" applyFont="0" applyFill="0" applyBorder="0" applyAlignment="0" applyProtection="0"/>
    <xf numFmtId="0" fontId="8" fillId="0" borderId="0"/>
    <xf numFmtId="222" fontId="8" fillId="0" borderId="0" applyFont="0" applyFill="0" applyBorder="0" applyAlignment="0" applyProtection="0"/>
    <xf numFmtId="223" fontId="95" fillId="67" borderId="0" applyFont="0" applyFill="0" applyBorder="0" applyAlignment="0" applyProtection="0"/>
    <xf numFmtId="224" fontId="95" fillId="67" borderId="0" applyFont="0" applyFill="0" applyBorder="0" applyAlignment="0" applyProtection="0"/>
    <xf numFmtId="225" fontId="8" fillId="0" borderId="0" applyFont="0" applyFill="0" applyBorder="0" applyAlignment="0" applyProtection="0"/>
    <xf numFmtId="226" fontId="118" fillId="0" borderId="0" applyFont="0" applyFill="0" applyBorder="0" applyAlignment="0" applyProtection="0"/>
    <xf numFmtId="227" fontId="36" fillId="0" borderId="0" applyFont="0" applyFill="0" applyBorder="0" applyAlignment="0" applyProtection="0"/>
    <xf numFmtId="228" fontId="8" fillId="0" borderId="0" applyFont="0" applyFill="0" applyBorder="0" applyAlignment="0" applyProtection="0"/>
    <xf numFmtId="229" fontId="118" fillId="0" borderId="0" applyFont="0" applyFill="0" applyBorder="0" applyAlignment="0" applyProtection="0"/>
    <xf numFmtId="230" fontId="36" fillId="0" borderId="0" applyFont="0" applyFill="0" applyBorder="0" applyAlignment="0" applyProtection="0"/>
    <xf numFmtId="231" fontId="118" fillId="0" borderId="0" applyFont="0" applyFill="0" applyBorder="0" applyAlignment="0" applyProtection="0"/>
    <xf numFmtId="232" fontId="36" fillId="0" borderId="0" applyFont="0" applyFill="0" applyBorder="0" applyAlignment="0" applyProtection="0"/>
    <xf numFmtId="233" fontId="118" fillId="0" borderId="0" applyFont="0" applyFill="0" applyBorder="0" applyAlignment="0" applyProtection="0"/>
    <xf numFmtId="234" fontId="36" fillId="0" borderId="0" applyFont="0" applyFill="0" applyBorder="0" applyAlignment="0" applyProtection="0"/>
    <xf numFmtId="235" fontId="119" fillId="0" borderId="0" applyFont="0" applyFill="0" applyBorder="0" applyAlignment="0" applyProtection="0">
      <protection locked="0"/>
    </xf>
    <xf numFmtId="236" fontId="36"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90" fillId="0" borderId="0" applyFont="0" applyFill="0" applyBorder="0" applyAlignment="0" applyProtection="0"/>
    <xf numFmtId="9" fontId="6" fillId="0" borderId="0" applyFont="0" applyFill="0" applyBorder="0" applyAlignment="0" applyProtection="0"/>
    <xf numFmtId="9" fontId="122" fillId="0" borderId="0" applyBorder="0"/>
    <xf numFmtId="237" fontId="122" fillId="0" borderId="0" applyBorder="0"/>
    <xf numFmtId="10" fontId="122" fillId="0" borderId="0" applyBorder="0"/>
    <xf numFmtId="3" fontId="8" fillId="0" borderId="0">
      <alignment horizontal="left" vertical="top"/>
    </xf>
    <xf numFmtId="3" fontId="8" fillId="0" borderId="0">
      <alignment horizontal="right" vertical="top"/>
    </xf>
    <xf numFmtId="0" fontId="8" fillId="0" borderId="0" applyFill="0">
      <alignment horizontal="left" indent="4"/>
    </xf>
    <xf numFmtId="0" fontId="127" fillId="0" borderId="38" applyNumberFormat="0" applyFont="0" applyFill="0" applyAlignment="0" applyProtection="0"/>
    <xf numFmtId="0" fontId="128" fillId="0" borderId="0" applyNumberFormat="0" applyFill="0" applyBorder="0" applyAlignment="0" applyProtection="0"/>
    <xf numFmtId="0" fontId="129" fillId="0" borderId="0"/>
    <xf numFmtId="0" fontId="39" fillId="68" borderId="0"/>
    <xf numFmtId="0" fontId="8" fillId="56" borderId="35" applyNumberFormat="0" applyFont="0" applyAlignment="0"/>
    <xf numFmtId="0" fontId="127" fillId="66" borderId="0" applyNumberFormat="0" applyFont="0" applyBorder="0" applyAlignment="0" applyProtection="0"/>
    <xf numFmtId="223" fontId="130" fillId="0" borderId="15" applyNumberFormat="0" applyFont="0" applyFill="0" applyAlignment="0" applyProtection="0"/>
    <xf numFmtId="0" fontId="131" fillId="0" borderId="0" applyFill="0" applyBorder="0" applyProtection="0">
      <alignment horizontal="left" vertical="top"/>
    </xf>
    <xf numFmtId="0" fontId="8" fillId="0" borderId="4" applyNumberFormat="0" applyFont="0" applyFill="0" applyAlignment="0" applyProtection="0"/>
    <xf numFmtId="0" fontId="132" fillId="0" borderId="0" applyNumberFormat="0" applyFill="0" applyBorder="0" applyAlignment="0" applyProtection="0"/>
    <xf numFmtId="238" fontId="36" fillId="0" borderId="0" applyFont="0" applyFill="0" applyBorder="0" applyAlignment="0" applyProtection="0"/>
    <xf numFmtId="239" fontId="36" fillId="0" borderId="0" applyFont="0" applyFill="0" applyBorder="0" applyAlignment="0" applyProtection="0"/>
    <xf numFmtId="240" fontId="36" fillId="0" borderId="0" applyFont="0" applyFill="0" applyBorder="0" applyAlignment="0" applyProtection="0"/>
    <xf numFmtId="241" fontId="36" fillId="0" borderId="0" applyFont="0" applyFill="0" applyBorder="0" applyAlignment="0" applyProtection="0"/>
    <xf numFmtId="242" fontId="36" fillId="0" borderId="0" applyFont="0" applyFill="0" applyBorder="0" applyAlignment="0" applyProtection="0"/>
    <xf numFmtId="243" fontId="36" fillId="0" borderId="0" applyFont="0" applyFill="0" applyBorder="0" applyAlignment="0" applyProtection="0"/>
    <xf numFmtId="244" fontId="36" fillId="0" borderId="0" applyFont="0" applyFill="0" applyBorder="0" applyAlignment="0" applyProtection="0"/>
    <xf numFmtId="245" fontId="36" fillId="0" borderId="0" applyFont="0" applyFill="0" applyBorder="0" applyAlignment="0" applyProtection="0"/>
    <xf numFmtId="246" fontId="133" fillId="66" borderId="39" applyFont="0" applyFill="0" applyBorder="0" applyAlignment="0" applyProtection="0"/>
    <xf numFmtId="246" fontId="28" fillId="0" borderId="0" applyFont="0" applyFill="0" applyBorder="0" applyAlignment="0" applyProtection="0"/>
    <xf numFmtId="247" fontId="116" fillId="0" borderId="0" applyFont="0" applyFill="0" applyBorder="0" applyAlignment="0" applyProtection="0"/>
    <xf numFmtId="248" fontId="120" fillId="0" borderId="15" applyFont="0" applyFill="0" applyBorder="0" applyAlignment="0" applyProtection="0">
      <alignment horizontal="right"/>
      <protection locked="0"/>
    </xf>
    <xf numFmtId="0" fontId="53" fillId="0" borderId="0">
      <alignment vertical="top"/>
    </xf>
    <xf numFmtId="0" fontId="134" fillId="0" borderId="0"/>
    <xf numFmtId="0" fontId="8" fillId="0" borderId="0" applyNumberFormat="0" applyFill="0" applyBorder="0" applyAlignment="0" applyProtection="0"/>
    <xf numFmtId="0" fontId="8" fillId="0" borderId="0" applyNumberFormat="0" applyFill="0" applyBorder="0" applyAlignment="0" applyProtection="0"/>
    <xf numFmtId="175" fontId="28" fillId="53" borderId="16">
      <alignment horizontal="center" vertical="center"/>
    </xf>
    <xf numFmtId="0" fontId="135" fillId="0" borderId="0" applyNumberFormat="0" applyFont="0" applyFill="0" applyBorder="0" applyProtection="0">
      <alignment vertical="top" wrapText="1"/>
    </xf>
    <xf numFmtId="0" fontId="73" fillId="2" borderId="0" applyNumberFormat="0" applyFont="0" applyAlignment="0">
      <alignment vertical="top"/>
    </xf>
    <xf numFmtId="0" fontId="8" fillId="2" borderId="0" applyNumberFormat="0" applyFont="0" applyAlignment="0">
      <alignment vertical="top" wrapText="1"/>
    </xf>
    <xf numFmtId="249" fontId="131" fillId="0" borderId="37" applyNumberFormat="0" applyFill="0" applyBorder="0" applyAlignment="0" applyProtection="0">
      <alignment horizontal="center"/>
    </xf>
    <xf numFmtId="0" fontId="136" fillId="0" borderId="0"/>
    <xf numFmtId="250" fontId="137" fillId="0" borderId="0">
      <alignment horizontal="center" wrapText="1"/>
    </xf>
    <xf numFmtId="251" fontId="138" fillId="0" borderId="0" applyFont="0" applyFill="0" applyBorder="0" applyAlignment="0" applyProtection="0">
      <alignment vertical="center"/>
    </xf>
    <xf numFmtId="4" fontId="139" fillId="0" borderId="4" applyFont="0" applyFill="0" applyBorder="0" applyAlignment="0">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8" fontId="37" fillId="0" borderId="0">
      <alignment horizontal="right"/>
    </xf>
    <xf numFmtId="252" fontId="135" fillId="0" borderId="0" applyFont="0" applyFill="0" applyBorder="0" applyAlignment="0" applyProtection="0"/>
    <xf numFmtId="0" fontId="140" fillId="0" borderId="0"/>
    <xf numFmtId="253" fontId="141" fillId="0" borderId="0">
      <protection locked="0"/>
    </xf>
    <xf numFmtId="171" fontId="28" fillId="0" borderId="0" applyFont="0" applyFill="0" applyBorder="0" applyAlignment="0" applyProtection="0"/>
    <xf numFmtId="171" fontId="28" fillId="0" borderId="0" applyFont="0" applyFill="0" applyBorder="0" applyAlignment="0" applyProtection="0"/>
    <xf numFmtId="4" fontId="28" fillId="0" borderId="0" applyFont="0" applyFill="0" applyBorder="0" applyAlignment="0" applyProtection="0"/>
    <xf numFmtId="4" fontId="28" fillId="0" borderId="0" applyFont="0" applyFill="0" applyBorder="0" applyAlignment="0" applyProtection="0"/>
    <xf numFmtId="4" fontId="133" fillId="0" borderId="0"/>
    <xf numFmtId="254" fontId="26" fillId="0" borderId="0">
      <protection locked="0"/>
    </xf>
    <xf numFmtId="44" fontId="138" fillId="0" borderId="0" applyFont="0" applyFill="0" applyBorder="0" applyAlignment="0" applyProtection="0"/>
    <xf numFmtId="255" fontId="138"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256" fontId="8" fillId="0" borderId="0" applyFont="0" applyFill="0" applyBorder="0" applyAlignment="0" applyProtection="0">
      <alignment wrapText="1"/>
    </xf>
    <xf numFmtId="256" fontId="8" fillId="0" borderId="0" applyFont="0" applyFill="0" applyBorder="0" applyAlignment="0" applyProtection="0">
      <alignment wrapText="1"/>
    </xf>
    <xf numFmtId="16" fontId="37" fillId="0" borderId="0">
      <alignment horizontal="right"/>
    </xf>
    <xf numFmtId="15" fontId="37" fillId="0" borderId="0">
      <alignment horizontal="right"/>
    </xf>
    <xf numFmtId="257" fontId="7" fillId="0" borderId="0"/>
    <xf numFmtId="182" fontId="8" fillId="0" borderId="0">
      <protection locked="0"/>
    </xf>
    <xf numFmtId="182" fontId="8" fillId="0" borderId="0">
      <protection locked="0"/>
    </xf>
    <xf numFmtId="0" fontId="142" fillId="0" borderId="0" applyNumberFormat="0" applyFill="0" applyBorder="0" applyAlignment="0" applyProtection="0"/>
    <xf numFmtId="38" fontId="37" fillId="56" borderId="0" applyNumberFormat="0" applyBorder="0" applyAlignment="0" applyProtection="0"/>
    <xf numFmtId="183" fontId="8" fillId="0" borderId="0">
      <protection locked="0"/>
    </xf>
    <xf numFmtId="183" fontId="8" fillId="0" borderId="0">
      <protection locked="0"/>
    </xf>
    <xf numFmtId="183" fontId="8" fillId="0" borderId="0">
      <protection locked="0"/>
    </xf>
    <xf numFmtId="183" fontId="8" fillId="0" borderId="0">
      <protection locked="0"/>
    </xf>
    <xf numFmtId="10" fontId="37" fillId="57" borderId="17" applyNumberFormat="0" applyBorder="0" applyAlignment="0" applyProtection="0"/>
    <xf numFmtId="258" fontId="26" fillId="0" borderId="0">
      <alignment horizontal="center"/>
      <protection locked="0"/>
    </xf>
    <xf numFmtId="259" fontId="8" fillId="0" borderId="0" applyFont="0" applyFill="0" applyBorder="0" applyAlignment="0" applyProtection="0"/>
    <xf numFmtId="260" fontId="8" fillId="0" borderId="0" applyFont="0" applyFill="0" applyBorder="0" applyAlignment="0" applyProtection="0"/>
    <xf numFmtId="261" fontId="28" fillId="0" borderId="0"/>
    <xf numFmtId="37" fontId="143" fillId="0" borderId="0"/>
    <xf numFmtId="0" fontId="8"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5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262" fontId="8" fillId="0" borderId="0"/>
    <xf numFmtId="262" fontId="8" fillId="0" borderId="0"/>
    <xf numFmtId="263" fontId="13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45" fillId="0" borderId="40"/>
    <xf numFmtId="174" fontId="133" fillId="0" borderId="0"/>
    <xf numFmtId="3" fontId="44" fillId="0" borderId="41" applyBorder="0">
      <alignment horizontal="right" wrapText="1"/>
    </xf>
    <xf numFmtId="4" fontId="44" fillId="0" borderId="42" applyBorder="0">
      <alignment horizontal="right" wrapText="1"/>
    </xf>
    <xf numFmtId="0" fontId="8" fillId="69" borderId="28" applyNumberFormat="0" applyProtection="0">
      <alignment horizontal="left" vertical="center" indent="1"/>
    </xf>
    <xf numFmtId="4" fontId="53" fillId="70" borderId="28" applyNumberFormat="0" applyProtection="0">
      <alignment horizontal="right" vertical="center"/>
    </xf>
    <xf numFmtId="0" fontId="8" fillId="69" borderId="28" applyNumberFormat="0" applyProtection="0">
      <alignment horizontal="left" vertical="center" indent="1"/>
    </xf>
    <xf numFmtId="0" fontId="8" fillId="69" borderId="28" applyNumberFormat="0" applyProtection="0">
      <alignment horizontal="left" vertical="center" indent="1"/>
    </xf>
    <xf numFmtId="0" fontId="135" fillId="71" borderId="0" applyNumberFormat="0" applyFont="0" applyBorder="0" applyAlignment="0" applyProtection="0"/>
    <xf numFmtId="0" fontId="135" fillId="61" borderId="0" applyNumberFormat="0" applyFont="0" applyBorder="0" applyAlignment="0" applyProtection="0"/>
    <xf numFmtId="0" fontId="135" fillId="1" borderId="0" applyNumberFormat="0" applyFont="0" applyBorder="0" applyAlignment="0" applyProtection="0"/>
    <xf numFmtId="264" fontId="135" fillId="0" borderId="0" applyFont="0" applyFill="0" applyBorder="0" applyAlignment="0" applyProtection="0"/>
    <xf numFmtId="265" fontId="135" fillId="0" borderId="0" applyFont="0" applyFill="0" applyBorder="0" applyAlignment="0" applyProtection="0"/>
    <xf numFmtId="266" fontId="135" fillId="0" borderId="0" applyFont="0" applyFill="0" applyBorder="0" applyAlignment="0" applyProtection="0"/>
    <xf numFmtId="0" fontId="73" fillId="72" borderId="43" applyNumberFormat="0" applyProtection="0">
      <alignment horizontal="center" wrapText="1"/>
    </xf>
    <xf numFmtId="0" fontId="73" fillId="72" borderId="43" applyNumberFormat="0" applyProtection="0">
      <alignment horizontal="center" wrapText="1"/>
    </xf>
    <xf numFmtId="0" fontId="73" fillId="72" borderId="44" applyNumberFormat="0" applyAlignment="0" applyProtection="0">
      <alignment wrapText="1"/>
    </xf>
    <xf numFmtId="0" fontId="73" fillId="72" borderId="44" applyNumberFormat="0" applyAlignment="0" applyProtection="0">
      <alignment wrapText="1"/>
    </xf>
    <xf numFmtId="0" fontId="8" fillId="73" borderId="0" applyNumberFormat="0" applyBorder="0">
      <alignment horizontal="center" wrapText="1"/>
    </xf>
    <xf numFmtId="0" fontId="8" fillId="73" borderId="0" applyNumberFormat="0" applyBorder="0">
      <alignment horizontal="center" wrapText="1"/>
    </xf>
    <xf numFmtId="0" fontId="8" fillId="73" borderId="0" applyNumberFormat="0" applyBorder="0">
      <alignment wrapText="1"/>
    </xf>
    <xf numFmtId="0" fontId="8" fillId="73" borderId="0" applyNumberFormat="0" applyBorder="0">
      <alignment wrapText="1"/>
    </xf>
    <xf numFmtId="0" fontId="8" fillId="0" borderId="0" applyNumberFormat="0" applyFill="0" applyBorder="0" applyProtection="0">
      <alignment horizontal="right" wrapText="1"/>
    </xf>
    <xf numFmtId="0" fontId="8" fillId="0" borderId="0" applyNumberFormat="0" applyFill="0" applyBorder="0" applyProtection="0">
      <alignment horizontal="right" wrapText="1"/>
    </xf>
    <xf numFmtId="267" fontId="8" fillId="0" borderId="0" applyFill="0" applyBorder="0" applyAlignment="0" applyProtection="0">
      <alignment wrapText="1"/>
    </xf>
    <xf numFmtId="267" fontId="8" fillId="0" borderId="0" applyFill="0" applyBorder="0" applyAlignment="0" applyProtection="0">
      <alignment wrapText="1"/>
    </xf>
    <xf numFmtId="192" fontId="8" fillId="0" borderId="0" applyFill="0" applyBorder="0" applyAlignment="0" applyProtection="0">
      <alignment wrapText="1"/>
    </xf>
    <xf numFmtId="268" fontId="8" fillId="0" borderId="0" applyFill="0" applyBorder="0" applyAlignment="0" applyProtection="0">
      <alignment wrapText="1"/>
    </xf>
    <xf numFmtId="0" fontId="8" fillId="0" borderId="0" applyNumberFormat="0" applyFill="0" applyBorder="0" applyProtection="0">
      <alignment horizontal="right" wrapText="1"/>
    </xf>
    <xf numFmtId="0" fontId="8" fillId="0" borderId="0" applyNumberFormat="0" applyFill="0" applyBorder="0" applyProtection="0">
      <alignment horizontal="right" wrapText="1"/>
    </xf>
    <xf numFmtId="0" fontId="8" fillId="0" borderId="0" applyNumberFormat="0" applyFill="0" applyBorder="0">
      <alignment horizontal="right" wrapText="1"/>
    </xf>
    <xf numFmtId="0" fontId="8" fillId="0" borderId="0" applyNumberFormat="0" applyFill="0" applyBorder="0">
      <alignment horizontal="right" wrapText="1"/>
    </xf>
    <xf numFmtId="17" fontId="8" fillId="0" borderId="0" applyFill="0" applyBorder="0">
      <alignment horizontal="right" wrapText="1"/>
    </xf>
    <xf numFmtId="17" fontId="8" fillId="0" borderId="0" applyFill="0" applyBorder="0">
      <alignment horizontal="right" wrapText="1"/>
    </xf>
    <xf numFmtId="8" fontId="8" fillId="0" borderId="0" applyFill="0" applyBorder="0" applyAlignment="0" applyProtection="0">
      <alignment wrapText="1"/>
    </xf>
    <xf numFmtId="8" fontId="8" fillId="0" borderId="0" applyFill="0" applyBorder="0" applyAlignment="0" applyProtection="0">
      <alignment wrapText="1"/>
    </xf>
    <xf numFmtId="0" fontId="27" fillId="0" borderId="0" applyNumberFormat="0" applyFill="0" applyBorder="0">
      <alignment horizontal="left" wrapText="1"/>
    </xf>
    <xf numFmtId="0" fontId="27" fillId="0" borderId="0" applyNumberFormat="0" applyFill="0" applyBorder="0">
      <alignment horizontal="left" wrapText="1"/>
    </xf>
    <xf numFmtId="0" fontId="73" fillId="0" borderId="0" applyNumberFormat="0" applyFill="0" applyBorder="0">
      <alignment horizontal="center" wrapText="1"/>
    </xf>
    <xf numFmtId="0" fontId="73" fillId="0" borderId="0" applyNumberFormat="0" applyFill="0" applyBorder="0">
      <alignment horizontal="center" wrapText="1"/>
    </xf>
    <xf numFmtId="0" fontId="73" fillId="0" borderId="0" applyNumberFormat="0" applyFill="0" applyBorder="0">
      <alignment horizontal="center" wrapText="1"/>
    </xf>
    <xf numFmtId="0" fontId="73" fillId="0" borderId="0" applyNumberFormat="0" applyFill="0" applyBorder="0">
      <alignment horizontal="center" wrapText="1"/>
    </xf>
    <xf numFmtId="0" fontId="146" fillId="0" borderId="45"/>
    <xf numFmtId="0" fontId="147" fillId="0" borderId="0">
      <alignment horizontal="centerContinuous" vertical="center" wrapText="1"/>
    </xf>
    <xf numFmtId="0" fontId="135" fillId="0" borderId="0" applyNumberFormat="0" applyFont="0" applyFill="0" applyBorder="0" applyProtection="0">
      <alignment horizontal="center" wrapText="1"/>
    </xf>
    <xf numFmtId="0" fontId="135" fillId="0" borderId="0" applyNumberFormat="0" applyFont="0" applyFill="0" applyBorder="0" applyProtection="0">
      <alignment horizontal="centerContinuous" vertical="center" wrapText="1"/>
    </xf>
    <xf numFmtId="0" fontId="8" fillId="0" borderId="0"/>
    <xf numFmtId="0" fontId="8" fillId="0" borderId="0"/>
    <xf numFmtId="269" fontId="8" fillId="0" borderId="0">
      <alignment wrapText="1"/>
    </xf>
    <xf numFmtId="269" fontId="8" fillId="0" borderId="0">
      <alignment wrapText="1"/>
    </xf>
    <xf numFmtId="270" fontId="8" fillId="0" borderId="0">
      <alignment wrapText="1"/>
    </xf>
    <xf numFmtId="270" fontId="8" fillId="0" borderId="0">
      <alignment wrapText="1"/>
    </xf>
    <xf numFmtId="37" fontId="37" fillId="2" borderId="0" applyNumberFormat="0" applyBorder="0" applyAlignment="0" applyProtection="0"/>
    <xf numFmtId="37" fontId="37" fillId="0" borderId="0"/>
    <xf numFmtId="0" fontId="148" fillId="0" borderId="0"/>
    <xf numFmtId="0" fontId="135" fillId="0" borderId="0" applyNumberFormat="0" applyFont="0" applyFill="0" applyBorder="0" applyProtection="0"/>
    <xf numFmtId="0" fontId="135" fillId="0" borderId="0" applyNumberFormat="0" applyFont="0" applyFill="0" applyBorder="0" applyProtection="0">
      <alignment vertical="center"/>
    </xf>
    <xf numFmtId="0" fontId="135" fillId="0" borderId="0" applyNumberFormat="0" applyFont="0" applyFill="0" applyBorder="0" applyProtection="0">
      <alignment vertical="top"/>
    </xf>
    <xf numFmtId="0" fontId="135" fillId="0" borderId="0" applyNumberFormat="0" applyFont="0" applyFill="0" applyBorder="0" applyProtection="0">
      <alignment wrapText="1"/>
    </xf>
    <xf numFmtId="0" fontId="149" fillId="0" borderId="0"/>
    <xf numFmtId="0" fontId="149" fillId="0" borderId="0"/>
    <xf numFmtId="43" fontId="149" fillId="0" borderId="0" applyFont="0" applyFill="0" applyBorder="0" applyAlignment="0" applyProtection="0"/>
    <xf numFmtId="0" fontId="144" fillId="0" borderId="0"/>
    <xf numFmtId="172" fontId="150" fillId="0" borderId="0" applyNumberFormat="0" applyFill="0" applyBorder="0" applyAlignment="0" applyProtection="0"/>
    <xf numFmtId="9" fontId="5" fillId="0" borderId="0" applyFont="0" applyFill="0" applyBorder="0" applyAlignment="0" applyProtection="0"/>
    <xf numFmtId="0" fontId="8" fillId="0" borderId="0"/>
    <xf numFmtId="43" fontId="8" fillId="0" borderId="0" applyFont="0" applyFill="0" applyBorder="0" applyAlignment="0" applyProtection="0"/>
    <xf numFmtId="272" fontId="151" fillId="0" borderId="0" applyFont="0" applyFill="0" applyBorder="0" applyAlignment="0" applyProtection="0"/>
    <xf numFmtId="273" fontId="151" fillId="0" borderId="0" applyFont="0" applyFill="0" applyBorder="0" applyAlignment="0" applyProtection="0"/>
    <xf numFmtId="274" fontId="151" fillId="0" borderId="0" applyFont="0" applyFill="0" applyBorder="0" applyAlignment="0" applyProtection="0"/>
    <xf numFmtId="275" fontId="151" fillId="0" borderId="0" applyFont="0" applyFill="0" applyBorder="0" applyAlignment="0" applyProtection="0"/>
    <xf numFmtId="276" fontId="151" fillId="0" borderId="0" applyFont="0" applyFill="0" applyBorder="0" applyAlignment="0" applyProtection="0"/>
    <xf numFmtId="277" fontId="151" fillId="0" borderId="0" applyFont="0" applyFill="0" applyBorder="0" applyAlignment="0" applyProtection="0"/>
    <xf numFmtId="0" fontId="95" fillId="0" borderId="0"/>
    <xf numFmtId="278" fontId="151" fillId="0" borderId="0" applyFont="0" applyFill="0" applyBorder="0" applyProtection="0">
      <alignment horizontal="left"/>
    </xf>
    <xf numFmtId="279" fontId="151" fillId="0" borderId="0" applyFont="0" applyFill="0" applyBorder="0" applyProtection="0">
      <alignment horizontal="left"/>
    </xf>
    <xf numFmtId="280" fontId="151" fillId="0" borderId="0" applyFont="0" applyFill="0" applyBorder="0" applyProtection="0">
      <alignment horizontal="left"/>
    </xf>
    <xf numFmtId="0" fontId="114" fillId="0" borderId="0"/>
    <xf numFmtId="0" fontId="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281" fontId="15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3" fillId="0" borderId="0" applyFont="0" applyFill="0" applyBorder="0" applyAlignment="0" applyProtection="0"/>
    <xf numFmtId="37" fontId="70" fillId="0" borderId="0" applyFill="0" applyBorder="0" applyAlignment="0" applyProtection="0"/>
    <xf numFmtId="282" fontId="151" fillId="0" borderId="0" applyFont="0" applyFill="0" applyBorder="0" applyAlignment="0" applyProtection="0"/>
    <xf numFmtId="283" fontId="151" fillId="0" borderId="0" applyFont="0" applyFill="0" applyBorder="0" applyAlignment="0" applyProtection="0"/>
    <xf numFmtId="5" fontId="70" fillId="0" borderId="0" applyFill="0" applyBorder="0" applyAlignment="0" applyProtection="0"/>
    <xf numFmtId="284" fontId="151" fillId="0" borderId="0" applyFont="0" applyFill="0" applyBorder="0" applyProtection="0"/>
    <xf numFmtId="285" fontId="151" fillId="0" borderId="0" applyFont="0" applyFill="0" applyBorder="0" applyProtection="0"/>
    <xf numFmtId="286" fontId="151" fillId="0" borderId="0" applyFont="0" applyFill="0" applyBorder="0" applyAlignment="0" applyProtection="0"/>
    <xf numFmtId="287" fontId="151" fillId="0" borderId="0" applyFont="0" applyFill="0" applyBorder="0" applyAlignment="0" applyProtection="0"/>
    <xf numFmtId="288" fontId="151" fillId="0" borderId="0" applyFont="0" applyFill="0" applyBorder="0" applyAlignment="0" applyProtection="0"/>
    <xf numFmtId="289" fontId="127" fillId="0" borderId="0" applyFont="0" applyFill="0" applyBorder="0" applyAlignment="0" applyProtection="0"/>
    <xf numFmtId="0" fontId="152" fillId="0" borderId="0"/>
    <xf numFmtId="0" fontId="151" fillId="0" borderId="0" applyFont="0" applyFill="0" applyBorder="0" applyProtection="0">
      <alignment horizontal="center" wrapText="1"/>
    </xf>
    <xf numFmtId="290" fontId="151" fillId="0" borderId="0" applyFont="0" applyFill="0" applyBorder="0" applyProtection="0">
      <alignment horizontal="right"/>
    </xf>
    <xf numFmtId="291" fontId="151" fillId="0" borderId="0" applyFont="0" applyFill="0" applyBorder="0" applyProtection="0">
      <alignment horizontal="left"/>
    </xf>
    <xf numFmtId="292" fontId="151" fillId="0" borderId="0" applyFont="0" applyFill="0" applyBorder="0" applyProtection="0">
      <alignment horizontal="left"/>
    </xf>
    <xf numFmtId="293" fontId="151" fillId="0" borderId="0" applyFont="0" applyFill="0" applyBorder="0" applyProtection="0">
      <alignment horizontal="left"/>
    </xf>
    <xf numFmtId="294" fontId="151" fillId="0" borderId="0" applyFont="0" applyFill="0" applyBorder="0" applyProtection="0">
      <alignment horizontal="left"/>
    </xf>
    <xf numFmtId="0" fontId="153" fillId="0" borderId="0"/>
    <xf numFmtId="0" fontId="8" fillId="0" borderId="0" applyFont="0" applyFill="0" applyBorder="0" applyAlignment="0" applyProtection="0">
      <alignment horizontal="right"/>
    </xf>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applyProtection="0"/>
    <xf numFmtId="172" fontId="9" fillId="0" borderId="0" applyProtection="0"/>
    <xf numFmtId="172" fontId="9" fillId="0" borderId="0" applyProtection="0"/>
    <xf numFmtId="0" fontId="8" fillId="0" borderId="0"/>
    <xf numFmtId="0" fontId="7" fillId="76" borderId="0" applyNumberFormat="0" applyFont="0" applyBorder="0" applyAlignment="0"/>
    <xf numFmtId="295" fontId="154" fillId="0" borderId="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96" fontId="8" fillId="0" borderId="0"/>
    <xf numFmtId="297" fontId="28" fillId="0" borderId="0"/>
    <xf numFmtId="297" fontId="28" fillId="0" borderId="0"/>
    <xf numFmtId="295" fontId="154" fillId="0" borderId="0"/>
    <xf numFmtId="0" fontId="28" fillId="0" borderId="0"/>
    <xf numFmtId="295" fontId="70" fillId="0" borderId="0"/>
    <xf numFmtId="296" fontId="8" fillId="0" borderId="0"/>
    <xf numFmtId="297" fontId="28" fillId="0" borderId="0"/>
    <xf numFmtId="297" fontId="28" fillId="0" borderId="0"/>
    <xf numFmtId="0" fontId="28" fillId="0" borderId="0"/>
    <xf numFmtId="0" fontId="28" fillId="0" borderId="0"/>
    <xf numFmtId="298" fontId="28" fillId="0" borderId="0"/>
    <xf numFmtId="170" fontId="28" fillId="0" borderId="0"/>
    <xf numFmtId="299" fontId="28" fillId="0" borderId="0"/>
    <xf numFmtId="298" fontId="28" fillId="0" borderId="0"/>
    <xf numFmtId="170" fontId="28" fillId="0" borderId="0"/>
    <xf numFmtId="268" fontId="28" fillId="0" borderId="0"/>
    <xf numFmtId="268" fontId="28" fillId="0" borderId="0"/>
    <xf numFmtId="300" fontId="28" fillId="0" borderId="0"/>
    <xf numFmtId="299" fontId="28" fillId="0" borderId="0"/>
    <xf numFmtId="169" fontId="28" fillId="0" borderId="0"/>
    <xf numFmtId="300" fontId="28" fillId="0" borderId="0"/>
    <xf numFmtId="300" fontId="28" fillId="0" borderId="0"/>
    <xf numFmtId="0" fontId="28" fillId="0" borderId="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95" fontId="154" fillId="0" borderId="0"/>
    <xf numFmtId="295" fontId="154" fillId="0" borderId="0"/>
    <xf numFmtId="222" fontId="8" fillId="0" borderId="0" applyFont="0" applyFill="0" applyBorder="0" applyAlignment="0" applyProtection="0"/>
    <xf numFmtId="295" fontId="154" fillId="0" borderId="0"/>
    <xf numFmtId="295" fontId="154" fillId="0" borderId="0"/>
    <xf numFmtId="298" fontId="28" fillId="0" borderId="0"/>
    <xf numFmtId="170" fontId="28" fillId="0" borderId="0"/>
    <xf numFmtId="299" fontId="28" fillId="0" borderId="0"/>
    <xf numFmtId="298" fontId="28" fillId="0" borderId="0"/>
    <xf numFmtId="170" fontId="28" fillId="0" borderId="0"/>
    <xf numFmtId="268" fontId="28" fillId="0" borderId="0"/>
    <xf numFmtId="268" fontId="28" fillId="0" borderId="0"/>
    <xf numFmtId="300" fontId="28" fillId="0" borderId="0"/>
    <xf numFmtId="299" fontId="28" fillId="0" borderId="0"/>
    <xf numFmtId="169" fontId="28" fillId="0" borderId="0"/>
    <xf numFmtId="300" fontId="28" fillId="0" borderId="0"/>
    <xf numFmtId="300" fontId="28" fillId="0" borderId="0"/>
    <xf numFmtId="301" fontId="151" fillId="0" borderId="0" applyFont="0" applyFill="0" applyBorder="0" applyAlignment="0" applyProtection="0"/>
    <xf numFmtId="302" fontId="151"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94" fontId="70" fillId="0" borderId="0" applyFill="0" applyBorder="0" applyAlignment="0" applyProtection="0"/>
    <xf numFmtId="0" fontId="129" fillId="0" borderId="0"/>
    <xf numFmtId="0" fontId="155" fillId="0" borderId="1">
      <alignment horizontal="right"/>
    </xf>
    <xf numFmtId="303" fontId="120" fillId="0" borderId="0">
      <alignment horizontal="center"/>
    </xf>
    <xf numFmtId="304" fontId="156" fillId="0" borderId="0">
      <alignment horizontal="center"/>
    </xf>
    <xf numFmtId="0" fontId="53" fillId="0" borderId="0" applyNumberFormat="0" applyBorder="0" applyAlignment="0"/>
    <xf numFmtId="0" fontId="157" fillId="0" borderId="0" applyNumberFormat="0" applyBorder="0" applyAlignment="0"/>
    <xf numFmtId="0" fontId="158" fillId="0" borderId="0" applyAlignment="0">
      <alignment horizontal="centerContinuous"/>
    </xf>
    <xf numFmtId="0" fontId="159" fillId="0" borderId="0" applyNumberFormat="0" applyFill="0" applyBorder="0" applyAlignment="0" applyProtection="0">
      <alignment vertical="top"/>
      <protection locked="0"/>
    </xf>
    <xf numFmtId="172" fontId="9" fillId="0" borderId="0" applyProtection="0"/>
    <xf numFmtId="43" fontId="9" fillId="0" borderId="0" applyFont="0" applyFill="0" applyBorder="0" applyAlignment="0" applyProtection="0"/>
    <xf numFmtId="9" fontId="9" fillId="0" borderId="0" applyFont="0" applyFill="0" applyBorder="0" applyAlignment="0" applyProtection="0"/>
    <xf numFmtId="37" fontId="9" fillId="0" borderId="0" applyFont="0" applyFill="0" applyBorder="0" applyAlignment="0" applyProtection="0"/>
    <xf numFmtId="172" fontId="9" fillId="0" borderId="0" applyProtection="0"/>
    <xf numFmtId="172" fontId="9" fillId="0" borderId="0" applyProtection="0"/>
    <xf numFmtId="0" fontId="8" fillId="0" borderId="0"/>
    <xf numFmtId="0" fontId="182" fillId="0" borderId="0"/>
    <xf numFmtId="44" fontId="8" fillId="0" borderId="0" applyFont="0" applyFill="0" applyBorder="0" applyAlignment="0" applyProtection="0"/>
    <xf numFmtId="0" fontId="3" fillId="0" borderId="0"/>
    <xf numFmtId="0" fontId="26" fillId="0" borderId="0">
      <alignment vertical="top"/>
    </xf>
    <xf numFmtId="0" fontId="2" fillId="0" borderId="0"/>
    <xf numFmtId="172" fontId="9" fillId="0" borderId="0" applyProtection="0"/>
    <xf numFmtId="9" fontId="2" fillId="0" borderId="0" applyFont="0" applyFill="0" applyBorder="0" applyAlignment="0" applyProtection="0"/>
    <xf numFmtId="43" fontId="2" fillId="0" borderId="0" applyFont="0" applyFill="0" applyBorder="0" applyAlignment="0" applyProtection="0"/>
    <xf numFmtId="0" fontId="8" fillId="0" borderId="0"/>
    <xf numFmtId="0" fontId="2" fillId="0" borderId="0"/>
    <xf numFmtId="43" fontId="2"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cellStyleXfs>
  <cellXfs count="904">
    <xf numFmtId="172" fontId="0" fillId="0" borderId="0" xfId="0" applyAlignment="1"/>
    <xf numFmtId="0" fontId="160" fillId="0" borderId="0" xfId="0" applyNumberFormat="1" applyFont="1" applyAlignment="1">
      <alignment horizontal="center"/>
    </xf>
    <xf numFmtId="172" fontId="28" fillId="0" borderId="0" xfId="0" applyFont="1" applyAlignment="1"/>
    <xf numFmtId="0" fontId="28" fillId="0" borderId="0" xfId="4598" applyFont="1"/>
    <xf numFmtId="172" fontId="36" fillId="0" borderId="0" xfId="0" applyFont="1" applyAlignment="1"/>
    <xf numFmtId="0" fontId="28" fillId="0" borderId="0" xfId="0" applyNumberFormat="1" applyFont="1" applyAlignment="1">
      <alignment horizontal="center"/>
    </xf>
    <xf numFmtId="0" fontId="28" fillId="0" borderId="0" xfId="4598" applyFont="1" applyFill="1"/>
    <xf numFmtId="172" fontId="28" fillId="0" borderId="0" xfId="0" applyFont="1" applyFill="1" applyAlignment="1"/>
    <xf numFmtId="172" fontId="28" fillId="0" borderId="0" xfId="0" applyFont="1" applyAlignment="1">
      <alignment horizontal="right"/>
    </xf>
    <xf numFmtId="172" fontId="28" fillId="0" borderId="0" xfId="0" applyFont="1" applyBorder="1" applyAlignment="1"/>
    <xf numFmtId="0" fontId="120" fillId="0" borderId="0" xfId="4598" applyFont="1" applyAlignment="1">
      <alignment horizontal="centerContinuous"/>
    </xf>
    <xf numFmtId="0" fontId="120" fillId="0" borderId="17" xfId="4598" applyFont="1" applyFill="1" applyBorder="1" applyAlignment="1">
      <alignment horizontal="center"/>
    </xf>
    <xf numFmtId="0" fontId="28" fillId="0" borderId="0" xfId="0" applyNumberFormat="1" applyFont="1" applyAlignment="1">
      <alignment horizontal="center" wrapText="1"/>
    </xf>
    <xf numFmtId="0" fontId="120" fillId="0" borderId="0" xfId="4598" applyFont="1" applyAlignment="1">
      <alignment horizontal="center" wrapText="1"/>
    </xf>
    <xf numFmtId="0" fontId="120" fillId="0" borderId="0" xfId="4598" applyFont="1" applyFill="1" applyAlignment="1">
      <alignment horizontal="center" wrapText="1"/>
    </xf>
    <xf numFmtId="172" fontId="120" fillId="0" borderId="0" xfId="0" applyFont="1" applyFill="1" applyAlignment="1">
      <alignment horizontal="center" wrapText="1"/>
    </xf>
    <xf numFmtId="172" fontId="28" fillId="0" borderId="0" xfId="0" applyFont="1" applyAlignment="1">
      <alignment wrapText="1"/>
    </xf>
    <xf numFmtId="0" fontId="120" fillId="0" borderId="0" xfId="4598" applyFont="1" applyAlignment="1">
      <alignment horizontal="center"/>
    </xf>
    <xf numFmtId="0" fontId="120" fillId="0" borderId="0" xfId="4595" applyFont="1" applyFill="1" applyBorder="1" applyAlignment="1">
      <alignment horizontal="center" wrapText="1"/>
    </xf>
    <xf numFmtId="172" fontId="161" fillId="0" borderId="0" xfId="0" applyFont="1" applyAlignment="1"/>
    <xf numFmtId="172" fontId="160" fillId="0" borderId="0" xfId="0" applyFont="1" applyAlignment="1"/>
    <xf numFmtId="0" fontId="28" fillId="0" borderId="0" xfId="4598" applyFont="1" applyAlignment="1">
      <alignment horizontal="left"/>
    </xf>
    <xf numFmtId="0" fontId="28" fillId="0" borderId="0" xfId="4598" quotePrefix="1" applyFont="1" applyAlignment="1">
      <alignment horizontal="left"/>
    </xf>
    <xf numFmtId="41" fontId="28" fillId="2" borderId="0" xfId="4598" applyNumberFormat="1" applyFont="1" applyFill="1"/>
    <xf numFmtId="0" fontId="28" fillId="0" borderId="0" xfId="4598" applyFont="1" applyAlignment="1">
      <alignment horizontal="right"/>
    </xf>
    <xf numFmtId="174" fontId="28" fillId="0" borderId="14" xfId="190" applyNumberFormat="1" applyFont="1" applyBorder="1"/>
    <xf numFmtId="37" fontId="28" fillId="0" borderId="0" xfId="4598" applyNumberFormat="1" applyFont="1"/>
    <xf numFmtId="172" fontId="28" fillId="0" borderId="0" xfId="4596" applyFont="1" applyAlignment="1"/>
    <xf numFmtId="0" fontId="120" fillId="0" borderId="0" xfId="4598" applyFont="1" applyFill="1" applyAlignment="1">
      <alignment horizontal="centerContinuous" wrapText="1"/>
    </xf>
    <xf numFmtId="0" fontId="28" fillId="0" borderId="0" xfId="4598" applyFont="1" applyFill="1" applyAlignment="1">
      <alignment horizontal="left"/>
    </xf>
    <xf numFmtId="41" fontId="28" fillId="77" borderId="0" xfId="4598" applyNumberFormat="1" applyFont="1" applyFill="1"/>
    <xf numFmtId="43" fontId="28" fillId="0" borderId="14" xfId="190" applyFont="1" applyBorder="1"/>
    <xf numFmtId="172" fontId="28" fillId="74" borderId="0" xfId="0" applyFont="1" applyFill="1" applyAlignment="1"/>
    <xf numFmtId="172" fontId="28" fillId="0" borderId="0" xfId="0" applyFont="1" applyAlignment="1">
      <alignment horizontal="center"/>
    </xf>
    <xf numFmtId="44" fontId="28" fillId="0" borderId="0" xfId="0" applyNumberFormat="1" applyFont="1" applyBorder="1" applyAlignment="1"/>
    <xf numFmtId="44" fontId="28" fillId="0" borderId="0" xfId="0" applyNumberFormat="1" applyFont="1" applyFill="1" applyBorder="1" applyAlignment="1"/>
    <xf numFmtId="0" fontId="28" fillId="0" borderId="0" xfId="4157" applyFont="1" applyFill="1" applyBorder="1" applyAlignment="1"/>
    <xf numFmtId="0" fontId="28" fillId="0" borderId="0" xfId="4157" applyFont="1" applyFill="1" applyBorder="1" applyAlignment="1">
      <alignment horizontal="center"/>
    </xf>
    <xf numFmtId="3" fontId="28" fillId="0" borderId="0" xfId="4157" applyNumberFormat="1" applyFont="1" applyFill="1" applyBorder="1" applyAlignment="1">
      <alignment horizontal="center" wrapText="1"/>
    </xf>
    <xf numFmtId="0" fontId="28" fillId="0" borderId="0" xfId="4157" applyFont="1" applyFill="1" applyBorder="1" applyAlignment="1">
      <alignment horizontal="center" wrapText="1"/>
    </xf>
    <xf numFmtId="172" fontId="160" fillId="0" borderId="0" xfId="0" applyFont="1" applyBorder="1" applyAlignment="1"/>
    <xf numFmtId="172" fontId="28" fillId="0" borderId="0" xfId="0" applyFont="1" applyFill="1" applyBorder="1" applyAlignment="1"/>
    <xf numFmtId="0" fontId="28" fillId="3" borderId="0" xfId="4157" applyFont="1" applyFill="1" applyBorder="1" applyAlignment="1"/>
    <xf numFmtId="174" fontId="28" fillId="3" borderId="0" xfId="190" applyNumberFormat="1" applyFont="1" applyFill="1" applyBorder="1" applyAlignment="1">
      <alignment horizontal="center"/>
    </xf>
    <xf numFmtId="174" fontId="28" fillId="0" borderId="0" xfId="190" applyNumberFormat="1" applyFont="1" applyFill="1" applyBorder="1" applyAlignment="1">
      <alignment horizontal="center" wrapText="1"/>
    </xf>
    <xf numFmtId="174" fontId="28" fillId="3" borderId="0" xfId="190" applyNumberFormat="1" applyFont="1" applyFill="1" applyBorder="1"/>
    <xf numFmtId="172" fontId="160" fillId="3" borderId="0" xfId="0" applyFont="1" applyFill="1" applyAlignment="1"/>
    <xf numFmtId="0" fontId="28" fillId="3" borderId="3" xfId="4157" applyFont="1" applyFill="1" applyBorder="1" applyAlignment="1"/>
    <xf numFmtId="174" fontId="28" fillId="3" borderId="3" xfId="190" applyNumberFormat="1" applyFont="1" applyFill="1" applyBorder="1"/>
    <xf numFmtId="174" fontId="28" fillId="3" borderId="3" xfId="190" applyNumberFormat="1" applyFont="1" applyFill="1" applyBorder="1" applyAlignment="1">
      <alignment horizontal="center"/>
    </xf>
    <xf numFmtId="172" fontId="160" fillId="3" borderId="3" xfId="0" applyFont="1" applyFill="1" applyBorder="1" applyAlignment="1"/>
    <xf numFmtId="174" fontId="28" fillId="0" borderId="3" xfId="190" applyNumberFormat="1" applyFont="1" applyFill="1" applyBorder="1" applyAlignment="1">
      <alignment horizontal="center" wrapText="1"/>
    </xf>
    <xf numFmtId="174" fontId="28" fillId="0" borderId="0" xfId="190" applyNumberFormat="1" applyFont="1" applyFill="1" applyBorder="1"/>
    <xf numFmtId="174" fontId="28" fillId="0" borderId="0" xfId="190" applyNumberFormat="1" applyFont="1" applyFill="1" applyBorder="1" applyAlignment="1">
      <alignment horizontal="center"/>
    </xf>
    <xf numFmtId="0" fontId="162" fillId="0" borderId="0" xfId="0" applyNumberFormat="1" applyFont="1" applyAlignment="1">
      <alignment horizontal="center"/>
    </xf>
    <xf numFmtId="172" fontId="162" fillId="0" borderId="0" xfId="0" applyFont="1" applyAlignment="1">
      <alignment horizontal="center"/>
    </xf>
    <xf numFmtId="44" fontId="162" fillId="0" borderId="0" xfId="0" applyNumberFormat="1" applyFont="1" applyBorder="1" applyAlignment="1"/>
    <xf numFmtId="172" fontId="28" fillId="0" borderId="0" xfId="0" applyFont="1" applyFill="1" applyAlignment="1">
      <alignment vertical="center" wrapText="1"/>
    </xf>
    <xf numFmtId="172" fontId="28" fillId="0" borderId="0" xfId="0" applyFont="1" applyFill="1" applyAlignment="1">
      <alignment vertical="center"/>
    </xf>
    <xf numFmtId="0" fontId="28" fillId="0" borderId="0" xfId="0" applyNumberFormat="1" applyFont="1" applyAlignment="1">
      <alignment horizontal="center" vertical="top"/>
    </xf>
    <xf numFmtId="0" fontId="28" fillId="0" borderId="0" xfId="0" applyNumberFormat="1" applyFont="1" applyFill="1" applyAlignment="1">
      <alignment horizontal="center" vertical="top"/>
    </xf>
    <xf numFmtId="0" fontId="28" fillId="0" borderId="0" xfId="4228" applyNumberFormat="1" applyFont="1" applyFill="1" applyAlignment="1">
      <alignment vertical="top"/>
    </xf>
    <xf numFmtId="3" fontId="28" fillId="0" borderId="0" xfId="4228" applyNumberFormat="1" applyFont="1" applyAlignment="1"/>
    <xf numFmtId="3" fontId="28" fillId="0" borderId="0" xfId="4597" applyNumberFormat="1" applyFont="1" applyAlignment="1"/>
    <xf numFmtId="0" fontId="28" fillId="0" borderId="0" xfId="4597" applyNumberFormat="1" applyFont="1" applyAlignment="1" applyProtection="1">
      <alignment horizontal="center"/>
      <protection locked="0"/>
    </xf>
    <xf numFmtId="0" fontId="28" fillId="0" borderId="0" xfId="4597" applyNumberFormat="1" applyFont="1" applyAlignment="1"/>
    <xf numFmtId="174" fontId="28" fillId="0" borderId="0" xfId="190" applyNumberFormat="1" applyFont="1" applyAlignment="1"/>
    <xf numFmtId="43" fontId="28" fillId="0" borderId="0" xfId="190" applyFont="1" applyAlignment="1">
      <alignment horizontal="center"/>
    </xf>
    <xf numFmtId="0" fontId="28" fillId="0" borderId="0" xfId="4595" applyFont="1" applyAlignment="1"/>
    <xf numFmtId="3" fontId="28" fillId="0" borderId="0" xfId="4595" applyNumberFormat="1" applyFont="1" applyFill="1" applyAlignment="1"/>
    <xf numFmtId="174" fontId="28" fillId="0" borderId="0" xfId="190" applyNumberFormat="1" applyFont="1" applyFill="1" applyBorder="1" applyAlignment="1"/>
    <xf numFmtId="3" fontId="28" fillId="0" borderId="0" xfId="4595" applyNumberFormat="1" applyFont="1" applyBorder="1" applyAlignment="1"/>
    <xf numFmtId="3" fontId="28" fillId="0" borderId="0" xfId="4595" applyNumberFormat="1" applyFont="1" applyFill="1" applyBorder="1" applyAlignment="1"/>
    <xf numFmtId="271" fontId="28" fillId="0" borderId="0" xfId="190" applyNumberFormat="1" applyFont="1" applyFill="1" applyBorder="1" applyAlignment="1"/>
    <xf numFmtId="174" fontId="28" fillId="0" borderId="0" xfId="190" applyNumberFormat="1" applyFont="1" applyBorder="1" applyAlignment="1"/>
    <xf numFmtId="172" fontId="28" fillId="0" borderId="0" xfId="4597" applyFont="1" applyAlignment="1"/>
    <xf numFmtId="164" fontId="28" fillId="0" borderId="0" xfId="4597" applyNumberFormat="1" applyFont="1" applyAlignment="1">
      <alignment horizontal="center"/>
    </xf>
    <xf numFmtId="174" fontId="28" fillId="0" borderId="0" xfId="190" applyNumberFormat="1" applyFont="1" applyFill="1" applyAlignment="1"/>
    <xf numFmtId="174" fontId="28" fillId="0" borderId="1" xfId="190" applyNumberFormat="1" applyFont="1" applyFill="1" applyBorder="1" applyAlignment="1"/>
    <xf numFmtId="3" fontId="28" fillId="0" borderId="0" xfId="4597" applyNumberFormat="1" applyFont="1" applyFill="1" applyAlignment="1"/>
    <xf numFmtId="271" fontId="28" fillId="0" borderId="0" xfId="190" applyNumberFormat="1" applyFont="1" applyFill="1" applyAlignment="1"/>
    <xf numFmtId="3" fontId="28" fillId="0" borderId="0" xfId="4228" applyNumberFormat="1" applyFont="1" applyFill="1" applyAlignment="1"/>
    <xf numFmtId="271" fontId="28" fillId="0" borderId="0" xfId="190" applyNumberFormat="1" applyFont="1" applyAlignment="1"/>
    <xf numFmtId="172" fontId="28" fillId="0" borderId="0" xfId="4597" applyFont="1" applyFill="1" applyAlignment="1"/>
    <xf numFmtId="0" fontId="28" fillId="0" borderId="0" xfId="4595" applyFont="1" applyFill="1" applyBorder="1" applyAlignment="1"/>
    <xf numFmtId="271" fontId="28" fillId="0" borderId="0" xfId="190" applyNumberFormat="1" applyFont="1" applyBorder="1" applyAlignment="1"/>
    <xf numFmtId="174" fontId="28" fillId="0" borderId="1" xfId="190" applyNumberFormat="1" applyFont="1" applyBorder="1" applyAlignment="1"/>
    <xf numFmtId="3" fontId="28" fillId="0" borderId="0" xfId="4597" quotePrefix="1" applyNumberFormat="1" applyFont="1" applyAlignment="1">
      <alignment horizontal="left"/>
    </xf>
    <xf numFmtId="174" fontId="28" fillId="0" borderId="14" xfId="190" applyNumberFormat="1" applyFont="1" applyFill="1" applyBorder="1" applyAlignment="1"/>
    <xf numFmtId="0" fontId="28" fillId="0" borderId="0" xfId="0" applyNumberFormat="1" applyFont="1" applyFill="1" applyProtection="1">
      <protection locked="0"/>
    </xf>
    <xf numFmtId="0" fontId="28" fillId="0" borderId="0" xfId="0" applyNumberFormat="1" applyFont="1" applyProtection="1">
      <protection locked="0"/>
    </xf>
    <xf numFmtId="174" fontId="28" fillId="0" borderId="50" xfId="190" applyNumberFormat="1" applyFont="1" applyFill="1" applyBorder="1" applyAlignment="1"/>
    <xf numFmtId="174" fontId="163" fillId="3" borderId="0" xfId="190" applyNumberFormat="1" applyFont="1" applyFill="1" applyAlignment="1"/>
    <xf numFmtId="174" fontId="163" fillId="3" borderId="1" xfId="190" applyNumberFormat="1" applyFont="1" applyFill="1" applyBorder="1" applyAlignment="1"/>
    <xf numFmtId="0" fontId="28" fillId="0" borderId="0" xfId="4595" applyNumberFormat="1" applyFont="1" applyAlignment="1" applyProtection="1">
      <alignment horizontal="center"/>
      <protection locked="0"/>
    </xf>
    <xf numFmtId="0" fontId="28" fillId="0" borderId="0" xfId="4595" applyNumberFormat="1" applyFont="1" applyFill="1" applyAlignment="1"/>
    <xf numFmtId="3" fontId="28" fillId="0" borderId="0" xfId="4597" applyNumberFormat="1" applyFont="1" applyFill="1" applyAlignment="1">
      <alignment horizontal="left"/>
    </xf>
    <xf numFmtId="305" fontId="28" fillId="0" borderId="0" xfId="190" applyNumberFormat="1" applyFont="1" applyAlignment="1"/>
    <xf numFmtId="0" fontId="28" fillId="0" borderId="0" xfId="4597" applyNumberFormat="1" applyFont="1" applyFill="1" applyAlignment="1"/>
    <xf numFmtId="10" fontId="28" fillId="0" borderId="0" xfId="4597" applyNumberFormat="1" applyFont="1" applyFill="1" applyAlignment="1">
      <alignment horizontal="left"/>
    </xf>
    <xf numFmtId="174" fontId="28" fillId="0" borderId="2" xfId="190" applyNumberFormat="1" applyFont="1" applyFill="1" applyBorder="1" applyAlignment="1"/>
    <xf numFmtId="164" fontId="28" fillId="0" borderId="0" xfId="4597" applyNumberFormat="1" applyFont="1" applyFill="1" applyAlignment="1">
      <alignment horizontal="left"/>
    </xf>
    <xf numFmtId="0" fontId="28" fillId="0" borderId="0" xfId="0" applyNumberFormat="1" applyFont="1" applyAlignment="1" applyProtection="1">
      <alignment horizontal="center"/>
      <protection locked="0"/>
    </xf>
    <xf numFmtId="0" fontId="28" fillId="0" borderId="0" xfId="0" applyNumberFormat="1" applyFont="1" applyFill="1" applyAlignment="1" applyProtection="1">
      <protection locked="0"/>
    </xf>
    <xf numFmtId="0" fontId="28" fillId="0" borderId="0" xfId="0" applyNumberFormat="1" applyFont="1" applyAlignment="1" applyProtection="1">
      <alignment horizontal="center" vertical="top"/>
      <protection locked="0"/>
    </xf>
    <xf numFmtId="0" fontId="28" fillId="0" borderId="0" xfId="0" applyNumberFormat="1" applyFont="1" applyFill="1" applyAlignment="1" applyProtection="1">
      <alignment vertical="center"/>
      <protection locked="0"/>
    </xf>
    <xf numFmtId="172" fontId="28" fillId="0" borderId="0" xfId="0" applyFont="1" applyAlignment="1">
      <alignment horizontal="center" vertical="top"/>
    </xf>
    <xf numFmtId="0" fontId="28" fillId="0" borderId="0" xfId="4664" applyNumberFormat="1" applyFont="1" applyFill="1"/>
    <xf numFmtId="0" fontId="164" fillId="0" borderId="0" xfId="0" applyNumberFormat="1" applyFont="1" applyFill="1" applyProtection="1">
      <protection locked="0"/>
    </xf>
    <xf numFmtId="3" fontId="164" fillId="0" borderId="0" xfId="0" applyNumberFormat="1" applyFont="1" applyFill="1" applyAlignment="1"/>
    <xf numFmtId="0" fontId="164" fillId="0" borderId="0" xfId="0" applyNumberFormat="1" applyFont="1" applyAlignment="1" applyProtection="1">
      <alignment horizontal="center" vertical="top"/>
      <protection locked="0"/>
    </xf>
    <xf numFmtId="0" fontId="164" fillId="0" borderId="0" xfId="4597" applyNumberFormat="1" applyFont="1" applyFill="1" applyAlignment="1" applyProtection="1">
      <alignment vertical="top" wrapText="1"/>
      <protection locked="0"/>
    </xf>
    <xf numFmtId="0" fontId="164" fillId="0" borderId="0" xfId="0" applyNumberFormat="1" applyFont="1" applyFill="1" applyAlignment="1" applyProtection="1">
      <alignment vertical="top"/>
      <protection locked="0"/>
    </xf>
    <xf numFmtId="0" fontId="165" fillId="0" borderId="0" xfId="0" applyNumberFormat="1" applyFont="1" applyFill="1" applyProtection="1">
      <protection locked="0"/>
    </xf>
    <xf numFmtId="172" fontId="164" fillId="0" borderId="0" xfId="0" applyFont="1" applyAlignment="1"/>
    <xf numFmtId="172" fontId="164" fillId="0" borderId="0" xfId="0" applyFont="1" applyAlignment="1">
      <alignment horizontal="center"/>
    </xf>
    <xf numFmtId="0" fontId="164" fillId="0" borderId="0" xfId="4228" applyNumberFormat="1" applyFont="1" applyFill="1" applyAlignment="1">
      <alignment vertical="top" wrapText="1"/>
    </xf>
    <xf numFmtId="0" fontId="164" fillId="0" borderId="0" xfId="0" applyNumberFormat="1" applyFont="1" applyFill="1"/>
    <xf numFmtId="172" fontId="164" fillId="0" borderId="0" xfId="0" applyFont="1" applyAlignment="1">
      <alignment horizontal="center" vertical="top"/>
    </xf>
    <xf numFmtId="0" fontId="164" fillId="0" borderId="0" xfId="4664" applyNumberFormat="1" applyFont="1" applyFill="1"/>
    <xf numFmtId="172" fontId="164" fillId="0" borderId="0" xfId="4664" applyFont="1" applyAlignment="1">
      <alignment horizontal="center"/>
    </xf>
    <xf numFmtId="172" fontId="164" fillId="0" borderId="0" xfId="0" applyFont="1" applyFill="1" applyAlignment="1">
      <alignment vertical="top" wrapText="1"/>
    </xf>
    <xf numFmtId="0" fontId="164" fillId="0" borderId="0" xfId="4228" applyNumberFormat="1" applyFont="1" applyFill="1" applyAlignment="1">
      <alignment vertical="top"/>
    </xf>
    <xf numFmtId="0" fontId="164" fillId="0" borderId="0" xfId="4228" applyNumberFormat="1" applyFont="1" applyAlignment="1">
      <alignment vertical="top"/>
    </xf>
    <xf numFmtId="0" fontId="164" fillId="0" borderId="0" xfId="4597" applyNumberFormat="1" applyFont="1" applyAlignment="1" applyProtection="1">
      <alignment vertical="top"/>
      <protection locked="0"/>
    </xf>
    <xf numFmtId="170" fontId="164" fillId="0" borderId="0" xfId="4597" applyNumberFormat="1" applyFont="1" applyFill="1" applyBorder="1" applyAlignment="1" applyProtection="1">
      <alignment vertical="top"/>
    </xf>
    <xf numFmtId="3" fontId="164" fillId="0" borderId="0" xfId="4597" applyNumberFormat="1" applyFont="1" applyAlignment="1" applyProtection="1">
      <alignment vertical="top"/>
    </xf>
    <xf numFmtId="3" fontId="164" fillId="0" borderId="0" xfId="4597" applyNumberFormat="1" applyFont="1" applyFill="1" applyAlignment="1" applyProtection="1">
      <alignment vertical="top"/>
    </xf>
    <xf numFmtId="172" fontId="164" fillId="0" borderId="0" xfId="0" applyFont="1" applyAlignment="1">
      <alignment vertical="top"/>
    </xf>
    <xf numFmtId="172" fontId="164" fillId="0" borderId="0" xfId="0" applyFont="1" applyBorder="1" applyAlignment="1">
      <alignment horizontal="center"/>
    </xf>
    <xf numFmtId="0" fontId="164" fillId="0" borderId="0" xfId="2138" applyFont="1" applyAlignment="1">
      <alignment vertical="center"/>
    </xf>
    <xf numFmtId="172" fontId="164" fillId="0" borderId="0" xfId="0" applyFont="1" applyBorder="1" applyAlignment="1"/>
    <xf numFmtId="172" fontId="28" fillId="0" borderId="0" xfId="0" applyFont="1" applyAlignment="1" applyProtection="1">
      <protection locked="0"/>
    </xf>
    <xf numFmtId="0" fontId="28" fillId="0" borderId="0" xfId="0" applyNumberFormat="1" applyFont="1" applyAlignment="1" applyProtection="1">
      <protection locked="0"/>
    </xf>
    <xf numFmtId="0" fontId="28" fillId="0" borderId="0" xfId="0" applyNumberFormat="1" applyFont="1" applyAlignment="1" applyProtection="1">
      <alignment horizontal="left"/>
      <protection locked="0"/>
    </xf>
    <xf numFmtId="0" fontId="28" fillId="0" borderId="0" xfId="0" applyNumberFormat="1" applyFont="1" applyFill="1" applyAlignment="1" applyProtection="1">
      <alignment horizontal="right"/>
      <protection locked="0"/>
    </xf>
    <xf numFmtId="0" fontId="28" fillId="2" borderId="0" xfId="0" applyNumberFormat="1" applyFont="1" applyFill="1" applyAlignment="1" applyProtection="1">
      <alignment horizontal="right"/>
      <protection locked="0"/>
    </xf>
    <xf numFmtId="3" fontId="28" fillId="0" borderId="0" xfId="0" applyNumberFormat="1" applyFont="1" applyAlignment="1" applyProtection="1">
      <protection locked="0"/>
    </xf>
    <xf numFmtId="3" fontId="28" fillId="0" borderId="0" xfId="0" applyNumberFormat="1" applyFont="1" applyAlignment="1" applyProtection="1">
      <alignment horizontal="center"/>
      <protection locked="0"/>
    </xf>
    <xf numFmtId="49" fontId="120" fillId="0" borderId="0" xfId="0" applyNumberFormat="1" applyFont="1" applyFill="1" applyAlignment="1" applyProtection="1">
      <alignment horizontal="center"/>
      <protection locked="0"/>
    </xf>
    <xf numFmtId="3" fontId="28" fillId="0" borderId="0" xfId="0" applyNumberFormat="1" applyFont="1" applyFill="1" applyAlignment="1" applyProtection="1">
      <protection locked="0"/>
    </xf>
    <xf numFmtId="49" fontId="28" fillId="0" borderId="0" xfId="0" applyNumberFormat="1" applyFont="1" applyProtection="1">
      <protection locked="0"/>
    </xf>
    <xf numFmtId="0" fontId="28" fillId="0" borderId="1" xfId="0" applyNumberFormat="1" applyFont="1" applyBorder="1" applyAlignment="1" applyProtection="1">
      <alignment horizontal="center"/>
      <protection locked="0"/>
    </xf>
    <xf numFmtId="3" fontId="28" fillId="0" borderId="0" xfId="0" applyNumberFormat="1" applyFont="1" applyProtection="1">
      <protection locked="0"/>
    </xf>
    <xf numFmtId="42" fontId="28" fillId="0" borderId="0" xfId="0" applyNumberFormat="1" applyFont="1" applyFill="1" applyProtection="1"/>
    <xf numFmtId="0" fontId="28" fillId="0" borderId="1" xfId="0" applyNumberFormat="1" applyFont="1" applyBorder="1" applyAlignment="1" applyProtection="1">
      <alignment horizontal="centerContinuous"/>
      <protection locked="0"/>
    </xf>
    <xf numFmtId="166" fontId="28" fillId="0" borderId="0" xfId="0" applyNumberFormat="1" applyFont="1" applyAlignment="1" applyProtection="1"/>
    <xf numFmtId="3" fontId="28" fillId="0" borderId="0" xfId="0" applyNumberFormat="1" applyFont="1" applyAlignment="1" applyProtection="1"/>
    <xf numFmtId="3" fontId="163" fillId="2" borderId="0" xfId="0" applyNumberFormat="1" applyFont="1" applyFill="1" applyAlignment="1" applyProtection="1">
      <protection locked="0"/>
    </xf>
    <xf numFmtId="3" fontId="28" fillId="0" borderId="0" xfId="0" applyNumberFormat="1" applyFont="1" applyAlignment="1" applyProtection="1">
      <alignment horizontal="fill"/>
      <protection locked="0"/>
    </xf>
    <xf numFmtId="166" fontId="28" fillId="0" borderId="0" xfId="0" applyNumberFormat="1" applyFont="1" applyAlignment="1" applyProtection="1">
      <protection locked="0"/>
    </xf>
    <xf numFmtId="42" fontId="28" fillId="0" borderId="14" xfId="0" applyNumberFormat="1" applyFont="1" applyBorder="1" applyAlignment="1" applyProtection="1">
      <alignment horizontal="right"/>
    </xf>
    <xf numFmtId="42" fontId="28" fillId="0" borderId="0" xfId="0" applyNumberFormat="1" applyFont="1" applyBorder="1" applyAlignment="1" applyProtection="1">
      <alignment horizontal="right"/>
      <protection locked="0"/>
    </xf>
    <xf numFmtId="3" fontId="28" fillId="0" borderId="0" xfId="0" applyNumberFormat="1" applyFont="1" applyFill="1" applyBorder="1" applyProtection="1">
      <protection locked="0"/>
    </xf>
    <xf numFmtId="0" fontId="28" fillId="0" borderId="0" xfId="0" applyNumberFormat="1" applyFont="1" applyFill="1" applyAlignment="1" applyProtection="1">
      <alignment horizontal="right"/>
    </xf>
    <xf numFmtId="172" fontId="120" fillId="0" borderId="0" xfId="0" applyFont="1" applyAlignment="1" applyProtection="1">
      <alignment horizontal="center"/>
    </xf>
    <xf numFmtId="49" fontId="28" fillId="0" borderId="0" xfId="0" applyNumberFormat="1" applyFont="1" applyAlignment="1" applyProtection="1">
      <alignment horizontal="left"/>
      <protection locked="0"/>
    </xf>
    <xf numFmtId="49" fontId="28" fillId="0" borderId="0" xfId="0" applyNumberFormat="1" applyFont="1" applyAlignment="1" applyProtection="1">
      <alignment horizontal="center"/>
      <protection locked="0"/>
    </xf>
    <xf numFmtId="0" fontId="28" fillId="0" borderId="0" xfId="0" applyNumberFormat="1" applyFont="1" applyFill="1" applyAlignment="1" applyProtection="1">
      <alignment horizontal="center"/>
      <protection locked="0"/>
    </xf>
    <xf numFmtId="3" fontId="120" fillId="0" borderId="0" xfId="0" applyNumberFormat="1" applyFont="1" applyAlignment="1" applyProtection="1">
      <alignment horizontal="center"/>
      <protection locked="0"/>
    </xf>
    <xf numFmtId="0" fontId="120" fillId="0" borderId="0" xfId="0" applyNumberFormat="1" applyFont="1" applyAlignment="1" applyProtection="1">
      <alignment horizontal="center"/>
      <protection locked="0"/>
    </xf>
    <xf numFmtId="172" fontId="120" fillId="0" borderId="0" xfId="0" applyFont="1" applyAlignment="1" applyProtection="1">
      <alignment horizontal="center"/>
      <protection locked="0"/>
    </xf>
    <xf numFmtId="3" fontId="120" fillId="0" borderId="0" xfId="0" applyNumberFormat="1" applyFont="1" applyAlignment="1" applyProtection="1">
      <protection locked="0"/>
    </xf>
    <xf numFmtId="0" fontId="120" fillId="0" borderId="0" xfId="0" applyNumberFormat="1" applyFont="1" applyAlignment="1" applyProtection="1">
      <protection locked="0"/>
    </xf>
    <xf numFmtId="165" fontId="28" fillId="0" borderId="0" xfId="0" applyNumberFormat="1" applyFont="1" applyAlignment="1" applyProtection="1">
      <protection locked="0"/>
    </xf>
    <xf numFmtId="165" fontId="28" fillId="0" borderId="0" xfId="0" applyNumberFormat="1" applyFont="1" applyAlignment="1" applyProtection="1"/>
    <xf numFmtId="172" fontId="28" fillId="0" borderId="0" xfId="0" applyFont="1" applyFill="1" applyAlignment="1" applyProtection="1">
      <protection locked="0"/>
    </xf>
    <xf numFmtId="164" fontId="28" fillId="0" borderId="0" xfId="0" applyNumberFormat="1" applyFont="1" applyAlignment="1" applyProtection="1">
      <alignment horizontal="center"/>
    </xf>
    <xf numFmtId="164" fontId="28" fillId="0" borderId="0" xfId="0" applyNumberFormat="1" applyFont="1" applyFill="1" applyAlignment="1" applyProtection="1">
      <alignment horizontal="center"/>
      <protection locked="0"/>
    </xf>
    <xf numFmtId="164" fontId="28" fillId="0" borderId="0" xfId="0" applyNumberFormat="1" applyFont="1" applyAlignment="1" applyProtection="1">
      <alignment horizontal="center"/>
      <protection locked="0"/>
    </xf>
    <xf numFmtId="0" fontId="28" fillId="0" borderId="0" xfId="0" applyNumberFormat="1" applyFont="1" applyAlignment="1" applyProtection="1"/>
    <xf numFmtId="0" fontId="28" fillId="0" borderId="0" xfId="0" applyNumberFormat="1" applyFont="1" applyFill="1" applyAlignment="1" applyProtection="1"/>
    <xf numFmtId="172" fontId="28" fillId="0" borderId="0" xfId="0" applyFont="1" applyBorder="1" applyAlignment="1" applyProtection="1">
      <protection locked="0"/>
    </xf>
    <xf numFmtId="172" fontId="28" fillId="0" borderId="1" xfId="0" applyFont="1" applyBorder="1" applyAlignment="1" applyProtection="1">
      <protection locked="0"/>
    </xf>
    <xf numFmtId="0" fontId="28" fillId="0" borderId="0" xfId="0" applyNumberFormat="1" applyFont="1" applyAlignment="1" applyProtection="1">
      <alignment horizontal="right"/>
      <protection locked="0"/>
    </xf>
    <xf numFmtId="172" fontId="28" fillId="0" borderId="0" xfId="0" applyFont="1" applyAlignment="1" applyProtection="1"/>
    <xf numFmtId="0" fontId="120" fillId="0" borderId="0" xfId="0" applyNumberFormat="1" applyFont="1" applyFill="1" applyAlignment="1" applyProtection="1">
      <alignment horizontal="center"/>
      <protection locked="0"/>
    </xf>
    <xf numFmtId="171" fontId="28" fillId="0" borderId="0" xfId="0" applyNumberFormat="1" applyFont="1" applyFill="1" applyAlignment="1" applyProtection="1">
      <alignment horizontal="left"/>
    </xf>
    <xf numFmtId="165" fontId="28" fillId="0" borderId="0" xfId="0" applyNumberFormat="1" applyFont="1" applyFill="1" applyAlignment="1" applyProtection="1"/>
    <xf numFmtId="3" fontId="28" fillId="0" borderId="0" xfId="0" applyNumberFormat="1" applyFont="1" applyFill="1" applyAlignment="1" applyProtection="1"/>
    <xf numFmtId="166" fontId="28" fillId="0" borderId="0" xfId="0" applyNumberFormat="1" applyFont="1" applyFill="1" applyAlignment="1" applyProtection="1">
      <alignment horizontal="right"/>
      <protection locked="0"/>
    </xf>
    <xf numFmtId="166" fontId="28" fillId="0" borderId="0" xfId="0" applyNumberFormat="1" applyFont="1" applyAlignment="1" applyProtection="1">
      <alignment horizontal="center"/>
      <protection locked="0"/>
    </xf>
    <xf numFmtId="164" fontId="28" fillId="0" borderId="0" xfId="0" applyNumberFormat="1" applyFont="1" applyAlignment="1" applyProtection="1">
      <alignment horizontal="left"/>
      <protection locked="0"/>
    </xf>
    <xf numFmtId="10" fontId="28" fillId="0" borderId="0" xfId="0" applyNumberFormat="1" applyFont="1" applyFill="1" applyAlignment="1" applyProtection="1">
      <alignment horizontal="right"/>
    </xf>
    <xf numFmtId="10" fontId="28" fillId="0" borderId="0" xfId="0" applyNumberFormat="1" applyFont="1" applyAlignment="1" applyProtection="1">
      <alignment horizontal="left"/>
      <protection locked="0"/>
    </xf>
    <xf numFmtId="3" fontId="28" fillId="0" borderId="0" xfId="0" applyNumberFormat="1" applyFont="1" applyFill="1" applyAlignment="1" applyProtection="1">
      <alignment horizontal="left"/>
      <protection locked="0"/>
    </xf>
    <xf numFmtId="167" fontId="28" fillId="0" borderId="0" xfId="0" applyNumberFormat="1" applyFont="1" applyAlignment="1" applyProtection="1">
      <protection locked="0"/>
    </xf>
    <xf numFmtId="3" fontId="28" fillId="0" borderId="0" xfId="0" applyNumberFormat="1" applyFont="1" applyBorder="1" applyAlignment="1" applyProtection="1">
      <protection locked="0"/>
    </xf>
    <xf numFmtId="3" fontId="28" fillId="0" borderId="0" xfId="0" applyNumberFormat="1" applyFont="1" applyFill="1" applyBorder="1" applyAlignment="1" applyProtection="1"/>
    <xf numFmtId="172" fontId="28" fillId="0" borderId="0" xfId="0" applyFont="1" applyFill="1" applyBorder="1" applyAlignment="1" applyProtection="1">
      <protection locked="0"/>
    </xf>
    <xf numFmtId="0" fontId="28" fillId="0" borderId="1" xfId="0" applyNumberFormat="1" applyFont="1" applyFill="1" applyBorder="1" applyProtection="1">
      <protection locked="0"/>
    </xf>
    <xf numFmtId="3" fontId="28" fillId="0" borderId="0" xfId="0" applyNumberFormat="1" applyFont="1" applyFill="1" applyBorder="1" applyAlignment="1" applyProtection="1">
      <protection locked="0"/>
    </xf>
    <xf numFmtId="3" fontId="28" fillId="0" borderId="0" xfId="0" applyNumberFormat="1" applyFont="1" applyFill="1" applyAlignment="1" applyProtection="1">
      <alignment horizontal="center"/>
      <protection locked="0"/>
    </xf>
    <xf numFmtId="3" fontId="163" fillId="2" borderId="1" xfId="0" applyNumberFormat="1" applyFont="1" applyFill="1" applyBorder="1" applyAlignment="1" applyProtection="1">
      <protection locked="0"/>
    </xf>
    <xf numFmtId="49" fontId="28" fillId="0" borderId="0" xfId="0" applyNumberFormat="1" applyFont="1" applyFill="1" applyProtection="1">
      <protection locked="0"/>
    </xf>
    <xf numFmtId="49" fontId="28" fillId="0" borderId="0" xfId="0" applyNumberFormat="1" applyFont="1" applyFill="1" applyBorder="1" applyAlignment="1" applyProtection="1">
      <protection locked="0"/>
    </xf>
    <xf numFmtId="49" fontId="28" fillId="0" borderId="0" xfId="0" applyNumberFormat="1" applyFont="1" applyFill="1" applyAlignment="1" applyProtection="1">
      <protection locked="0"/>
    </xf>
    <xf numFmtId="49" fontId="28" fillId="0" borderId="0" xfId="0" applyNumberFormat="1" applyFont="1" applyFill="1" applyAlignment="1" applyProtection="1">
      <alignment horizontal="center"/>
      <protection locked="0"/>
    </xf>
    <xf numFmtId="165" fontId="28" fillId="0" borderId="0" xfId="0" applyNumberFormat="1" applyFont="1" applyFill="1" applyAlignment="1" applyProtection="1">
      <alignment horizontal="right"/>
    </xf>
    <xf numFmtId="172" fontId="166" fillId="0" borderId="0" xfId="0" applyFont="1" applyFill="1" applyBorder="1" applyAlignment="1" applyProtection="1">
      <protection locked="0"/>
    </xf>
    <xf numFmtId="0" fontId="28" fillId="0" borderId="0" xfId="0" applyNumberFormat="1" applyFont="1" applyFill="1" applyBorder="1" applyAlignment="1" applyProtection="1">
      <protection locked="0"/>
    </xf>
    <xf numFmtId="0" fontId="28" fillId="0" borderId="0" xfId="0" applyNumberFormat="1" applyFont="1" applyFill="1" applyBorder="1" applyProtection="1">
      <protection locked="0"/>
    </xf>
    <xf numFmtId="3" fontId="28" fillId="2" borderId="1" xfId="0" applyNumberFormat="1" applyFont="1" applyFill="1" applyBorder="1" applyAlignment="1" applyProtection="1">
      <protection locked="0"/>
    </xf>
    <xf numFmtId="173" fontId="28" fillId="0" borderId="0" xfId="1" applyNumberFormat="1" applyFont="1" applyFill="1" applyBorder="1" applyAlignment="1" applyProtection="1">
      <protection locked="0"/>
    </xf>
    <xf numFmtId="3" fontId="167" fillId="0" borderId="0" xfId="0" applyNumberFormat="1" applyFont="1" applyFill="1" applyBorder="1" applyAlignment="1" applyProtection="1">
      <protection locked="0"/>
    </xf>
    <xf numFmtId="170" fontId="28" fillId="0" borderId="0" xfId="0" applyNumberFormat="1" applyFont="1" applyFill="1" applyBorder="1" applyAlignment="1" applyProtection="1">
      <protection locked="0"/>
    </xf>
    <xf numFmtId="172" fontId="167" fillId="0" borderId="0" xfId="0"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Protection="1">
      <protection locked="0"/>
    </xf>
    <xf numFmtId="172" fontId="167" fillId="0" borderId="0" xfId="0" applyFont="1" applyFill="1" applyBorder="1" applyProtection="1">
      <protection locked="0"/>
    </xf>
    <xf numFmtId="165" fontId="28" fillId="0" borderId="0" xfId="0" applyNumberFormat="1" applyFont="1" applyFill="1" applyProtection="1"/>
    <xf numFmtId="166" fontId="28" fillId="0" borderId="0" xfId="0" applyNumberFormat="1" applyFont="1" applyFill="1" applyProtection="1"/>
    <xf numFmtId="172" fontId="167" fillId="0" borderId="0" xfId="0" applyFont="1" applyFill="1" applyBorder="1" applyAlignment="1" applyProtection="1">
      <alignment horizontal="left" wrapText="1"/>
      <protection locked="0"/>
    </xf>
    <xf numFmtId="3" fontId="28" fillId="0" borderId="1" xfId="0" applyNumberFormat="1" applyFont="1" applyBorder="1" applyAlignment="1" applyProtection="1">
      <protection locked="0"/>
    </xf>
    <xf numFmtId="3" fontId="28" fillId="0" borderId="1" xfId="0" applyNumberFormat="1" applyFont="1" applyBorder="1" applyAlignment="1" applyProtection="1">
      <alignment horizontal="center"/>
      <protection locked="0"/>
    </xf>
    <xf numFmtId="4" fontId="28" fillId="0" borderId="0" xfId="0" applyNumberFormat="1" applyFont="1" applyAlignment="1" applyProtection="1">
      <protection locked="0"/>
    </xf>
    <xf numFmtId="4" fontId="28" fillId="0" borderId="0" xfId="0" applyNumberFormat="1" applyFont="1" applyAlignment="1" applyProtection="1"/>
    <xf numFmtId="3" fontId="28" fillId="0" borderId="0" xfId="0" applyNumberFormat="1" applyFont="1" applyBorder="1" applyAlignment="1" applyProtection="1">
      <alignment horizontal="center"/>
      <protection locked="0"/>
    </xf>
    <xf numFmtId="3" fontId="28" fillId="0" borderId="1" xfId="0" applyNumberFormat="1" applyFont="1" applyBorder="1" applyAlignment="1" applyProtection="1"/>
    <xf numFmtId="166" fontId="28" fillId="0" borderId="0" xfId="0" applyNumberFormat="1" applyFont="1" applyFill="1" applyAlignment="1" applyProtection="1">
      <alignment horizontal="center"/>
    </xf>
    <xf numFmtId="0" fontId="28" fillId="0" borderId="1" xfId="0" applyNumberFormat="1" applyFont="1" applyBorder="1" applyAlignment="1" applyProtection="1">
      <protection locked="0"/>
    </xf>
    <xf numFmtId="170" fontId="163" fillId="2" borderId="0" xfId="0" applyNumberFormat="1" applyFont="1" applyFill="1" applyAlignment="1" applyProtection="1">
      <protection locked="0"/>
    </xf>
    <xf numFmtId="42" fontId="163" fillId="2" borderId="0" xfId="0" applyNumberFormat="1" applyFont="1" applyFill="1" applyAlignment="1" applyProtection="1">
      <protection locked="0"/>
    </xf>
    <xf numFmtId="0" fontId="154" fillId="0" borderId="0" xfId="0" applyNumberFormat="1" applyFont="1" applyAlignment="1" applyProtection="1">
      <protection locked="0"/>
    </xf>
    <xf numFmtId="9" fontId="28" fillId="0" borderId="0" xfId="0" applyNumberFormat="1" applyFont="1" applyAlignment="1" applyProtection="1"/>
    <xf numFmtId="169" fontId="28" fillId="0" borderId="0" xfId="0" applyNumberFormat="1" applyFont="1" applyAlignment="1" applyProtection="1">
      <protection locked="0"/>
    </xf>
    <xf numFmtId="169" fontId="28" fillId="0" borderId="0" xfId="0" applyNumberFormat="1" applyFont="1" applyAlignment="1" applyProtection="1"/>
    <xf numFmtId="3" fontId="28" fillId="0" borderId="0" xfId="0" quotePrefix="1" applyNumberFormat="1" applyFont="1" applyAlignment="1" applyProtection="1">
      <protection locked="0"/>
    </xf>
    <xf numFmtId="169" fontId="28" fillId="0" borderId="1" xfId="0" applyNumberFormat="1" applyFont="1" applyBorder="1" applyAlignment="1" applyProtection="1"/>
    <xf numFmtId="172" fontId="28" fillId="0" borderId="0" xfId="0" applyNumberFormat="1" applyFont="1" applyAlignment="1" applyProtection="1">
      <protection locked="0"/>
    </xf>
    <xf numFmtId="170" fontId="28" fillId="0" borderId="0" xfId="0" applyNumberFormat="1" applyFont="1" applyProtection="1">
      <protection locked="0"/>
    </xf>
    <xf numFmtId="3" fontId="120" fillId="0" borderId="0" xfId="0" applyNumberFormat="1" applyFont="1" applyAlignment="1" applyProtection="1">
      <alignment horizontal="center"/>
    </xf>
    <xf numFmtId="0" fontId="28" fillId="0" borderId="0" xfId="0" applyNumberFormat="1" applyFont="1" applyAlignment="1" applyProtection="1">
      <alignment horizontal="left" indent="8"/>
      <protection locked="0"/>
    </xf>
    <xf numFmtId="10" fontId="28" fillId="2" borderId="0" xfId="0" applyNumberFormat="1" applyFont="1" applyFill="1" applyAlignment="1" applyProtection="1">
      <alignment vertical="top" wrapText="1"/>
      <protection locked="0"/>
    </xf>
    <xf numFmtId="172" fontId="28" fillId="0" borderId="0" xfId="0" applyFont="1" applyFill="1" applyAlignment="1">
      <alignment horizontal="center" vertical="top"/>
    </xf>
    <xf numFmtId="0" fontId="28" fillId="0" borderId="0" xfId="0" applyNumberFormat="1" applyFont="1" applyAlignment="1" applyProtection="1">
      <alignment horizontal="right"/>
      <protection locked="0"/>
    </xf>
    <xf numFmtId="174" fontId="28" fillId="75" borderId="0" xfId="4665" applyNumberFormat="1" applyFont="1" applyFill="1" applyAlignment="1"/>
    <xf numFmtId="174" fontId="163" fillId="0" borderId="0" xfId="190" applyNumberFormat="1" applyFont="1" applyFill="1" applyAlignment="1"/>
    <xf numFmtId="3" fontId="170" fillId="0" borderId="0" xfId="0" applyNumberFormat="1" applyFont="1" applyFill="1" applyAlignment="1" applyProtection="1">
      <protection locked="0"/>
    </xf>
    <xf numFmtId="43" fontId="28" fillId="0" borderId="0" xfId="4665" applyFont="1" applyFill="1" applyAlignment="1"/>
    <xf numFmtId="166" fontId="28" fillId="0" borderId="0" xfId="4665" applyNumberFormat="1" applyFont="1" applyFill="1" applyAlignment="1"/>
    <xf numFmtId="3" fontId="28" fillId="0" borderId="4" xfId="4597" applyNumberFormat="1" applyFont="1" applyFill="1" applyBorder="1" applyAlignment="1"/>
    <xf numFmtId="3" fontId="28" fillId="0" borderId="4" xfId="0" applyNumberFormat="1" applyFont="1" applyBorder="1" applyAlignment="1" applyProtection="1"/>
    <xf numFmtId="0" fontId="28" fillId="0" borderId="0" xfId="0" applyNumberFormat="1" applyFont="1" applyBorder="1" applyAlignment="1" applyProtection="1">
      <protection locked="0"/>
    </xf>
    <xf numFmtId="0" fontId="28" fillId="0" borderId="4" xfId="0" applyNumberFormat="1" applyFont="1" applyBorder="1" applyAlignment="1" applyProtection="1">
      <protection locked="0"/>
    </xf>
    <xf numFmtId="3" fontId="28" fillId="0" borderId="4" xfId="0" applyNumberFormat="1" applyFont="1" applyBorder="1" applyAlignment="1" applyProtection="1">
      <protection locked="0"/>
    </xf>
    <xf numFmtId="0" fontId="28" fillId="0" borderId="4" xfId="0" applyNumberFormat="1" applyFont="1" applyFill="1" applyBorder="1" applyProtection="1">
      <protection locked="0"/>
    </xf>
    <xf numFmtId="49" fontId="28" fillId="0" borderId="4" xfId="0" applyNumberFormat="1" applyFont="1" applyFill="1" applyBorder="1" applyProtection="1">
      <protection locked="0"/>
    </xf>
    <xf numFmtId="3" fontId="28" fillId="0" borderId="4" xfId="0" applyNumberFormat="1" applyFont="1" applyFill="1" applyBorder="1" applyAlignment="1" applyProtection="1"/>
    <xf numFmtId="174" fontId="28" fillId="0" borderId="4" xfId="190" applyNumberFormat="1" applyFont="1" applyFill="1" applyBorder="1" applyAlignment="1"/>
    <xf numFmtId="0" fontId="28" fillId="0" borderId="0" xfId="4597" applyNumberFormat="1" applyFont="1" applyFill="1" applyAlignment="1" applyProtection="1">
      <alignment horizontal="center"/>
      <protection locked="0"/>
    </xf>
    <xf numFmtId="3" fontId="28" fillId="0" borderId="4" xfId="4597" applyNumberFormat="1" applyFont="1" applyBorder="1" applyAlignment="1"/>
    <xf numFmtId="3" fontId="28" fillId="0" borderId="3" xfId="0" applyNumberFormat="1" applyFont="1" applyBorder="1" applyAlignment="1" applyProtection="1">
      <alignment horizontal="center"/>
      <protection locked="0"/>
    </xf>
    <xf numFmtId="172" fontId="120" fillId="0" borderId="0" xfId="0" applyFont="1" applyFill="1" applyAlignment="1">
      <alignment horizontal="center"/>
    </xf>
    <xf numFmtId="0" fontId="154" fillId="0" borderId="0" xfId="0" applyNumberFormat="1" applyFont="1" applyAlignment="1">
      <alignment horizontal="center"/>
    </xf>
    <xf numFmtId="0" fontId="28" fillId="0" borderId="0" xfId="4155" applyNumberFormat="1" applyFont="1" applyFill="1" applyBorder="1" applyAlignment="1" applyProtection="1">
      <alignment horizontal="right"/>
      <protection locked="0"/>
    </xf>
    <xf numFmtId="172" fontId="7" fillId="0" borderId="0" xfId="0" applyFont="1" applyAlignment="1"/>
    <xf numFmtId="172" fontId="172" fillId="0" borderId="0" xfId="0" applyFont="1" applyAlignment="1"/>
    <xf numFmtId="172" fontId="7" fillId="0" borderId="0" xfId="0" applyFont="1" applyAlignment="1">
      <alignment horizontal="right"/>
    </xf>
    <xf numFmtId="172" fontId="7" fillId="0" borderId="0" xfId="0" applyFont="1" applyAlignment="1">
      <alignment vertical="top" wrapText="1"/>
    </xf>
    <xf numFmtId="172" fontId="7" fillId="3" borderId="0" xfId="0" applyFont="1" applyFill="1" applyAlignment="1"/>
    <xf numFmtId="172" fontId="7" fillId="75" borderId="0" xfId="0" applyFont="1" applyFill="1" applyAlignment="1"/>
    <xf numFmtId="172" fontId="7" fillId="0" borderId="0" xfId="0" applyFont="1" applyAlignment="1">
      <alignment vertical="top"/>
    </xf>
    <xf numFmtId="172" fontId="172" fillId="0" borderId="1" xfId="0" applyFont="1" applyBorder="1" applyAlignment="1"/>
    <xf numFmtId="172" fontId="172" fillId="0" borderId="1" xfId="0" applyFont="1" applyBorder="1" applyAlignment="1">
      <alignment horizontal="center"/>
    </xf>
    <xf numFmtId="172" fontId="7" fillId="0" borderId="0" xfId="0" applyFont="1" applyFill="1" applyAlignment="1"/>
    <xf numFmtId="172" fontId="7" fillId="0" borderId="0" xfId="0" applyFont="1" applyAlignment="1">
      <alignment horizontal="center"/>
    </xf>
    <xf numFmtId="172" fontId="173" fillId="0" borderId="0" xfId="4663" applyNumberFormat="1" applyFont="1" applyFill="1" applyAlignment="1" applyProtection="1"/>
    <xf numFmtId="172" fontId="7" fillId="0" borderId="0" xfId="0" quotePrefix="1" applyFont="1" applyAlignment="1">
      <alignment horizontal="center"/>
    </xf>
    <xf numFmtId="172" fontId="7" fillId="0" borderId="0" xfId="0" applyFont="1" applyProtection="1"/>
    <xf numFmtId="172" fontId="174" fillId="0" borderId="0" xfId="0" applyFont="1" applyAlignment="1"/>
    <xf numFmtId="172" fontId="7" fillId="0" borderId="0" xfId="0" quotePrefix="1" applyFont="1" applyAlignment="1"/>
    <xf numFmtId="0" fontId="28" fillId="0" borderId="0" xfId="4" applyFont="1"/>
    <xf numFmtId="0" fontId="120" fillId="0" borderId="0" xfId="4" applyFont="1" applyAlignment="1">
      <alignment horizontal="right"/>
    </xf>
    <xf numFmtId="0" fontId="28" fillId="0" borderId="0" xfId="4" applyFont="1" applyAlignment="1"/>
    <xf numFmtId="0" fontId="28" fillId="0" borderId="0" xfId="4" applyFont="1" applyAlignment="1">
      <alignment horizontal="right"/>
    </xf>
    <xf numFmtId="0" fontId="28" fillId="0" borderId="0" xfId="4" applyFont="1" applyAlignment="1">
      <alignment horizontal="center"/>
    </xf>
    <xf numFmtId="3" fontId="28" fillId="0" borderId="0" xfId="0" applyNumberFormat="1" applyFont="1" applyBorder="1" applyAlignment="1">
      <alignment horizontal="center"/>
    </xf>
    <xf numFmtId="3" fontId="28" fillId="0" borderId="0" xfId="0" applyNumberFormat="1" applyFont="1" applyBorder="1" applyAlignment="1"/>
    <xf numFmtId="0" fontId="28" fillId="0" borderId="3" xfId="4" applyFont="1" applyBorder="1" applyAlignment="1">
      <alignment horizontal="center"/>
    </xf>
    <xf numFmtId="172" fontId="28" fillId="0" borderId="3" xfId="0" applyFont="1" applyBorder="1" applyAlignment="1">
      <alignment horizontal="center"/>
    </xf>
    <xf numFmtId="0" fontId="28" fillId="0" borderId="3" xfId="0" applyNumberFormat="1" applyFont="1" applyBorder="1" applyAlignment="1" applyProtection="1">
      <alignment horizontal="center"/>
      <protection locked="0"/>
    </xf>
    <xf numFmtId="173" fontId="163" fillId="2" borderId="0" xfId="1" applyNumberFormat="1" applyFont="1" applyFill="1" applyBorder="1"/>
    <xf numFmtId="0" fontId="28" fillId="0" borderId="0" xfId="4" applyFont="1" applyFill="1"/>
    <xf numFmtId="43" fontId="28" fillId="0" borderId="0" xfId="190" applyFont="1" applyFill="1"/>
    <xf numFmtId="3" fontId="28" fillId="0" borderId="0" xfId="4" applyNumberFormat="1" applyFont="1" applyFill="1"/>
    <xf numFmtId="174" fontId="28" fillId="0" borderId="0" xfId="190" applyNumberFormat="1" applyFont="1" applyFill="1"/>
    <xf numFmtId="174" fontId="28" fillId="0" borderId="0" xfId="4" applyNumberFormat="1" applyFont="1"/>
    <xf numFmtId="173" fontId="28" fillId="0" borderId="14" xfId="1" applyNumberFormat="1" applyFont="1" applyFill="1" applyBorder="1"/>
    <xf numFmtId="44" fontId="28" fillId="0" borderId="0" xfId="4" applyNumberFormat="1" applyFont="1"/>
    <xf numFmtId="0" fontId="120" fillId="0" borderId="0" xfId="4" applyFont="1"/>
    <xf numFmtId="174" fontId="28" fillId="0" borderId="0" xfId="190" applyNumberFormat="1" applyFont="1"/>
    <xf numFmtId="3" fontId="28" fillId="0" borderId="0" xfId="4" applyNumberFormat="1" applyFont="1"/>
    <xf numFmtId="174" fontId="28" fillId="0" borderId="4" xfId="190" applyNumberFormat="1" applyFont="1" applyFill="1" applyBorder="1"/>
    <xf numFmtId="0" fontId="120" fillId="0" borderId="0" xfId="4" applyFont="1" applyFill="1"/>
    <xf numFmtId="174" fontId="120" fillId="0" borderId="0" xfId="190" applyNumberFormat="1" applyFont="1" applyFill="1"/>
    <xf numFmtId="173" fontId="28" fillId="0" borderId="0" xfId="1" applyNumberFormat="1" applyFont="1" applyFill="1" applyBorder="1"/>
    <xf numFmtId="0" fontId="154" fillId="0" borderId="0" xfId="4" applyFont="1"/>
    <xf numFmtId="172" fontId="28" fillId="0" borderId="0" xfId="0" applyFont="1"/>
    <xf numFmtId="0" fontId="120" fillId="0" borderId="0" xfId="4" applyFont="1" applyFill="1" applyAlignment="1"/>
    <xf numFmtId="0" fontId="28" fillId="0" borderId="0" xfId="4" applyFont="1" applyFill="1" applyAlignment="1">
      <alignment horizontal="right"/>
    </xf>
    <xf numFmtId="3" fontId="28" fillId="0" borderId="0" xfId="0" applyNumberFormat="1" applyFont="1" applyAlignment="1">
      <alignment horizontal="center"/>
    </xf>
    <xf numFmtId="172" fontId="28" fillId="0" borderId="0" xfId="0" applyFont="1" applyFill="1"/>
    <xf numFmtId="0" fontId="28" fillId="0" borderId="0" xfId="4" applyFont="1" applyFill="1" applyAlignment="1">
      <alignment horizontal="center"/>
    </xf>
    <xf numFmtId="9" fontId="28" fillId="0" borderId="0" xfId="4475" applyFont="1"/>
    <xf numFmtId="172" fontId="120" fillId="0" borderId="0" xfId="0" applyFont="1" applyAlignment="1">
      <alignment horizontal="right"/>
    </xf>
    <xf numFmtId="49" fontId="120" fillId="0" borderId="0" xfId="4598" applyNumberFormat="1" applyFont="1" applyFill="1" applyAlignment="1">
      <alignment horizontal="center"/>
    </xf>
    <xf numFmtId="0" fontId="28" fillId="0" borderId="3" xfId="4" applyFont="1" applyBorder="1"/>
    <xf numFmtId="44" fontId="28" fillId="0" borderId="3" xfId="4" applyNumberFormat="1" applyFont="1" applyBorder="1" applyAlignment="1">
      <alignment horizontal="center"/>
    </xf>
    <xf numFmtId="10" fontId="28" fillId="0" borderId="0" xfId="3" applyNumberFormat="1" applyFont="1" applyFill="1"/>
    <xf numFmtId="10" fontId="28" fillId="0" borderId="0" xfId="4" applyNumberFormat="1" applyFont="1"/>
    <xf numFmtId="0" fontId="120" fillId="0" borderId="0" xfId="4" applyFont="1" applyAlignment="1"/>
    <xf numFmtId="49" fontId="120" fillId="0" borderId="0" xfId="4" applyNumberFormat="1" applyFont="1" applyAlignment="1"/>
    <xf numFmtId="172" fontId="28" fillId="0" borderId="0" xfId="0" applyFont="1" applyFill="1" applyBorder="1"/>
    <xf numFmtId="0" fontId="28" fillId="0" borderId="0" xfId="4" applyFont="1" applyBorder="1" applyAlignment="1">
      <alignment horizontal="right"/>
    </xf>
    <xf numFmtId="0" fontId="120" fillId="0" borderId="0" xfId="4" applyFont="1" applyBorder="1" applyAlignment="1"/>
    <xf numFmtId="172" fontId="120" fillId="0" borderId="0" xfId="0" applyFont="1" applyFill="1" applyBorder="1" applyAlignment="1" applyProtection="1">
      <alignment horizontal="center"/>
      <protection locked="0"/>
    </xf>
    <xf numFmtId="172" fontId="120" fillId="0" borderId="0" xfId="0" applyFont="1" applyBorder="1" applyAlignment="1" applyProtection="1">
      <alignment horizontal="center" wrapText="1"/>
      <protection locked="0"/>
    </xf>
    <xf numFmtId="172" fontId="120" fillId="0" borderId="3" xfId="0" applyFont="1" applyFill="1" applyBorder="1" applyAlignment="1" applyProtection="1">
      <alignment horizontal="center"/>
      <protection locked="0"/>
    </xf>
    <xf numFmtId="172" fontId="120" fillId="0" borderId="3" xfId="0" applyFont="1" applyBorder="1" applyAlignment="1" applyProtection="1">
      <alignment horizontal="center" wrapText="1"/>
      <protection locked="0"/>
    </xf>
    <xf numFmtId="3" fontId="163" fillId="3" borderId="0" xfId="0" applyNumberFormat="1" applyFont="1" applyFill="1" applyAlignment="1" applyProtection="1">
      <protection locked="0"/>
    </xf>
    <xf numFmtId="174" fontId="28" fillId="0" borderId="0" xfId="4665" applyNumberFormat="1" applyFont="1" applyBorder="1" applyAlignment="1">
      <alignment horizontal="center"/>
    </xf>
    <xf numFmtId="10" fontId="7" fillId="56" borderId="0" xfId="4352" applyNumberFormat="1" applyFont="1" applyFill="1" applyBorder="1"/>
    <xf numFmtId="307" fontId="7" fillId="56" borderId="0" xfId="0" applyNumberFormat="1" applyFont="1" applyFill="1" applyBorder="1"/>
    <xf numFmtId="10" fontId="28" fillId="0" borderId="0" xfId="4666" applyNumberFormat="1" applyFont="1" applyBorder="1" applyAlignment="1">
      <alignment horizontal="right"/>
    </xf>
    <xf numFmtId="172" fontId="28" fillId="0" borderId="0" xfId="0" applyFont="1" applyBorder="1" applyAlignment="1" applyProtection="1">
      <alignment horizontal="right"/>
    </xf>
    <xf numFmtId="174" fontId="28" fillId="0" borderId="0" xfId="0" applyNumberFormat="1" applyFont="1" applyBorder="1" applyProtection="1"/>
    <xf numFmtId="174" fontId="28" fillId="0" borderId="17" xfId="0" applyNumberFormat="1" applyFont="1" applyBorder="1" applyProtection="1"/>
    <xf numFmtId="10" fontId="28" fillId="0" borderId="0" xfId="3" applyNumberFormat="1" applyFont="1" applyFill="1" applyBorder="1"/>
    <xf numFmtId="0" fontId="28" fillId="0" borderId="0" xfId="4476" applyFont="1" applyFill="1" applyProtection="1"/>
    <xf numFmtId="0" fontId="28" fillId="0" borderId="0" xfId="4476" applyFont="1" applyFill="1" applyAlignment="1" applyProtection="1">
      <alignment horizontal="center"/>
    </xf>
    <xf numFmtId="0" fontId="28" fillId="0" borderId="0" xfId="4476" applyFont="1" applyFill="1" applyAlignment="1" applyProtection="1">
      <alignment horizontal="right"/>
    </xf>
    <xf numFmtId="0" fontId="120" fillId="0" borderId="0" xfId="4476" applyFont="1" applyFill="1" applyAlignment="1" applyProtection="1">
      <alignment horizontal="left"/>
    </xf>
    <xf numFmtId="0" fontId="28" fillId="0" borderId="0" xfId="4476" applyFont="1" applyFill="1" applyAlignment="1" applyProtection="1">
      <alignment horizontal="left"/>
    </xf>
    <xf numFmtId="16" fontId="28" fillId="0" borderId="0" xfId="4476" applyNumberFormat="1" applyFont="1" applyFill="1" applyAlignment="1" applyProtection="1">
      <alignment horizontal="center"/>
    </xf>
    <xf numFmtId="0" fontId="28" fillId="0" borderId="0" xfId="4476" applyFont="1" applyFill="1" applyAlignment="1" applyProtection="1">
      <alignment horizontal="left" wrapText="1"/>
    </xf>
    <xf numFmtId="0" fontId="28" fillId="0" borderId="0" xfId="4476" applyFont="1" applyAlignment="1" applyProtection="1">
      <alignment wrapText="1"/>
    </xf>
    <xf numFmtId="0" fontId="28" fillId="0" borderId="0" xfId="4476" applyFont="1" applyAlignment="1" applyProtection="1"/>
    <xf numFmtId="0" fontId="28" fillId="0" borderId="0" xfId="4476" applyFont="1" applyFill="1" applyAlignment="1" applyProtection="1">
      <alignment wrapText="1"/>
    </xf>
    <xf numFmtId="0" fontId="120" fillId="0" borderId="1" xfId="4476" applyFont="1" applyFill="1" applyBorder="1" applyAlignment="1" applyProtection="1">
      <alignment horizontal="center" wrapText="1"/>
    </xf>
    <xf numFmtId="0" fontId="175" fillId="0" borderId="0" xfId="4476" applyFont="1" applyFill="1" applyProtection="1"/>
    <xf numFmtId="174" fontId="28" fillId="0" borderId="0" xfId="190" applyNumberFormat="1" applyFont="1" applyFill="1" applyBorder="1" applyAlignment="1" applyProtection="1">
      <alignment wrapText="1"/>
    </xf>
    <xf numFmtId="0" fontId="28" fillId="0" borderId="0" xfId="4476" applyFont="1" applyFill="1" applyAlignment="1" applyProtection="1"/>
    <xf numFmtId="173" fontId="28" fillId="0" borderId="0" xfId="4476" applyNumberFormat="1" applyFont="1" applyFill="1" applyBorder="1" applyAlignment="1" applyProtection="1"/>
    <xf numFmtId="174" fontId="175" fillId="0" borderId="0" xfId="190" applyNumberFormat="1" applyFont="1" applyFill="1" applyProtection="1"/>
    <xf numFmtId="0" fontId="176" fillId="0" borderId="0" xfId="4476" applyFont="1" applyFill="1" applyAlignment="1" applyProtection="1">
      <alignment horizontal="center"/>
    </xf>
    <xf numFmtId="174" fontId="175" fillId="0" borderId="0" xfId="4477" applyNumberFormat="1" applyFont="1" applyFill="1" applyProtection="1"/>
    <xf numFmtId="173" fontId="28" fillId="0" borderId="0" xfId="1" applyNumberFormat="1" applyFont="1" applyFill="1" applyProtection="1"/>
    <xf numFmtId="0" fontId="120" fillId="0" borderId="3" xfId="4476" applyFont="1" applyFill="1" applyBorder="1" applyAlignment="1" applyProtection="1">
      <alignment horizontal="left"/>
    </xf>
    <xf numFmtId="0" fontId="28" fillId="0" borderId="3" xfId="4476" applyFont="1" applyFill="1" applyBorder="1" applyAlignment="1" applyProtection="1">
      <alignment horizontal="center"/>
    </xf>
    <xf numFmtId="0" fontId="28" fillId="0" borderId="3" xfId="4476" applyFont="1" applyBorder="1" applyAlignment="1" applyProtection="1">
      <alignment wrapText="1"/>
    </xf>
    <xf numFmtId="0" fontId="120" fillId="0" borderId="3" xfId="4476" applyFont="1" applyBorder="1" applyAlignment="1" applyProtection="1">
      <alignment horizontal="center" wrapText="1"/>
    </xf>
    <xf numFmtId="0" fontId="28" fillId="0" borderId="0" xfId="4476" applyFont="1" applyFill="1" applyBorder="1" applyAlignment="1" applyProtection="1">
      <alignment wrapText="1"/>
    </xf>
    <xf numFmtId="174" fontId="28" fillId="0" borderId="0" xfId="190" applyNumberFormat="1" applyFont="1" applyFill="1" applyBorder="1" applyProtection="1"/>
    <xf numFmtId="193" fontId="28" fillId="0" borderId="4" xfId="4352" applyNumberFormat="1" applyFont="1" applyBorder="1" applyAlignment="1" applyProtection="1">
      <alignment wrapText="1"/>
    </xf>
    <xf numFmtId="174" fontId="28" fillId="0" borderId="0" xfId="190" applyNumberFormat="1" applyFont="1" applyAlignment="1" applyProtection="1">
      <alignment wrapText="1"/>
    </xf>
    <xf numFmtId="0" fontId="120" fillId="0" borderId="3" xfId="4476" applyFont="1" applyBorder="1" applyAlignment="1" applyProtection="1">
      <alignment horizontal="left"/>
    </xf>
    <xf numFmtId="0" fontId="28" fillId="0" borderId="3" xfId="4476" applyFont="1" applyFill="1" applyBorder="1" applyProtection="1"/>
    <xf numFmtId="0" fontId="120" fillId="0" borderId="0" xfId="4476" applyFont="1" applyAlignment="1" applyProtection="1">
      <alignment horizontal="center" wrapText="1"/>
    </xf>
    <xf numFmtId="0" fontId="120" fillId="0" borderId="0" xfId="4476" applyFont="1" applyFill="1" applyBorder="1" applyAlignment="1" applyProtection="1">
      <alignment horizontal="center" wrapText="1"/>
    </xf>
    <xf numFmtId="0" fontId="28" fillId="0" borderId="0" xfId="4476" applyFont="1" applyAlignment="1">
      <alignment horizontal="left"/>
    </xf>
    <xf numFmtId="193" fontId="163" fillId="3" borderId="0" xfId="4352" applyNumberFormat="1" applyFont="1" applyFill="1" applyAlignment="1" applyProtection="1">
      <alignment wrapText="1"/>
    </xf>
    <xf numFmtId="0" fontId="28" fillId="0" borderId="0" xfId="4476" applyFont="1" applyFill="1" applyAlignment="1">
      <alignment horizontal="left"/>
    </xf>
    <xf numFmtId="193" fontId="28" fillId="0" borderId="4" xfId="4476" applyNumberFormat="1" applyFont="1" applyFill="1" applyBorder="1" applyAlignment="1" applyProtection="1">
      <alignment wrapText="1"/>
    </xf>
    <xf numFmtId="193" fontId="177" fillId="0" borderId="0" xfId="4476" applyNumberFormat="1" applyFont="1" applyFill="1" applyBorder="1" applyAlignment="1" applyProtection="1">
      <alignment wrapText="1"/>
    </xf>
    <xf numFmtId="172" fontId="7" fillId="0" borderId="0" xfId="0" applyFont="1" applyFill="1" applyAlignment="1" applyProtection="1">
      <alignment wrapText="1"/>
    </xf>
    <xf numFmtId="193" fontId="28" fillId="0" borderId="0" xfId="4476" applyNumberFormat="1" applyFont="1" applyAlignment="1" applyProtection="1">
      <alignment wrapText="1"/>
    </xf>
    <xf numFmtId="193" fontId="28" fillId="0" borderId="0" xfId="4352" applyNumberFormat="1" applyFont="1" applyAlignment="1" applyProtection="1">
      <alignment wrapText="1"/>
    </xf>
    <xf numFmtId="42" fontId="28" fillId="0" borderId="0" xfId="4476" applyNumberFormat="1" applyFont="1" applyFill="1" applyAlignment="1" applyProtection="1">
      <alignment horizontal="right"/>
    </xf>
    <xf numFmtId="41" fontId="28" fillId="0" borderId="0" xfId="190" applyNumberFormat="1" applyFont="1" applyFill="1" applyAlignment="1" applyProtection="1">
      <alignment horizontal="right"/>
    </xf>
    <xf numFmtId="173" fontId="28" fillId="0" borderId="0" xfId="4476" applyNumberFormat="1" applyFont="1" applyFill="1" applyProtection="1"/>
    <xf numFmtId="174" fontId="28" fillId="0" borderId="0" xfId="4476" applyNumberFormat="1" applyFont="1" applyFill="1" applyProtection="1"/>
    <xf numFmtId="0" fontId="28" fillId="0" borderId="0" xfId="4476" applyFont="1" applyFill="1" applyAlignment="1" applyProtection="1">
      <alignment horizontal="center" vertical="top"/>
    </xf>
    <xf numFmtId="0" fontId="7" fillId="0" borderId="0" xfId="4476" applyFont="1" applyFill="1" applyAlignment="1" applyProtection="1">
      <alignment horizontal="center"/>
    </xf>
    <xf numFmtId="0" fontId="7" fillId="0" borderId="0" xfId="4476" applyFont="1" applyFill="1" applyProtection="1"/>
    <xf numFmtId="0" fontId="28" fillId="0" borderId="0" xfId="4476" applyFont="1" applyFill="1" applyBorder="1" applyAlignment="1" applyProtection="1">
      <alignment horizontal="center"/>
    </xf>
    <xf numFmtId="0" fontId="28" fillId="0" borderId="0" xfId="4476" applyFont="1" applyFill="1" applyBorder="1" applyProtection="1"/>
    <xf numFmtId="172" fontId="28" fillId="0" borderId="0" xfId="4667" applyNumberFormat="1" applyFont="1" applyAlignment="1"/>
    <xf numFmtId="172" fontId="28" fillId="0" borderId="0" xfId="4667" applyNumberFormat="1" applyFont="1" applyAlignment="1">
      <alignment horizontal="right"/>
    </xf>
    <xf numFmtId="0" fontId="28" fillId="0" borderId="0" xfId="4667" applyNumberFormat="1" applyFont="1" applyAlignment="1"/>
    <xf numFmtId="172" fontId="28" fillId="0" borderId="0" xfId="4667" applyNumberFormat="1" applyFont="1" applyBorder="1" applyAlignment="1"/>
    <xf numFmtId="0" fontId="28" fillId="0" borderId="0" xfId="4667" applyNumberFormat="1" applyFont="1" applyBorder="1" applyAlignment="1"/>
    <xf numFmtId="193" fontId="28" fillId="0" borderId="0" xfId="4667" applyNumberFormat="1" applyFont="1" applyAlignment="1"/>
    <xf numFmtId="172" fontId="28" fillId="0" borderId="0" xfId="4667" applyNumberFormat="1" applyFont="1" applyFill="1" applyBorder="1" applyAlignment="1"/>
    <xf numFmtId="306" fontId="36" fillId="0" borderId="0" xfId="4667" applyNumberFormat="1" applyFont="1" applyFill="1" applyAlignment="1">
      <alignment horizontal="left"/>
    </xf>
    <xf numFmtId="41" fontId="28" fillId="78" borderId="0" xfId="1" applyNumberFormat="1" applyFont="1" applyFill="1" applyAlignment="1" applyProtection="1">
      <protection locked="0"/>
    </xf>
    <xf numFmtId="41" fontId="28" fillId="78" borderId="38" xfId="1" applyNumberFormat="1" applyFont="1" applyFill="1" applyBorder="1" applyAlignment="1" applyProtection="1">
      <protection locked="0"/>
    </xf>
    <xf numFmtId="173" fontId="28" fillId="0" borderId="0" xfId="1" applyNumberFormat="1" applyFont="1" applyFill="1" applyBorder="1" applyAlignment="1"/>
    <xf numFmtId="172" fontId="28" fillId="0" borderId="38" xfId="4667" applyNumberFormat="1" applyFont="1" applyBorder="1" applyAlignment="1"/>
    <xf numFmtId="172" fontId="154" fillId="0" borderId="0" xfId="4667" applyNumberFormat="1" applyFont="1" applyBorder="1" applyAlignment="1">
      <alignment horizontal="center"/>
    </xf>
    <xf numFmtId="306" fontId="28" fillId="3" borderId="0" xfId="4667" quotePrefix="1" applyNumberFormat="1" applyFont="1" applyFill="1" applyAlignment="1">
      <alignment horizontal="left"/>
    </xf>
    <xf numFmtId="42" fontId="36" fillId="0" borderId="0" xfId="4667" applyNumberFormat="1" applyFont="1" applyAlignment="1"/>
    <xf numFmtId="42" fontId="36" fillId="0" borderId="0" xfId="4667" applyNumberFormat="1" applyFont="1" applyBorder="1" applyAlignment="1"/>
    <xf numFmtId="42" fontId="36" fillId="0" borderId="38" xfId="4667" applyNumberFormat="1" applyFont="1" applyBorder="1" applyAlignment="1"/>
    <xf numFmtId="42" fontId="36" fillId="0" borderId="0" xfId="1" applyNumberFormat="1" applyFont="1" applyFill="1" applyBorder="1" applyAlignment="1"/>
    <xf numFmtId="42" fontId="28" fillId="0" borderId="38" xfId="4667" applyNumberFormat="1" applyFont="1" applyBorder="1" applyAlignment="1"/>
    <xf numFmtId="42" fontId="28" fillId="0" borderId="0" xfId="4667" applyNumberFormat="1" applyFont="1" applyBorder="1" applyAlignment="1"/>
    <xf numFmtId="306" fontId="28" fillId="0" borderId="0" xfId="4667" applyNumberFormat="1" applyFont="1" applyFill="1" applyAlignment="1">
      <alignment horizontal="left"/>
    </xf>
    <xf numFmtId="170" fontId="28" fillId="0" borderId="0" xfId="4667" applyNumberFormat="1" applyFont="1" applyAlignment="1"/>
    <xf numFmtId="172" fontId="28" fillId="0" borderId="0" xfId="4667" applyNumberFormat="1" applyFont="1" applyFill="1" applyAlignment="1"/>
    <xf numFmtId="172" fontId="154" fillId="0" borderId="0" xfId="4667" applyNumberFormat="1" applyFont="1" applyAlignment="1">
      <alignment horizontal="center"/>
    </xf>
    <xf numFmtId="172" fontId="120" fillId="0" borderId="0" xfId="4667" quotePrefix="1" applyNumberFormat="1" applyFont="1" applyFill="1" applyAlignment="1"/>
    <xf numFmtId="172" fontId="28" fillId="0" borderId="0" xfId="4667" applyNumberFormat="1" applyFont="1" applyAlignment="1">
      <alignment horizontal="center" vertical="top"/>
    </xf>
    <xf numFmtId="172" fontId="28" fillId="0" borderId="0" xfId="4667" applyNumberFormat="1" applyFont="1" applyBorder="1" applyAlignment="1">
      <alignment horizontal="center"/>
    </xf>
    <xf numFmtId="172" fontId="28" fillId="0" borderId="3" xfId="4667" applyNumberFormat="1" applyFont="1" applyFill="1" applyBorder="1"/>
    <xf numFmtId="172" fontId="28" fillId="0" borderId="0" xfId="4667" applyNumberFormat="1" applyFont="1" applyFill="1"/>
    <xf numFmtId="0" fontId="28" fillId="0" borderId="0" xfId="4667" applyNumberFormat="1" applyFont="1" applyFill="1" applyAlignment="1">
      <alignment horizontal="center"/>
    </xf>
    <xf numFmtId="172" fontId="120" fillId="0" borderId="17" xfId="4667" applyNumberFormat="1" applyFont="1" applyFill="1" applyBorder="1" applyAlignment="1">
      <alignment horizontal="center" wrapText="1"/>
    </xf>
    <xf numFmtId="172" fontId="120" fillId="0" borderId="54" xfId="4667" applyNumberFormat="1" applyFont="1" applyFill="1" applyBorder="1" applyAlignment="1">
      <alignment horizontal="center" wrapText="1"/>
    </xf>
    <xf numFmtId="0" fontId="28" fillId="0" borderId="0" xfId="0" applyNumberFormat="1" applyFont="1" applyFill="1" applyAlignment="1" applyProtection="1">
      <protection locked="0"/>
    </xf>
    <xf numFmtId="172" fontId="28" fillId="0" borderId="0" xfId="0" applyFont="1" applyFill="1" applyAlignment="1">
      <alignment horizontal="left" vertical="center" wrapText="1"/>
    </xf>
    <xf numFmtId="0" fontId="28" fillId="0" borderId="0" xfId="4228" applyNumberFormat="1" applyFont="1" applyFill="1" applyAlignment="1">
      <alignment horizontal="left" vertical="top" wrapText="1"/>
    </xf>
    <xf numFmtId="44" fontId="28" fillId="0" borderId="0" xfId="4" applyNumberFormat="1" applyFont="1" applyAlignment="1">
      <alignment horizontal="center"/>
    </xf>
    <xf numFmtId="43" fontId="28" fillId="0" borderId="0" xfId="4665" applyFont="1"/>
    <xf numFmtId="43" fontId="28" fillId="0" borderId="0" xfId="4665" applyFont="1" applyAlignment="1">
      <alignment horizontal="right"/>
    </xf>
    <xf numFmtId="10" fontId="28" fillId="0" borderId="0" xfId="4665" applyNumberFormat="1" applyFont="1" applyFill="1" applyAlignment="1">
      <alignment horizontal="center"/>
    </xf>
    <xf numFmtId="10" fontId="28" fillId="0" borderId="0" xfId="3" applyNumberFormat="1" applyFont="1" applyFill="1" applyAlignment="1">
      <alignment horizontal="center"/>
    </xf>
    <xf numFmtId="10" fontId="28" fillId="0" borderId="0" xfId="4665" applyNumberFormat="1" applyFont="1" applyAlignment="1">
      <alignment horizontal="center"/>
    </xf>
    <xf numFmtId="0" fontId="28" fillId="0" borderId="4" xfId="4" applyFont="1" applyBorder="1"/>
    <xf numFmtId="10" fontId="28" fillId="0" borderId="4" xfId="3" applyNumberFormat="1" applyFont="1" applyFill="1" applyBorder="1" applyAlignment="1">
      <alignment horizontal="center"/>
    </xf>
    <xf numFmtId="10" fontId="28" fillId="0" borderId="4" xfId="4665" applyNumberFormat="1" applyFont="1" applyBorder="1" applyAlignment="1">
      <alignment horizontal="center"/>
    </xf>
    <xf numFmtId="172" fontId="178" fillId="0" borderId="0" xfId="0" applyFont="1" applyAlignment="1"/>
    <xf numFmtId="172" fontId="180" fillId="0" borderId="51" xfId="0" applyFont="1" applyBorder="1" applyAlignment="1"/>
    <xf numFmtId="172" fontId="178" fillId="0" borderId="37" xfId="0" applyFont="1" applyFill="1" applyBorder="1" applyAlignment="1"/>
    <xf numFmtId="172" fontId="178" fillId="0" borderId="0" xfId="0" applyFont="1" applyFill="1" applyBorder="1" applyAlignment="1"/>
    <xf numFmtId="172" fontId="178" fillId="0" borderId="38" xfId="0" applyFont="1" applyFill="1" applyBorder="1" applyAlignment="1"/>
    <xf numFmtId="172" fontId="178" fillId="0" borderId="37" xfId="0" applyFont="1" applyBorder="1" applyAlignment="1"/>
    <xf numFmtId="172" fontId="178" fillId="0" borderId="0" xfId="0" applyFont="1" applyBorder="1" applyAlignment="1"/>
    <xf numFmtId="172" fontId="178" fillId="0" borderId="38" xfId="0" applyFont="1" applyBorder="1" applyAlignment="1"/>
    <xf numFmtId="10" fontId="178" fillId="0" borderId="0" xfId="4352" applyNumberFormat="1" applyFont="1" applyBorder="1" applyAlignment="1"/>
    <xf numFmtId="172" fontId="179" fillId="0" borderId="53" xfId="0" applyFont="1" applyBorder="1" applyAlignment="1">
      <alignment horizontal="center"/>
    </xf>
    <xf numFmtId="172" fontId="179" fillId="0" borderId="3" xfId="0" applyFont="1" applyBorder="1" applyAlignment="1">
      <alignment horizontal="center"/>
    </xf>
    <xf numFmtId="172" fontId="178" fillId="0" borderId="52" xfId="0" applyFont="1" applyBorder="1" applyAlignment="1">
      <alignment horizontal="center"/>
    </xf>
    <xf numFmtId="172" fontId="178" fillId="0" borderId="3" xfId="0" applyFont="1" applyBorder="1" applyAlignment="1">
      <alignment horizontal="center"/>
    </xf>
    <xf numFmtId="172" fontId="178" fillId="0" borderId="37" xfId="0" applyFont="1" applyBorder="1" applyAlignment="1">
      <alignment horizontal="center"/>
    </xf>
    <xf numFmtId="172" fontId="178" fillId="0" borderId="0" xfId="0" applyFont="1" applyBorder="1" applyAlignment="1">
      <alignment horizontal="center"/>
    </xf>
    <xf numFmtId="172" fontId="178" fillId="0" borderId="38" xfId="0" applyFont="1" applyBorder="1" applyAlignment="1">
      <alignment horizontal="center"/>
    </xf>
    <xf numFmtId="42" fontId="178" fillId="0" borderId="0" xfId="0" applyNumberFormat="1" applyFont="1" applyAlignment="1"/>
    <xf numFmtId="42" fontId="178" fillId="0" borderId="0" xfId="1" applyNumberFormat="1" applyFont="1" applyBorder="1" applyAlignment="1"/>
    <xf numFmtId="42" fontId="178" fillId="0" borderId="38" xfId="1" applyNumberFormat="1" applyFont="1" applyBorder="1" applyAlignment="1"/>
    <xf numFmtId="174" fontId="178" fillId="0" borderId="52" xfId="190" applyNumberFormat="1" applyFont="1" applyBorder="1" applyAlignment="1"/>
    <xf numFmtId="174" fontId="178" fillId="0" borderId="3" xfId="190" applyNumberFormat="1" applyFont="1" applyBorder="1" applyAlignment="1"/>
    <xf numFmtId="44" fontId="178" fillId="0" borderId="52" xfId="1" applyFont="1" applyBorder="1" applyAlignment="1">
      <alignment horizontal="right"/>
    </xf>
    <xf numFmtId="173" fontId="178" fillId="0" borderId="3" xfId="1" applyNumberFormat="1" applyFont="1" applyBorder="1" applyAlignment="1"/>
    <xf numFmtId="173" fontId="178" fillId="0" borderId="53" xfId="1" applyNumberFormat="1" applyFont="1" applyBorder="1" applyAlignment="1"/>
    <xf numFmtId="174" fontId="178" fillId="0" borderId="0" xfId="190" applyNumberFormat="1" applyFont="1" applyBorder="1" applyAlignment="1"/>
    <xf numFmtId="44" fontId="178" fillId="0" borderId="0" xfId="1" applyFont="1" applyBorder="1" applyAlignment="1">
      <alignment horizontal="right"/>
    </xf>
    <xf numFmtId="173" fontId="178" fillId="0" borderId="0" xfId="1" applyNumberFormat="1" applyFont="1" applyBorder="1" applyAlignment="1"/>
    <xf numFmtId="172" fontId="178" fillId="0" borderId="0" xfId="0" applyFont="1" applyFill="1" applyAlignment="1">
      <alignment horizontal="center"/>
    </xf>
    <xf numFmtId="172" fontId="178" fillId="3" borderId="4" xfId="0" applyFont="1" applyFill="1" applyBorder="1" applyAlignment="1"/>
    <xf numFmtId="172" fontId="178" fillId="3" borderId="0" xfId="0" applyFont="1" applyFill="1" applyBorder="1" applyAlignment="1">
      <alignment horizontal="center"/>
    </xf>
    <xf numFmtId="10" fontId="178" fillId="3" borderId="0" xfId="4352" applyNumberFormat="1" applyFont="1" applyFill="1" applyBorder="1" applyAlignment="1"/>
    <xf numFmtId="172" fontId="178" fillId="3" borderId="4" xfId="0" applyFont="1" applyFill="1" applyBorder="1" applyAlignment="1">
      <alignment wrapText="1"/>
    </xf>
    <xf numFmtId="174" fontId="178" fillId="3" borderId="0" xfId="190" applyNumberFormat="1" applyFont="1" applyFill="1" applyBorder="1" applyAlignment="1"/>
    <xf numFmtId="0" fontId="178" fillId="3" borderId="0" xfId="4352" quotePrefix="1" applyNumberFormat="1" applyFont="1" applyFill="1" applyBorder="1" applyAlignment="1">
      <alignment horizontal="right"/>
    </xf>
    <xf numFmtId="42" fontId="178" fillId="3" borderId="37" xfId="1" applyNumberFormat="1" applyFont="1" applyFill="1" applyBorder="1" applyAlignment="1">
      <alignment horizontal="right"/>
    </xf>
    <xf numFmtId="42" fontId="178" fillId="3" borderId="0" xfId="1" applyNumberFormat="1" applyFont="1" applyFill="1" applyBorder="1" applyAlignment="1"/>
    <xf numFmtId="172" fontId="179" fillId="0" borderId="0" xfId="0" applyFont="1" applyBorder="1" applyAlignment="1">
      <alignment horizontal="center"/>
    </xf>
    <xf numFmtId="0" fontId="28" fillId="0" borderId="0" xfId="4598" applyFont="1" applyFill="1" applyAlignment="1">
      <alignment horizontal="center"/>
    </xf>
    <xf numFmtId="44" fontId="162" fillId="0" borderId="0" xfId="0" applyNumberFormat="1" applyFont="1" applyBorder="1" applyAlignment="1">
      <alignment horizontal="center"/>
    </xf>
    <xf numFmtId="172" fontId="178" fillId="0" borderId="0" xfId="0" applyFont="1" applyAlignment="1">
      <alignment horizontal="center"/>
    </xf>
    <xf numFmtId="0" fontId="178" fillId="0" borderId="0" xfId="0" applyNumberFormat="1" applyFont="1" applyFill="1" applyAlignment="1">
      <alignment horizontal="center"/>
    </xf>
    <xf numFmtId="172" fontId="178" fillId="0" borderId="0" xfId="0" applyFont="1" applyAlignment="1">
      <alignment horizontal="left"/>
    </xf>
    <xf numFmtId="0" fontId="178" fillId="0" borderId="0" xfId="0" applyNumberFormat="1" applyFont="1" applyAlignment="1">
      <alignment horizontal="center"/>
    </xf>
    <xf numFmtId="172" fontId="181" fillId="0" borderId="0" xfId="0" applyFont="1" applyFill="1" applyAlignment="1">
      <alignment horizontal="center"/>
    </xf>
    <xf numFmtId="0" fontId="178" fillId="3" borderId="0" xfId="0" applyNumberFormat="1" applyFont="1" applyFill="1" applyAlignment="1">
      <alignment horizontal="center"/>
    </xf>
    <xf numFmtId="172" fontId="181" fillId="0" borderId="0" xfId="0" applyFont="1" applyAlignment="1">
      <alignment horizontal="center"/>
    </xf>
    <xf numFmtId="0" fontId="162" fillId="0" borderId="0" xfId="0" applyNumberFormat="1" applyFont="1" applyFill="1" applyAlignment="1" applyProtection="1">
      <protection locked="0"/>
    </xf>
    <xf numFmtId="172" fontId="120" fillId="0" borderId="0" xfId="4667" applyNumberFormat="1" applyFont="1" applyBorder="1" applyAlignment="1"/>
    <xf numFmtId="172" fontId="28" fillId="0" borderId="37" xfId="4667" applyNumberFormat="1" applyFont="1" applyFill="1" applyBorder="1" applyAlignment="1"/>
    <xf numFmtId="41" fontId="28" fillId="78" borderId="0" xfId="1" applyNumberFormat="1" applyFont="1" applyFill="1" applyBorder="1" applyAlignment="1" applyProtection="1">
      <protection locked="0"/>
    </xf>
    <xf numFmtId="172" fontId="28" fillId="0" borderId="37" xfId="4667" applyNumberFormat="1" applyFont="1" applyBorder="1" applyAlignment="1"/>
    <xf numFmtId="172" fontId="154" fillId="0" borderId="37" xfId="4667" applyNumberFormat="1" applyFont="1" applyBorder="1" applyAlignment="1">
      <alignment horizontal="center"/>
    </xf>
    <xf numFmtId="172" fontId="179" fillId="0" borderId="0" xfId="0" applyFont="1" applyAlignment="1">
      <alignment horizontal="left"/>
    </xf>
    <xf numFmtId="42" fontId="178" fillId="79" borderId="0" xfId="0" applyNumberFormat="1" applyFont="1" applyFill="1" applyAlignment="1"/>
    <xf numFmtId="172" fontId="179" fillId="0" borderId="37" xfId="0" applyFont="1" applyBorder="1" applyAlignment="1">
      <alignment horizontal="center"/>
    </xf>
    <xf numFmtId="172" fontId="179" fillId="0" borderId="52" xfId="0" applyFont="1" applyBorder="1" applyAlignment="1">
      <alignment horizontal="center"/>
    </xf>
    <xf numFmtId="42" fontId="36" fillId="0" borderId="37" xfId="4667" applyNumberFormat="1" applyFont="1" applyBorder="1" applyAlignment="1"/>
    <xf numFmtId="174" fontId="178" fillId="0" borderId="37" xfId="190" applyNumberFormat="1" applyFont="1" applyBorder="1" applyAlignment="1"/>
    <xf numFmtId="172" fontId="178" fillId="3" borderId="47" xfId="0" applyFont="1" applyFill="1" applyBorder="1" applyAlignment="1"/>
    <xf numFmtId="172" fontId="179" fillId="0" borderId="38" xfId="0" applyFont="1" applyBorder="1" applyAlignment="1">
      <alignment horizontal="center"/>
    </xf>
    <xf numFmtId="174" fontId="178" fillId="0" borderId="38" xfId="190" applyNumberFormat="1" applyFont="1" applyBorder="1" applyAlignment="1"/>
    <xf numFmtId="174" fontId="178" fillId="0" borderId="53" xfId="190" applyNumberFormat="1" applyFont="1" applyBorder="1" applyAlignment="1"/>
    <xf numFmtId="44" fontId="178" fillId="0" borderId="37" xfId="1" applyFont="1" applyBorder="1" applyAlignment="1">
      <alignment horizontal="right"/>
    </xf>
    <xf numFmtId="173" fontId="178" fillId="0" borderId="38" xfId="1" applyNumberFormat="1" applyFont="1" applyBorder="1" applyAlignment="1"/>
    <xf numFmtId="172" fontId="178" fillId="0" borderId="35" xfId="0" applyFont="1" applyBorder="1" applyAlignment="1"/>
    <xf numFmtId="172" fontId="120" fillId="0" borderId="0" xfId="4667" applyNumberFormat="1" applyFont="1" applyFill="1" applyAlignment="1">
      <alignment horizontal="center"/>
    </xf>
    <xf numFmtId="0" fontId="28" fillId="0" borderId="0" xfId="4671" applyFont="1"/>
    <xf numFmtId="0" fontId="28" fillId="0" borderId="0" xfId="4671" quotePrefix="1" applyFont="1"/>
    <xf numFmtId="0" fontId="28" fillId="0" borderId="0" xfId="4671" applyNumberFormat="1" applyFont="1" applyAlignment="1">
      <alignment horizontal="center"/>
    </xf>
    <xf numFmtId="37" fontId="28" fillId="0" borderId="0" xfId="4671" applyNumberFormat="1" applyFont="1" applyAlignment="1">
      <alignment horizontal="right"/>
    </xf>
    <xf numFmtId="0" fontId="28" fillId="0" borderId="0" xfId="4671" applyFont="1" applyAlignment="1">
      <alignment horizontal="center"/>
    </xf>
    <xf numFmtId="0" fontId="183" fillId="0" borderId="27" xfId="4671" applyFont="1" applyFill="1" applyBorder="1"/>
    <xf numFmtId="37" fontId="28" fillId="0" borderId="0" xfId="4671" applyNumberFormat="1" applyFont="1"/>
    <xf numFmtId="0" fontId="28" fillId="0" borderId="0" xfId="4671" applyFont="1" applyAlignment="1">
      <alignment horizontal="left" indent="1"/>
    </xf>
    <xf numFmtId="0" fontId="28" fillId="0" borderId="0" xfId="4671" applyFont="1" applyFill="1" applyAlignment="1">
      <alignment horizontal="center"/>
    </xf>
    <xf numFmtId="5" fontId="28" fillId="0" borderId="0" xfId="4671" applyNumberFormat="1" applyFont="1" applyFill="1"/>
    <xf numFmtId="0" fontId="28" fillId="0" borderId="0" xfId="4671" applyFont="1" applyFill="1" applyAlignment="1">
      <alignment horizontal="left" indent="2"/>
    </xf>
    <xf numFmtId="0" fontId="129" fillId="0" borderId="0" xfId="4473" applyFont="1" applyBorder="1" applyAlignment="1">
      <alignment horizontal="left" indent="2"/>
    </xf>
    <xf numFmtId="0" fontId="28" fillId="0" borderId="0" xfId="4671" applyFont="1" applyFill="1" applyAlignment="1">
      <alignment horizontal="left" indent="1"/>
    </xf>
    <xf numFmtId="5" fontId="28" fillId="0" borderId="0" xfId="4671" applyNumberFormat="1" applyFont="1"/>
    <xf numFmtId="0" fontId="183" fillId="0" borderId="0" xfId="4671" applyFont="1" applyFill="1" applyAlignment="1">
      <alignment horizontal="left"/>
    </xf>
    <xf numFmtId="37" fontId="28" fillId="0" borderId="0" xfId="4671" applyNumberFormat="1" applyFont="1" applyFill="1"/>
    <xf numFmtId="212" fontId="28" fillId="0" borderId="0" xfId="4671" applyNumberFormat="1" applyFont="1"/>
    <xf numFmtId="309" fontId="28" fillId="0" borderId="0" xfId="4671" applyNumberFormat="1" applyFont="1"/>
    <xf numFmtId="0" fontId="120" fillId="0" borderId="0" xfId="4671" applyFont="1"/>
    <xf numFmtId="0" fontId="28" fillId="0" borderId="0" xfId="4671" applyFont="1" applyFill="1"/>
    <xf numFmtId="212" fontId="28" fillId="0" borderId="0" xfId="4671" applyNumberFormat="1" applyFont="1" applyFill="1"/>
    <xf numFmtId="0" fontId="154" fillId="0" borderId="0" xfId="4" applyFont="1" applyAlignment="1">
      <alignment horizontal="center"/>
    </xf>
    <xf numFmtId="172" fontId="120" fillId="0" borderId="0" xfId="0" applyFont="1" applyBorder="1" applyAlignment="1">
      <alignment horizontal="right"/>
    </xf>
    <xf numFmtId="174" fontId="28" fillId="0" borderId="0" xfId="4665" applyNumberFormat="1" applyFont="1" applyFill="1" applyAlignment="1" applyProtection="1">
      <alignment horizontal="center"/>
      <protection locked="0"/>
    </xf>
    <xf numFmtId="3" fontId="28" fillId="0" borderId="0" xfId="0" applyNumberFormat="1" applyFont="1" applyBorder="1" applyAlignment="1" applyProtection="1"/>
    <xf numFmtId="43" fontId="28" fillId="0" borderId="0" xfId="190" applyNumberFormat="1" applyFont="1" applyFill="1" applyAlignment="1"/>
    <xf numFmtId="172" fontId="28" fillId="0" borderId="0" xfId="4667" applyNumberFormat="1" applyFont="1" applyFill="1" applyAlignment="1">
      <alignment horizontal="right"/>
    </xf>
    <xf numFmtId="172" fontId="120" fillId="0" borderId="0" xfId="4667" applyNumberFormat="1" applyFont="1" applyBorder="1"/>
    <xf numFmtId="172" fontId="120" fillId="0" borderId="0" xfId="4667" applyNumberFormat="1" applyFont="1" applyBorder="1" applyAlignment="1">
      <alignment horizontal="center"/>
    </xf>
    <xf numFmtId="172" fontId="28" fillId="0" borderId="0" xfId="4667" quotePrefix="1" applyNumberFormat="1" applyFont="1" applyAlignment="1">
      <alignment horizontal="center"/>
    </xf>
    <xf numFmtId="172" fontId="28" fillId="0" borderId="0" xfId="4667" quotePrefix="1" applyNumberFormat="1" applyFont="1" applyFill="1" applyAlignment="1">
      <alignment horizontal="center"/>
    </xf>
    <xf numFmtId="172" fontId="120" fillId="0" borderId="0" xfId="4667" applyNumberFormat="1" applyFont="1" applyAlignment="1"/>
    <xf numFmtId="172" fontId="120" fillId="0" borderId="0" xfId="4667" applyNumberFormat="1" applyFont="1" applyAlignment="1">
      <alignment horizontal="center"/>
    </xf>
    <xf numFmtId="172" fontId="120" fillId="0" borderId="1" xfId="4667" applyNumberFormat="1" applyFont="1" applyBorder="1" applyAlignment="1">
      <alignment horizontal="center"/>
    </xf>
    <xf numFmtId="172" fontId="120" fillId="0" borderId="1" xfId="4667" applyNumberFormat="1" applyFont="1" applyFill="1" applyBorder="1" applyAlignment="1">
      <alignment horizontal="center"/>
    </xf>
    <xf numFmtId="0" fontId="28" fillId="0" borderId="0" xfId="190" applyNumberFormat="1" applyFont="1" applyAlignment="1">
      <alignment horizontal="center"/>
    </xf>
    <xf numFmtId="170" fontId="28" fillId="0" borderId="0" xfId="190" applyNumberFormat="1" applyFont="1" applyFill="1" applyBorder="1" applyAlignment="1"/>
    <xf numFmtId="0" fontId="28" fillId="0" borderId="0" xfId="4667" applyNumberFormat="1" applyFont="1" applyAlignment="1">
      <alignment horizontal="center"/>
    </xf>
    <xf numFmtId="193" fontId="28" fillId="0" borderId="0" xfId="4667" applyNumberFormat="1" applyFont="1" applyFill="1" applyAlignment="1"/>
    <xf numFmtId="41" fontId="28" fillId="0" borderId="0" xfId="4668" applyNumberFormat="1" applyFont="1" applyFill="1" applyBorder="1" applyAlignment="1" applyProtection="1">
      <protection locked="0"/>
    </xf>
    <xf numFmtId="271" fontId="28" fillId="79" borderId="0" xfId="190" applyNumberFormat="1" applyFont="1" applyFill="1" applyAlignment="1"/>
    <xf numFmtId="41" fontId="28" fillId="0" borderId="0" xfId="4667" applyNumberFormat="1" applyFont="1" applyFill="1" applyBorder="1" applyAlignment="1"/>
    <xf numFmtId="172" fontId="28" fillId="0" borderId="4" xfId="4667" applyNumberFormat="1" applyFont="1" applyFill="1" applyBorder="1" applyAlignment="1"/>
    <xf numFmtId="173" fontId="28" fillId="0" borderId="4" xfId="1" applyNumberFormat="1" applyFont="1" applyFill="1" applyBorder="1" applyAlignment="1"/>
    <xf numFmtId="271" fontId="28" fillId="0" borderId="4" xfId="190" applyNumberFormat="1" applyFont="1" applyFill="1" applyBorder="1" applyAlignment="1"/>
    <xf numFmtId="173" fontId="28" fillId="0" borderId="0" xfId="4668" applyNumberFormat="1" applyFont="1" applyFill="1" applyAlignment="1" applyProtection="1">
      <protection locked="0"/>
    </xf>
    <xf numFmtId="0" fontId="28" fillId="0" borderId="4" xfId="4667" applyNumberFormat="1" applyFont="1" applyBorder="1" applyAlignment="1"/>
    <xf numFmtId="1" fontId="28" fillId="0" borderId="4" xfId="4668" applyNumberFormat="1" applyFont="1" applyBorder="1" applyAlignment="1" applyProtection="1">
      <alignment horizontal="left"/>
      <protection locked="0"/>
    </xf>
    <xf numFmtId="173" fontId="28" fillId="0" borderId="4" xfId="4668" applyNumberFormat="1" applyFont="1" applyFill="1" applyBorder="1" applyAlignment="1" applyProtection="1">
      <protection locked="0"/>
    </xf>
    <xf numFmtId="173" fontId="28" fillId="0" borderId="0" xfId="1" applyNumberFormat="1" applyFont="1" applyFill="1" applyAlignment="1"/>
    <xf numFmtId="172" fontId="120" fillId="0" borderId="0" xfId="4669" applyFont="1" applyAlignment="1">
      <alignment horizontal="left"/>
    </xf>
    <xf numFmtId="42" fontId="28" fillId="0" borderId="0" xfId="4667" applyNumberFormat="1" applyFont="1" applyAlignment="1"/>
    <xf numFmtId="0" fontId="28" fillId="0" borderId="0" xfId="4667" applyNumberFormat="1" applyFont="1" applyFill="1" applyBorder="1" applyAlignment="1"/>
    <xf numFmtId="41" fontId="113" fillId="0" borderId="0" xfId="4668" applyNumberFormat="1" applyFont="1" applyFill="1" applyBorder="1" applyAlignment="1" applyProtection="1">
      <protection locked="0"/>
    </xf>
    <xf numFmtId="172" fontId="28" fillId="0" borderId="0" xfId="4667" applyNumberFormat="1" applyFont="1" applyFill="1" applyBorder="1" applyAlignment="1">
      <alignment horizontal="center"/>
    </xf>
    <xf numFmtId="193" fontId="28" fillId="0" borderId="0" xfId="4667" applyNumberFormat="1" applyFont="1" applyFill="1" applyBorder="1" applyAlignment="1"/>
    <xf numFmtId="42" fontId="28" fillId="0" borderId="0" xfId="4667" applyNumberFormat="1" applyFont="1" applyFill="1" applyBorder="1" applyAlignment="1"/>
    <xf numFmtId="10" fontId="28" fillId="0" borderId="0" xfId="4667" applyNumberFormat="1" applyFont="1" applyFill="1" applyBorder="1" applyAlignment="1"/>
    <xf numFmtId="41" fontId="184" fillId="0" borderId="0" xfId="4667" applyNumberFormat="1" applyFont="1" applyFill="1" applyBorder="1" applyAlignment="1"/>
    <xf numFmtId="0" fontId="28" fillId="0" borderId="0" xfId="4670" applyFont="1" applyFill="1" applyBorder="1"/>
    <xf numFmtId="1" fontId="163" fillId="3" borderId="0" xfId="0" applyNumberFormat="1" applyFont="1" applyFill="1" applyAlignment="1" applyProtection="1">
      <alignment horizontal="center"/>
      <protection locked="0"/>
    </xf>
    <xf numFmtId="14" fontId="28" fillId="0" borderId="0" xfId="0" applyNumberFormat="1" applyFont="1" applyFill="1" applyAlignment="1" applyProtection="1">
      <protection locked="0"/>
    </xf>
    <xf numFmtId="1" fontId="28" fillId="0" borderId="0" xfId="0" applyNumberFormat="1" applyFont="1" applyFill="1" applyAlignment="1" applyProtection="1">
      <alignment horizontal="center"/>
      <protection locked="0"/>
    </xf>
    <xf numFmtId="237" fontId="28" fillId="0" borderId="0" xfId="4666" applyNumberFormat="1" applyFont="1" applyAlignment="1"/>
    <xf numFmtId="0" fontId="28" fillId="0" borderId="0" xfId="4" applyFont="1" applyAlignment="1">
      <alignment horizontal="center" vertical="top"/>
    </xf>
    <xf numFmtId="42" fontId="28" fillId="0" borderId="0" xfId="0" applyNumberFormat="1" applyFont="1" applyBorder="1" applyAlignment="1" applyProtection="1">
      <alignment horizontal="right"/>
    </xf>
    <xf numFmtId="3" fontId="28" fillId="0" borderId="0" xfId="0" applyNumberFormat="1" applyFont="1" applyFill="1" applyAlignment="1"/>
    <xf numFmtId="0" fontId="28" fillId="0" borderId="0" xfId="0" applyNumberFormat="1" applyFont="1" applyFill="1" applyAlignment="1"/>
    <xf numFmtId="0" fontId="28" fillId="0" borderId="0" xfId="0" applyNumberFormat="1" applyFont="1" applyAlignment="1"/>
    <xf numFmtId="3" fontId="28" fillId="0" borderId="0" xfId="0" applyNumberFormat="1" applyFont="1" applyFill="1" applyAlignment="1">
      <alignment horizontal="center"/>
    </xf>
    <xf numFmtId="3" fontId="163" fillId="3" borderId="0" xfId="0" applyNumberFormat="1" applyFont="1" applyFill="1" applyAlignment="1"/>
    <xf numFmtId="172" fontId="120" fillId="0" borderId="0" xfId="0" applyFont="1"/>
    <xf numFmtId="172" fontId="120" fillId="0" borderId="0" xfId="0" applyFont="1" applyAlignment="1">
      <alignment horizontal="center"/>
    </xf>
    <xf numFmtId="0" fontId="120" fillId="0" borderId="0" xfId="4" applyFont="1" applyFill="1" applyAlignment="1">
      <alignment horizontal="center"/>
    </xf>
    <xf numFmtId="172" fontId="120" fillId="0" borderId="0" xfId="0" applyFont="1" applyBorder="1" applyAlignment="1">
      <alignment horizontal="center"/>
    </xf>
    <xf numFmtId="192" fontId="185" fillId="3" borderId="0" xfId="0" applyNumberFormat="1" applyFont="1" applyFill="1" applyBorder="1" applyAlignment="1">
      <alignment horizontal="center"/>
    </xf>
    <xf numFmtId="3" fontId="28" fillId="0" borderId="1" xfId="0" applyNumberFormat="1" applyFont="1" applyBorder="1" applyAlignment="1">
      <alignment horizontal="center"/>
    </xf>
    <xf numFmtId="0" fontId="120" fillId="0" borderId="1" xfId="4" applyFont="1" applyBorder="1" applyAlignment="1">
      <alignment horizontal="center"/>
    </xf>
    <xf numFmtId="0" fontId="28" fillId="0" borderId="0" xfId="4" applyFont="1" applyAlignment="1">
      <alignment horizontal="center" vertical="center"/>
    </xf>
    <xf numFmtId="174" fontId="28" fillId="75" borderId="14" xfId="4665" applyNumberFormat="1" applyFont="1" applyFill="1" applyBorder="1" applyAlignment="1"/>
    <xf numFmtId="0" fontId="28" fillId="0" borderId="0" xfId="4476" applyFont="1" applyFill="1" applyAlignment="1" applyProtection="1">
      <alignment horizontal="left" vertical="top" wrapText="1"/>
    </xf>
    <xf numFmtId="0" fontId="28" fillId="0" borderId="0" xfId="4476" applyFont="1" applyFill="1" applyAlignment="1" applyProtection="1">
      <alignment horizontal="left"/>
    </xf>
    <xf numFmtId="0" fontId="186" fillId="0" borderId="0" xfId="4671" applyFont="1" applyFill="1" applyAlignment="1">
      <alignment horizontal="center"/>
    </xf>
    <xf numFmtId="0" fontId="183" fillId="0" borderId="0" xfId="4671" applyFont="1" applyBorder="1" applyAlignment="1">
      <alignment horizontal="center"/>
    </xf>
    <xf numFmtId="37" fontId="183" fillId="0" borderId="0" xfId="4671" applyNumberFormat="1" applyFont="1" applyBorder="1" applyAlignment="1">
      <alignment horizontal="center"/>
    </xf>
    <xf numFmtId="173" fontId="163" fillId="3" borderId="0" xfId="1" applyNumberFormat="1" applyFont="1" applyFill="1" applyAlignment="1"/>
    <xf numFmtId="173" fontId="28" fillId="0" borderId="4" xfId="1" applyNumberFormat="1" applyFont="1" applyFill="1" applyBorder="1"/>
    <xf numFmtId="0" fontId="28" fillId="0" borderId="4" xfId="4671" applyFont="1" applyFill="1" applyBorder="1" applyAlignment="1">
      <alignment horizontal="left" indent="1"/>
    </xf>
    <xf numFmtId="42" fontId="120" fillId="0" borderId="0" xfId="1" applyNumberFormat="1" applyFont="1" applyFill="1" applyBorder="1" applyAlignment="1" applyProtection="1">
      <alignment horizontal="right"/>
    </xf>
    <xf numFmtId="42" fontId="28" fillId="0" borderId="0" xfId="0" applyNumberFormat="1" applyFont="1" applyAlignment="1" applyProtection="1">
      <protection locked="0"/>
    </xf>
    <xf numFmtId="42" fontId="28" fillId="0" borderId="0" xfId="4671" applyNumberFormat="1" applyFont="1" applyFill="1"/>
    <xf numFmtId="0" fontId="28" fillId="0" borderId="0" xfId="4671" applyFont="1" applyFill="1" applyAlignment="1">
      <alignment horizontal="left"/>
    </xf>
    <xf numFmtId="173" fontId="28" fillId="0" borderId="0" xfId="4671" applyNumberFormat="1" applyFont="1" applyFill="1"/>
    <xf numFmtId="0" fontId="183" fillId="0" borderId="0" xfId="4671" applyFont="1" applyBorder="1" applyAlignment="1">
      <alignment horizontal="left"/>
    </xf>
    <xf numFmtId="0" fontId="28" fillId="0" borderId="0" xfId="4671" applyFont="1" applyAlignment="1">
      <alignment horizontal="left"/>
    </xf>
    <xf numFmtId="0" fontId="28" fillId="0" borderId="4" xfId="4671" applyFont="1" applyFill="1" applyBorder="1" applyAlignment="1">
      <alignment horizontal="left"/>
    </xf>
    <xf numFmtId="173" fontId="28" fillId="0" borderId="15" xfId="4671" applyNumberFormat="1" applyFont="1" applyFill="1" applyBorder="1"/>
    <xf numFmtId="42" fontId="28" fillId="0" borderId="15" xfId="1" applyNumberFormat="1" applyFont="1" applyFill="1" applyBorder="1" applyAlignment="1" applyProtection="1">
      <alignment horizontal="right"/>
    </xf>
    <xf numFmtId="0" fontId="28" fillId="0" borderId="0" xfId="0" applyNumberFormat="1" applyFont="1" applyFill="1" applyAlignment="1" applyProtection="1">
      <alignment vertical="top" wrapText="1"/>
      <protection locked="0"/>
    </xf>
    <xf numFmtId="0" fontId="120" fillId="0" borderId="0" xfId="4" applyFont="1" applyAlignment="1">
      <alignment horizontal="center"/>
    </xf>
    <xf numFmtId="0" fontId="28" fillId="0" borderId="0" xfId="4228" applyNumberFormat="1" applyFont="1" applyFill="1" applyAlignment="1">
      <alignment horizontal="left" vertical="top" wrapText="1"/>
    </xf>
    <xf numFmtId="0" fontId="120" fillId="0" borderId="0" xfId="4155" applyNumberFormat="1" applyFont="1" applyFill="1" applyBorder="1" applyAlignment="1" applyProtection="1">
      <alignment horizontal="center"/>
      <protection locked="0"/>
    </xf>
    <xf numFmtId="0" fontId="120" fillId="0" borderId="0" xfId="4598" applyFont="1" applyFill="1" applyAlignment="1">
      <alignment horizontal="center"/>
    </xf>
    <xf numFmtId="49" fontId="120" fillId="0" borderId="0" xfId="4597" applyNumberFormat="1" applyFont="1" applyFill="1" applyAlignment="1">
      <alignment horizontal="center"/>
    </xf>
    <xf numFmtId="0" fontId="28" fillId="0" borderId="0" xfId="4476" applyFont="1" applyFill="1" applyAlignment="1" applyProtection="1">
      <alignment horizontal="left"/>
    </xf>
    <xf numFmtId="173" fontId="28" fillId="0" borderId="14" xfId="4476" applyNumberFormat="1" applyFont="1" applyFill="1" applyBorder="1" applyProtection="1"/>
    <xf numFmtId="42" fontId="120" fillId="0" borderId="15" xfId="1" applyNumberFormat="1" applyFont="1" applyFill="1" applyBorder="1" applyAlignment="1" applyProtection="1">
      <alignment horizontal="right"/>
    </xf>
    <xf numFmtId="10" fontId="28" fillId="0" borderId="0" xfId="4352" applyNumberFormat="1" applyFont="1" applyAlignment="1" applyProtection="1">
      <alignment wrapText="1"/>
    </xf>
    <xf numFmtId="0" fontId="120" fillId="0" borderId="0" xfId="0" applyNumberFormat="1" applyFont="1" applyFill="1" applyAlignment="1" applyProtection="1">
      <protection locked="0"/>
    </xf>
    <xf numFmtId="168" fontId="28" fillId="0" borderId="0" xfId="0" applyNumberFormat="1" applyFont="1" applyFill="1" applyProtection="1">
      <protection locked="0"/>
    </xf>
    <xf numFmtId="170" fontId="28" fillId="0" borderId="0" xfId="0" applyNumberFormat="1" applyFont="1" applyFill="1" applyBorder="1" applyProtection="1">
      <protection locked="0"/>
    </xf>
    <xf numFmtId="1" fontId="28" fillId="0" borderId="0" xfId="0" applyNumberFormat="1" applyFont="1" applyFill="1" applyProtection="1">
      <protection locked="0"/>
    </xf>
    <xf numFmtId="172" fontId="120" fillId="0" borderId="0" xfId="0" applyFont="1" applyProtection="1">
      <protection locked="0"/>
    </xf>
    <xf numFmtId="172" fontId="28" fillId="0" borderId="0" xfId="0" applyFont="1" applyProtection="1">
      <protection locked="0"/>
    </xf>
    <xf numFmtId="172" fontId="187" fillId="0" borderId="0" xfId="0" applyFont="1" applyProtection="1">
      <protection locked="0"/>
    </xf>
    <xf numFmtId="0" fontId="28" fillId="0" borderId="0" xfId="0" applyNumberFormat="1" applyFont="1" applyFill="1" applyBorder="1" applyAlignment="1">
      <alignment horizontal="center"/>
    </xf>
    <xf numFmtId="172" fontId="120" fillId="0" borderId="3" xfId="0" applyFont="1" applyFill="1" applyBorder="1" applyAlignment="1">
      <alignment horizontal="center"/>
    </xf>
    <xf numFmtId="172" fontId="28" fillId="0" borderId="3" xfId="0" applyFont="1" applyBorder="1" applyAlignment="1"/>
    <xf numFmtId="172" fontId="28" fillId="0" borderId="0" xfId="0" applyFont="1" applyFill="1" applyAlignment="1" applyProtection="1">
      <alignment wrapText="1"/>
      <protection locked="0"/>
    </xf>
    <xf numFmtId="172" fontId="28" fillId="0" borderId="0" xfId="0" applyFont="1" applyFill="1" applyBorder="1" applyAlignment="1">
      <alignment horizontal="center"/>
    </xf>
    <xf numFmtId="0" fontId="129" fillId="0" borderId="0" xfId="4473" applyFont="1" applyFill="1" applyBorder="1" applyAlignment="1">
      <alignment horizontal="center"/>
    </xf>
    <xf numFmtId="0" fontId="28" fillId="0" borderId="0" xfId="4472" applyNumberFormat="1" applyFont="1" applyFill="1" applyBorder="1" applyAlignment="1">
      <alignment horizontal="left"/>
    </xf>
    <xf numFmtId="174" fontId="28" fillId="0" borderId="0" xfId="4472" applyNumberFormat="1" applyFont="1" applyFill="1" applyBorder="1"/>
    <xf numFmtId="172" fontId="28" fillId="0" borderId="0" xfId="0" applyFont="1" applyFill="1" applyProtection="1">
      <protection locked="0"/>
    </xf>
    <xf numFmtId="0" fontId="28" fillId="0" borderId="0" xfId="4472" applyNumberFormat="1" applyFont="1" applyFill="1" applyBorder="1" applyAlignment="1">
      <alignment horizontal="center"/>
    </xf>
    <xf numFmtId="174" fontId="163" fillId="2" borderId="0" xfId="4472" applyNumberFormat="1" applyFont="1" applyFill="1" applyBorder="1"/>
    <xf numFmtId="174" fontId="28" fillId="0" borderId="4" xfId="4472" applyNumberFormat="1" applyFont="1" applyFill="1" applyBorder="1"/>
    <xf numFmtId="172" fontId="28" fillId="0" borderId="4" xfId="0" applyFont="1" applyBorder="1" applyAlignment="1"/>
    <xf numFmtId="173" fontId="28" fillId="0" borderId="47" xfId="1" applyNumberFormat="1" applyFont="1" applyFill="1" applyBorder="1"/>
    <xf numFmtId="173" fontId="28" fillId="0" borderId="17" xfId="1" applyNumberFormat="1" applyFont="1" applyFill="1" applyBorder="1"/>
    <xf numFmtId="172" fontId="120" fillId="0" borderId="0" xfId="0" applyFont="1" applyFill="1" applyAlignment="1" applyProtection="1">
      <alignment horizontal="left"/>
      <protection locked="0"/>
    </xf>
    <xf numFmtId="172" fontId="28" fillId="0" borderId="0" xfId="0" applyFont="1" applyFill="1" applyAlignment="1" applyProtection="1">
      <alignment horizontal="centerContinuous"/>
      <protection locked="0"/>
    </xf>
    <xf numFmtId="1" fontId="28" fillId="0" borderId="0" xfId="0" applyNumberFormat="1" applyFont="1" applyFill="1" applyAlignment="1" applyProtection="1">
      <protection locked="0"/>
    </xf>
    <xf numFmtId="172" fontId="188" fillId="0" borderId="0" xfId="0" applyFont="1" applyAlignment="1">
      <alignment horizontal="left"/>
    </xf>
    <xf numFmtId="172" fontId="120" fillId="0" borderId="3" xfId="0" applyFont="1" applyBorder="1" applyAlignment="1">
      <alignment horizontal="center"/>
    </xf>
    <xf numFmtId="0" fontId="120" fillId="0" borderId="3" xfId="4471" applyFont="1" applyFill="1" applyBorder="1" applyAlignment="1">
      <alignment horizontal="center"/>
    </xf>
    <xf numFmtId="172" fontId="28" fillId="0" borderId="0" xfId="0" applyFont="1" applyFill="1" applyAlignment="1">
      <alignment horizontal="center"/>
    </xf>
    <xf numFmtId="172" fontId="163" fillId="2" borderId="27" xfId="0" applyFont="1" applyFill="1" applyBorder="1"/>
    <xf numFmtId="0" fontId="163" fillId="2" borderId="27" xfId="4471" applyFont="1" applyFill="1" applyBorder="1"/>
    <xf numFmtId="174" fontId="163" fillId="2" borderId="27" xfId="190" applyNumberFormat="1" applyFont="1" applyFill="1" applyBorder="1"/>
    <xf numFmtId="37" fontId="163" fillId="2" borderId="27" xfId="0" applyNumberFormat="1" applyFont="1" applyFill="1" applyBorder="1"/>
    <xf numFmtId="39" fontId="163" fillId="2" borderId="27" xfId="0" applyNumberFormat="1" applyFont="1" applyFill="1" applyBorder="1"/>
    <xf numFmtId="172" fontId="189" fillId="0" borderId="0" xfId="0" applyFont="1"/>
    <xf numFmtId="172" fontId="163" fillId="2" borderId="46" xfId="0" applyFont="1" applyFill="1" applyBorder="1"/>
    <xf numFmtId="37" fontId="163" fillId="2" borderId="46" xfId="0" applyNumberFormat="1" applyFont="1" applyFill="1" applyBorder="1"/>
    <xf numFmtId="172" fontId="28" fillId="0" borderId="4" xfId="0" applyFont="1" applyFill="1" applyBorder="1"/>
    <xf numFmtId="37" fontId="28" fillId="0" borderId="4" xfId="0" applyNumberFormat="1" applyFont="1" applyFill="1" applyBorder="1"/>
    <xf numFmtId="43" fontId="28" fillId="0" borderId="0" xfId="190" applyFont="1"/>
    <xf numFmtId="37" fontId="28" fillId="0" borderId="0" xfId="0" applyNumberFormat="1" applyFont="1" applyFill="1"/>
    <xf numFmtId="172" fontId="183" fillId="0" borderId="0" xfId="0" applyFont="1" applyFill="1"/>
    <xf numFmtId="174" fontId="28" fillId="0" borderId="0" xfId="0" applyNumberFormat="1" applyFont="1" applyFill="1"/>
    <xf numFmtId="37" fontId="28" fillId="0" borderId="0" xfId="0" applyNumberFormat="1" applyFont="1" applyFill="1" applyBorder="1"/>
    <xf numFmtId="37" fontId="28" fillId="0" borderId="0" xfId="0" applyNumberFormat="1" applyFont="1"/>
    <xf numFmtId="172" fontId="154" fillId="0" borderId="0" xfId="0" applyFont="1"/>
    <xf numFmtId="172" fontId="154" fillId="0" borderId="0" xfId="0" applyFont="1" applyAlignment="1">
      <alignment horizontal="center"/>
    </xf>
    <xf numFmtId="172" fontId="190" fillId="0" borderId="0" xfId="4667" applyNumberFormat="1" applyFont="1" applyAlignment="1">
      <alignment horizontal="center"/>
    </xf>
    <xf numFmtId="172" fontId="188" fillId="0" borderId="0" xfId="4667" applyNumberFormat="1" applyFont="1" applyAlignment="1">
      <alignment horizontal="center"/>
    </xf>
    <xf numFmtId="172" fontId="28" fillId="0" borderId="51" xfId="4667" applyNumberFormat="1" applyFont="1" applyBorder="1" applyAlignment="1"/>
    <xf numFmtId="172" fontId="28" fillId="0" borderId="4" xfId="4667" applyNumberFormat="1" applyFont="1" applyBorder="1" applyAlignment="1"/>
    <xf numFmtId="0" fontId="28" fillId="0" borderId="47" xfId="4667" applyNumberFormat="1" applyFont="1" applyBorder="1" applyAlignment="1"/>
    <xf numFmtId="172" fontId="28" fillId="0" borderId="37" xfId="4667" applyNumberFormat="1" applyFont="1" applyFill="1" applyBorder="1" applyAlignment="1">
      <alignment horizontal="center"/>
    </xf>
    <xf numFmtId="172" fontId="28" fillId="0" borderId="38" xfId="4667" applyNumberFormat="1" applyFont="1" applyFill="1" applyBorder="1" applyAlignment="1">
      <alignment horizontal="center"/>
    </xf>
    <xf numFmtId="172" fontId="28" fillId="0" borderId="37" xfId="4667" applyNumberFormat="1" applyFont="1" applyBorder="1" applyAlignment="1">
      <alignment horizontal="center"/>
    </xf>
    <xf numFmtId="172" fontId="28" fillId="0" borderId="38" xfId="4667" applyNumberFormat="1" applyFont="1" applyBorder="1" applyAlignment="1">
      <alignment horizontal="center"/>
    </xf>
    <xf numFmtId="172" fontId="120" fillId="0" borderId="3" xfId="4667" applyNumberFormat="1" applyFont="1" applyBorder="1" applyAlignment="1">
      <alignment horizontal="center"/>
    </xf>
    <xf numFmtId="172" fontId="28" fillId="0" borderId="56" xfId="4667" applyNumberFormat="1" applyFont="1" applyBorder="1" applyAlignment="1">
      <alignment horizontal="center"/>
    </xf>
    <xf numFmtId="172" fontId="28" fillId="0" borderId="1" xfId="4667" applyNumberFormat="1" applyFont="1" applyBorder="1" applyAlignment="1">
      <alignment horizontal="center"/>
    </xf>
    <xf numFmtId="172" fontId="28" fillId="0" borderId="57" xfId="4667" applyNumberFormat="1" applyFont="1" applyBorder="1" applyAlignment="1">
      <alignment horizontal="center"/>
    </xf>
    <xf numFmtId="164" fontId="28" fillId="0" borderId="0" xfId="4667" applyNumberFormat="1" applyFont="1" applyBorder="1" applyAlignment="1"/>
    <xf numFmtId="193" fontId="28" fillId="0" borderId="0" xfId="4352" applyNumberFormat="1" applyFont="1" applyFill="1" applyBorder="1" applyAlignment="1"/>
    <xf numFmtId="10" fontId="28" fillId="0" borderId="38" xfId="4352" quotePrefix="1" applyNumberFormat="1" applyFont="1" applyBorder="1" applyAlignment="1">
      <alignment horizontal="left"/>
    </xf>
    <xf numFmtId="193" fontId="28" fillId="0" borderId="0" xfId="4667" applyNumberFormat="1" applyFont="1" applyBorder="1" applyAlignment="1"/>
    <xf numFmtId="173" fontId="28" fillId="0" borderId="0" xfId="1" applyNumberFormat="1" applyFont="1" applyFill="1" applyBorder="1" applyAlignment="1" applyProtection="1">
      <alignment vertical="center"/>
      <protection locked="0"/>
    </xf>
    <xf numFmtId="173" fontId="28" fillId="0" borderId="0" xfId="4667" applyNumberFormat="1" applyFont="1" applyFill="1" applyBorder="1" applyAlignment="1"/>
    <xf numFmtId="42" fontId="28" fillId="56" borderId="0" xfId="4667" quotePrefix="1" applyNumberFormat="1" applyFont="1" applyFill="1" applyAlignment="1">
      <alignment horizontal="left"/>
    </xf>
    <xf numFmtId="173" fontId="113" fillId="3" borderId="37" xfId="1" applyNumberFormat="1" applyFont="1" applyFill="1" applyBorder="1" applyAlignment="1" applyProtection="1">
      <alignment vertical="center"/>
      <protection locked="0"/>
    </xf>
    <xf numFmtId="42" fontId="28" fillId="0" borderId="0" xfId="190" applyNumberFormat="1" applyFont="1" applyBorder="1" applyAlignment="1"/>
    <xf numFmtId="42" fontId="28" fillId="0" borderId="0" xfId="190" applyNumberFormat="1" applyFont="1" applyFill="1" applyBorder="1" applyAlignment="1"/>
    <xf numFmtId="42" fontId="28" fillId="0" borderId="38" xfId="190" applyNumberFormat="1" applyFont="1" applyBorder="1" applyAlignment="1"/>
    <xf numFmtId="306" fontId="28" fillId="0" borderId="0" xfId="4667" quotePrefix="1" applyNumberFormat="1" applyFont="1" applyFill="1" applyAlignment="1">
      <alignment horizontal="left"/>
    </xf>
    <xf numFmtId="170" fontId="186" fillId="0" borderId="37" xfId="4667" applyNumberFormat="1" applyFont="1" applyBorder="1" applyAlignment="1"/>
    <xf numFmtId="42" fontId="28" fillId="0" borderId="0" xfId="1" applyNumberFormat="1" applyFont="1" applyFill="1" applyBorder="1" applyAlignment="1"/>
    <xf numFmtId="172" fontId="28" fillId="0" borderId="52" xfId="4667" applyNumberFormat="1" applyFont="1" applyBorder="1" applyAlignment="1"/>
    <xf numFmtId="42" fontId="28" fillId="0" borderId="3" xfId="4667" applyNumberFormat="1" applyFont="1" applyBorder="1" applyAlignment="1"/>
    <xf numFmtId="42" fontId="28" fillId="0" borderId="3" xfId="4667" applyNumberFormat="1" applyFont="1" applyFill="1" applyBorder="1" applyAlignment="1"/>
    <xf numFmtId="42" fontId="28" fillId="0" borderId="53" xfId="4667" applyNumberFormat="1" applyFont="1" applyBorder="1" applyAlignment="1"/>
    <xf numFmtId="41" fontId="28" fillId="0" borderId="0" xfId="4667" applyNumberFormat="1" applyFont="1" applyFill="1" applyAlignment="1"/>
    <xf numFmtId="172" fontId="189" fillId="0" borderId="0" xfId="4667" applyNumberFormat="1" applyFont="1" applyFill="1" applyAlignment="1"/>
    <xf numFmtId="172" fontId="28" fillId="0" borderId="17" xfId="4667" applyNumberFormat="1" applyFont="1" applyFill="1" applyBorder="1" applyAlignment="1">
      <alignment horizontal="center"/>
    </xf>
    <xf numFmtId="172" fontId="28" fillId="0" borderId="17" xfId="4667" quotePrefix="1" applyNumberFormat="1" applyFont="1" applyFill="1" applyBorder="1" applyAlignment="1">
      <alignment horizontal="center"/>
    </xf>
    <xf numFmtId="10" fontId="28" fillId="0" borderId="48" xfId="4352" applyNumberFormat="1" applyFont="1" applyFill="1" applyBorder="1"/>
    <xf numFmtId="10" fontId="28" fillId="56" borderId="51" xfId="4352" applyNumberFormat="1" applyFont="1" applyFill="1" applyBorder="1"/>
    <xf numFmtId="10" fontId="28" fillId="56" borderId="54" xfId="4352" applyNumberFormat="1" applyFont="1" applyFill="1" applyBorder="1"/>
    <xf numFmtId="41" fontId="113" fillId="2" borderId="49" xfId="4352" applyNumberFormat="1" applyFont="1" applyFill="1" applyBorder="1"/>
    <xf numFmtId="174" fontId="28" fillId="0" borderId="17" xfId="190" applyNumberFormat="1" applyFont="1" applyFill="1" applyBorder="1"/>
    <xf numFmtId="172" fontId="188" fillId="0" borderId="0" xfId="4667" applyNumberFormat="1" applyFont="1" applyAlignment="1"/>
    <xf numFmtId="10" fontId="28" fillId="56" borderId="37" xfId="4352" applyNumberFormat="1" applyFont="1" applyFill="1" applyBorder="1"/>
    <xf numFmtId="10" fontId="28" fillId="56" borderId="55" xfId="4352" applyNumberFormat="1" applyFont="1" applyFill="1" applyBorder="1"/>
    <xf numFmtId="10" fontId="28" fillId="56" borderId="52" xfId="4352" applyNumberFormat="1" applyFont="1" applyFill="1" applyBorder="1"/>
    <xf numFmtId="10" fontId="28" fillId="56" borderId="58" xfId="4352" applyNumberFormat="1" applyFont="1" applyFill="1" applyBorder="1"/>
    <xf numFmtId="172" fontId="189" fillId="0" borderId="0" xfId="4667" applyNumberFormat="1" applyFont="1" applyAlignment="1"/>
    <xf numFmtId="10" fontId="28" fillId="0" borderId="17" xfId="4352" applyNumberFormat="1" applyFont="1" applyFill="1" applyBorder="1"/>
    <xf numFmtId="10" fontId="28" fillId="0" borderId="58" xfId="4352" applyNumberFormat="1" applyFont="1" applyFill="1" applyBorder="1"/>
    <xf numFmtId="41" fontId="28" fillId="0" borderId="52" xfId="4352" applyNumberFormat="1" applyFont="1" applyFill="1" applyBorder="1"/>
    <xf numFmtId="308" fontId="28" fillId="0" borderId="52" xfId="4352" applyNumberFormat="1" applyFont="1" applyFill="1" applyBorder="1"/>
    <xf numFmtId="174" fontId="28" fillId="0" borderId="49" xfId="190" applyNumberFormat="1" applyFont="1" applyFill="1" applyBorder="1"/>
    <xf numFmtId="172" fontId="28" fillId="0" borderId="17" xfId="4667" applyNumberFormat="1" applyFont="1" applyFill="1" applyBorder="1" applyAlignment="1">
      <alignment horizontal="right"/>
    </xf>
    <xf numFmtId="174" fontId="28" fillId="0" borderId="17" xfId="4667" applyNumberFormat="1" applyFont="1" applyFill="1" applyBorder="1"/>
    <xf numFmtId="174" fontId="28" fillId="0" borderId="48" xfId="4667" applyNumberFormat="1" applyFont="1" applyFill="1" applyBorder="1"/>
    <xf numFmtId="174" fontId="28" fillId="0" borderId="49" xfId="4667" applyNumberFormat="1" applyFont="1" applyFill="1" applyBorder="1"/>
    <xf numFmtId="308" fontId="28" fillId="0" borderId="49" xfId="4667" applyNumberFormat="1" applyFont="1" applyFill="1" applyBorder="1"/>
    <xf numFmtId="172" fontId="28" fillId="0" borderId="0" xfId="4667" applyNumberFormat="1" applyFont="1" applyFill="1" applyAlignment="1">
      <alignment vertical="top"/>
    </xf>
    <xf numFmtId="172" fontId="28" fillId="0" borderId="0" xfId="4667" applyNumberFormat="1" applyFont="1" applyAlignment="1">
      <alignment horizontal="left" vertical="top"/>
    </xf>
    <xf numFmtId="172" fontId="120" fillId="0" borderId="0" xfId="4667" applyNumberFormat="1" applyFont="1" applyFill="1" applyAlignment="1"/>
    <xf numFmtId="172" fontId="113" fillId="0" borderId="0" xfId="4667" applyNumberFormat="1" applyFont="1" applyFill="1" applyAlignment="1"/>
    <xf numFmtId="172" fontId="113" fillId="0" borderId="0" xfId="4667" applyNumberFormat="1" applyFont="1" applyAlignment="1"/>
    <xf numFmtId="172" fontId="191" fillId="0" borderId="0" xfId="4667" applyNumberFormat="1" applyFont="1" applyFill="1" applyAlignment="1"/>
    <xf numFmtId="44" fontId="28" fillId="0" borderId="0" xfId="1" applyFont="1" applyFill="1" applyBorder="1" applyAlignment="1"/>
    <xf numFmtId="174" fontId="163" fillId="3" borderId="0" xfId="4665" applyNumberFormat="1" applyFont="1" applyFill="1" applyAlignment="1"/>
    <xf numFmtId="174" fontId="163" fillId="0" borderId="0" xfId="4665" applyNumberFormat="1" applyFont="1" applyFill="1" applyAlignment="1"/>
    <xf numFmtId="174" fontId="28" fillId="0" borderId="0" xfId="4665" applyNumberFormat="1" applyFont="1" applyFill="1" applyAlignment="1"/>
    <xf numFmtId="173" fontId="120" fillId="0" borderId="15" xfId="4476" applyNumberFormat="1" applyFont="1" applyBorder="1" applyAlignment="1" applyProtection="1">
      <alignment wrapText="1"/>
    </xf>
    <xf numFmtId="2" fontId="28" fillId="0" borderId="0" xfId="0" applyNumberFormat="1" applyFont="1" applyAlignment="1" applyProtection="1"/>
    <xf numFmtId="165" fontId="28" fillId="0" borderId="4" xfId="0" applyNumberFormat="1" applyFont="1" applyBorder="1" applyAlignment="1" applyProtection="1"/>
    <xf numFmtId="0" fontId="163" fillId="3" borderId="0" xfId="4671" applyFont="1" applyFill="1" applyAlignment="1">
      <alignment horizontal="left" indent="1"/>
    </xf>
    <xf numFmtId="0" fontId="163" fillId="3" borderId="0" xfId="4671" applyFont="1" applyFill="1" applyAlignment="1">
      <alignment horizontal="left"/>
    </xf>
    <xf numFmtId="37" fontId="163" fillId="3" borderId="0" xfId="4671" applyNumberFormat="1" applyFont="1" applyFill="1" applyAlignment="1">
      <alignment horizontal="left"/>
    </xf>
    <xf numFmtId="49" fontId="120" fillId="0" borderId="0" xfId="4" applyNumberFormat="1" applyFont="1" applyAlignment="1">
      <alignment horizontal="center"/>
    </xf>
    <xf numFmtId="172" fontId="190" fillId="0" borderId="0" xfId="4667" applyNumberFormat="1" applyFont="1" applyAlignment="1">
      <alignment horizontal="center"/>
    </xf>
    <xf numFmtId="172" fontId="120" fillId="0" borderId="0" xfId="4667" applyNumberFormat="1" applyFont="1" applyFill="1" applyAlignment="1">
      <alignment horizontal="center"/>
    </xf>
    <xf numFmtId="172" fontId="28" fillId="0" borderId="0" xfId="4667" applyNumberFormat="1" applyFont="1" applyFill="1" applyAlignment="1">
      <alignment horizontal="left" vertical="top" wrapText="1"/>
    </xf>
    <xf numFmtId="0" fontId="176" fillId="0" borderId="0" xfId="4675" applyFont="1"/>
    <xf numFmtId="0" fontId="176" fillId="0" borderId="0" xfId="4680" applyFont="1" applyFill="1" applyBorder="1"/>
    <xf numFmtId="174" fontId="176" fillId="0" borderId="0" xfId="4681" applyNumberFormat="1" applyFont="1" applyFill="1" applyBorder="1" applyAlignment="1">
      <alignment vertical="center" wrapText="1"/>
    </xf>
    <xf numFmtId="174" fontId="176" fillId="0" borderId="0" xfId="4675" applyNumberFormat="1" applyFont="1"/>
    <xf numFmtId="0" fontId="120" fillId="0" borderId="0" xfId="4680" applyFont="1"/>
    <xf numFmtId="0" fontId="176" fillId="0" borderId="0" xfId="4680" applyFont="1"/>
    <xf numFmtId="0" fontId="176" fillId="0" borderId="0" xfId="4680" applyFont="1" applyAlignment="1">
      <alignment horizontal="right"/>
    </xf>
    <xf numFmtId="0" fontId="193" fillId="0" borderId="0" xfId="4680" applyFont="1"/>
    <xf numFmtId="0" fontId="193" fillId="0" borderId="0" xfId="4680" applyFont="1" applyBorder="1" applyAlignment="1">
      <alignment vertical="center"/>
    </xf>
    <xf numFmtId="0" fontId="193" fillId="0" borderId="0" xfId="4680" applyFont="1" applyBorder="1" applyAlignment="1">
      <alignment horizontal="center" vertical="center" wrapText="1"/>
    </xf>
    <xf numFmtId="0" fontId="193" fillId="0" borderId="54" xfId="4680" applyFont="1" applyBorder="1" applyAlignment="1">
      <alignment horizontal="center" vertical="center"/>
    </xf>
    <xf numFmtId="0" fontId="193" fillId="0" borderId="0" xfId="4680" applyFont="1" applyBorder="1" applyAlignment="1">
      <alignment horizontal="center" vertical="center"/>
    </xf>
    <xf numFmtId="0" fontId="176" fillId="0" borderId="58" xfId="4680" applyFont="1" applyBorder="1" applyAlignment="1">
      <alignment horizontal="center" vertical="center" wrapText="1"/>
    </xf>
    <xf numFmtId="0" fontId="176" fillId="0" borderId="0" xfId="4680" applyFont="1" applyBorder="1" applyAlignment="1">
      <alignment horizontal="center" vertical="center" wrapText="1"/>
    </xf>
    <xf numFmtId="0" fontId="176" fillId="0" borderId="0" xfId="4680" applyFont="1" applyBorder="1" applyAlignment="1">
      <alignment horizontal="left" vertical="center"/>
    </xf>
    <xf numFmtId="15" fontId="176" fillId="0" borderId="0" xfId="4680" applyNumberFormat="1" applyFont="1" applyBorder="1" applyAlignment="1">
      <alignment vertical="center" wrapText="1"/>
    </xf>
    <xf numFmtId="174" fontId="176" fillId="0" borderId="0" xfId="4681" applyNumberFormat="1" applyFont="1" applyBorder="1" applyAlignment="1">
      <alignment horizontal="right" vertical="center" wrapText="1"/>
    </xf>
    <xf numFmtId="174" fontId="176" fillId="0" borderId="0" xfId="4681" applyNumberFormat="1" applyFont="1" applyBorder="1" applyAlignment="1">
      <alignment vertical="center" wrapText="1"/>
    </xf>
    <xf numFmtId="174" fontId="176" fillId="0" borderId="0" xfId="4684" applyNumberFormat="1" applyFont="1" applyBorder="1" applyAlignment="1">
      <alignment vertical="center" wrapText="1"/>
    </xf>
    <xf numFmtId="174" fontId="176" fillId="3" borderId="0" xfId="4684" applyNumberFormat="1" applyFont="1" applyFill="1" applyBorder="1" applyAlignment="1">
      <alignment horizontal="right" vertical="center" wrapText="1"/>
    </xf>
    <xf numFmtId="43" fontId="176" fillId="0" borderId="0" xfId="190" applyFont="1" applyBorder="1" applyAlignment="1">
      <alignment horizontal="right" vertical="center" wrapText="1"/>
    </xf>
    <xf numFmtId="43" fontId="176" fillId="0" borderId="0" xfId="190" applyFont="1" applyBorder="1" applyAlignment="1">
      <alignment vertical="center" wrapText="1"/>
    </xf>
    <xf numFmtId="174" fontId="176" fillId="3" borderId="0" xfId="4684" applyNumberFormat="1" applyFont="1" applyFill="1" applyBorder="1" applyAlignment="1">
      <alignment vertical="center" wrapText="1"/>
    </xf>
    <xf numFmtId="0" fontId="176" fillId="0" borderId="4" xfId="4680" applyFont="1" applyBorder="1" applyAlignment="1">
      <alignment vertical="center" wrapText="1"/>
    </xf>
    <xf numFmtId="0" fontId="176" fillId="0" borderId="4" xfId="4680" applyFont="1" applyBorder="1" applyAlignment="1">
      <alignment horizontal="right" vertical="center" wrapText="1"/>
    </xf>
    <xf numFmtId="174" fontId="176" fillId="0" borderId="4" xfId="4681" applyNumberFormat="1" applyFont="1" applyBorder="1" applyAlignment="1">
      <alignment vertical="center" wrapText="1"/>
    </xf>
    <xf numFmtId="0" fontId="176" fillId="0" borderId="0" xfId="4680" applyFont="1" applyBorder="1" applyAlignment="1">
      <alignment horizontal="right" vertical="center" wrapText="1"/>
    </xf>
    <xf numFmtId="0" fontId="176" fillId="0" borderId="0" xfId="4680" applyFont="1" applyBorder="1" applyAlignment="1">
      <alignment vertical="center" wrapText="1"/>
    </xf>
    <xf numFmtId="0" fontId="176" fillId="0" borderId="0" xfId="4680" applyFont="1" applyBorder="1"/>
    <xf numFmtId="0" fontId="176" fillId="0" borderId="0" xfId="4680" applyFont="1" applyBorder="1" applyAlignment="1">
      <alignment horizontal="justify" vertical="center" wrapText="1"/>
    </xf>
    <xf numFmtId="0" fontId="176" fillId="0" borderId="0" xfId="4680" applyFont="1" applyFill="1"/>
    <xf numFmtId="174" fontId="176" fillId="0" borderId="4" xfId="4681" applyNumberFormat="1" applyFont="1" applyFill="1" applyBorder="1" applyAlignment="1">
      <alignment vertical="center" wrapText="1"/>
    </xf>
    <xf numFmtId="174" fontId="193" fillId="0" borderId="0" xfId="4680" applyNumberFormat="1" applyFont="1"/>
    <xf numFmtId="0" fontId="193" fillId="0" borderId="0" xfId="4680" applyFont="1" applyFill="1" applyBorder="1"/>
    <xf numFmtId="174" fontId="176" fillId="0" borderId="0" xfId="4684" applyNumberFormat="1" applyFont="1" applyBorder="1" applyAlignment="1">
      <alignment horizontal="right" vertical="center" wrapText="1"/>
    </xf>
    <xf numFmtId="174" fontId="176" fillId="0" borderId="0" xfId="190" applyNumberFormat="1" applyFont="1"/>
    <xf numFmtId="174" fontId="28" fillId="0" borderId="0" xfId="190" applyNumberFormat="1" applyFont="1" applyFill="1" applyAlignment="1">
      <alignment horizontal="center"/>
    </xf>
    <xf numFmtId="249" fontId="176" fillId="0" borderId="0" xfId="190" applyNumberFormat="1" applyFont="1"/>
    <xf numFmtId="249" fontId="176" fillId="0" borderId="0" xfId="190" applyNumberFormat="1" applyFont="1" applyBorder="1" applyAlignment="1">
      <alignment horizontal="right" vertical="center" wrapText="1"/>
    </xf>
    <xf numFmtId="0" fontId="192" fillId="0" borderId="0" xfId="4680" applyFont="1"/>
    <xf numFmtId="0" fontId="176" fillId="0" borderId="0" xfId="4680" applyFont="1" applyAlignment="1">
      <alignment horizontal="center"/>
    </xf>
    <xf numFmtId="49" fontId="28" fillId="0" borderId="0" xfId="4" applyNumberFormat="1" applyFont="1" applyAlignment="1">
      <alignment horizontal="center"/>
    </xf>
    <xf numFmtId="174" fontId="176" fillId="0" borderId="0" xfId="4681" applyNumberFormat="1" applyFont="1" applyFill="1" applyBorder="1" applyAlignment="1">
      <alignment horizontal="center" vertical="center" wrapText="1"/>
    </xf>
    <xf numFmtId="0" fontId="194" fillId="0" borderId="0" xfId="4680" applyFont="1" applyFill="1" applyAlignment="1">
      <alignment horizontal="center"/>
    </xf>
    <xf numFmtId="174" fontId="193" fillId="0" borderId="0" xfId="4681" applyNumberFormat="1" applyFont="1" applyFill="1" applyBorder="1" applyAlignment="1">
      <alignment horizontal="center" vertical="center" wrapText="1"/>
    </xf>
    <xf numFmtId="0" fontId="193" fillId="0" borderId="0" xfId="4680" applyFont="1" applyAlignment="1">
      <alignment horizontal="center"/>
    </xf>
    <xf numFmtId="174" fontId="176" fillId="0" borderId="0" xfId="4680" applyNumberFormat="1" applyFont="1" applyAlignment="1">
      <alignment horizontal="center"/>
    </xf>
    <xf numFmtId="172" fontId="120" fillId="0" borderId="0" xfId="4667" applyNumberFormat="1" applyFont="1" applyFill="1" applyBorder="1" applyAlignment="1">
      <alignment horizontal="center"/>
    </xf>
    <xf numFmtId="172" fontId="28" fillId="80" borderId="0" xfId="4667" applyNumberFormat="1" applyFont="1" applyFill="1" applyAlignment="1"/>
    <xf numFmtId="174" fontId="28" fillId="0" borderId="0" xfId="4665" applyNumberFormat="1" applyFont="1" applyAlignment="1"/>
    <xf numFmtId="164" fontId="113" fillId="3" borderId="37" xfId="4666" applyNumberFormat="1" applyFont="1" applyFill="1" applyBorder="1" applyAlignment="1" applyProtection="1">
      <alignment vertical="center"/>
      <protection locked="0"/>
    </xf>
    <xf numFmtId="10" fontId="28" fillId="0" borderId="52" xfId="4352" quotePrefix="1" applyNumberFormat="1" applyFont="1" applyBorder="1" applyAlignment="1">
      <alignment horizontal="center"/>
    </xf>
    <xf numFmtId="10" fontId="28" fillId="0" borderId="3" xfId="4352" quotePrefix="1" applyNumberFormat="1" applyFont="1" applyBorder="1" applyAlignment="1">
      <alignment horizontal="center"/>
    </xf>
    <xf numFmtId="172" fontId="28" fillId="0" borderId="3" xfId="4667" applyNumberFormat="1" applyFont="1" applyBorder="1" applyAlignment="1">
      <alignment horizontal="center"/>
    </xf>
    <xf numFmtId="174" fontId="28" fillId="0" borderId="4" xfId="4665" applyNumberFormat="1" applyFont="1" applyBorder="1" applyAlignment="1"/>
    <xf numFmtId="172" fontId="28" fillId="0" borderId="52" xfId="4667" applyNumberFormat="1" applyFont="1" applyBorder="1" applyAlignment="1">
      <alignment horizontal="center"/>
    </xf>
    <xf numFmtId="172" fontId="28" fillId="0" borderId="53" xfId="4667" applyNumberFormat="1" applyFont="1" applyBorder="1" applyAlignment="1">
      <alignment horizontal="center"/>
    </xf>
    <xf numFmtId="172" fontId="120" fillId="0" borderId="0" xfId="4667" applyNumberFormat="1" applyFont="1" applyFill="1" applyBorder="1" applyAlignment="1">
      <alignment horizontal="center" vertical="center"/>
    </xf>
    <xf numFmtId="172" fontId="28" fillId="0" borderId="0" xfId="4667" applyNumberFormat="1" applyFont="1" applyFill="1" applyAlignment="1">
      <alignment horizontal="center" vertical="center"/>
    </xf>
    <xf numFmtId="172" fontId="28" fillId="0" borderId="0" xfId="4667" applyNumberFormat="1" applyFont="1" applyAlignment="1">
      <alignment horizontal="center" vertical="center"/>
    </xf>
    <xf numFmtId="0" fontId="28" fillId="0" borderId="0" xfId="4667" applyNumberFormat="1" applyFont="1" applyAlignment="1">
      <alignment horizontal="center" vertical="center"/>
    </xf>
    <xf numFmtId="172" fontId="120" fillId="0" borderId="3" xfId="4667" applyNumberFormat="1" applyFont="1" applyBorder="1" applyAlignment="1">
      <alignment horizontal="center" vertical="center"/>
    </xf>
    <xf numFmtId="172" fontId="28" fillId="0" borderId="0" xfId="4667" applyNumberFormat="1" applyFont="1" applyFill="1" applyAlignment="1">
      <alignment vertical="top" wrapText="1"/>
    </xf>
    <xf numFmtId="249" fontId="176" fillId="0" borderId="0" xfId="4665" applyNumberFormat="1" applyFont="1"/>
    <xf numFmtId="0" fontId="176" fillId="3" borderId="0" xfId="4680" applyFont="1" applyFill="1" applyAlignment="1">
      <alignment horizontal="center"/>
    </xf>
    <xf numFmtId="172" fontId="28" fillId="0" borderId="47" xfId="4667" applyNumberFormat="1" applyFont="1" applyFill="1" applyBorder="1" applyAlignment="1">
      <alignment horizontal="center"/>
    </xf>
    <xf numFmtId="0" fontId="28" fillId="0" borderId="0" xfId="4667" applyNumberFormat="1" applyFont="1" applyBorder="1" applyAlignment="1">
      <alignment horizontal="center"/>
    </xf>
    <xf numFmtId="311" fontId="28" fillId="0" borderId="0" xfId="4667" applyNumberFormat="1" applyFont="1" applyAlignment="1">
      <alignment horizontal="center" vertical="center"/>
    </xf>
    <xf numFmtId="311" fontId="28" fillId="0" borderId="0" xfId="4667" applyNumberFormat="1" applyFont="1" applyBorder="1" applyAlignment="1">
      <alignment horizontal="center"/>
    </xf>
    <xf numFmtId="311" fontId="28" fillId="0" borderId="0" xfId="4667" applyNumberFormat="1" applyFont="1" applyAlignment="1"/>
    <xf numFmtId="311" fontId="28" fillId="0" borderId="37" xfId="4667" applyNumberFormat="1" applyFont="1" applyBorder="1" applyAlignment="1">
      <alignment horizontal="center"/>
    </xf>
    <xf numFmtId="311" fontId="28" fillId="0" borderId="38" xfId="4667" applyNumberFormat="1" applyFont="1" applyBorder="1" applyAlignment="1">
      <alignment horizontal="center"/>
    </xf>
    <xf numFmtId="305" fontId="163" fillId="2" borderId="0" xfId="4665" applyNumberFormat="1" applyFont="1" applyFill="1" applyAlignment="1" applyProtection="1">
      <protection locked="0"/>
    </xf>
    <xf numFmtId="172" fontId="28" fillId="3" borderId="37" xfId="4667" applyNumberFormat="1" applyFont="1" applyFill="1" applyBorder="1" applyAlignment="1">
      <alignment horizontal="right" wrapText="1"/>
    </xf>
    <xf numFmtId="44" fontId="28" fillId="0" borderId="0" xfId="1" applyFont="1" applyAlignment="1" applyProtection="1">
      <protection locked="0"/>
    </xf>
    <xf numFmtId="312" fontId="28" fillId="0" borderId="0" xfId="1" applyNumberFormat="1" applyFont="1" applyAlignment="1" applyProtection="1">
      <protection locked="0"/>
    </xf>
    <xf numFmtId="313" fontId="28" fillId="0" borderId="0" xfId="0" applyNumberFormat="1" applyFont="1" applyAlignment="1" applyProtection="1">
      <protection locked="0"/>
    </xf>
    <xf numFmtId="44" fontId="28" fillId="0" borderId="0" xfId="1" applyNumberFormat="1" applyFont="1" applyAlignment="1" applyProtection="1">
      <protection locked="0"/>
    </xf>
    <xf numFmtId="172" fontId="190" fillId="0" borderId="0" xfId="4667" applyNumberFormat="1" applyFont="1" applyAlignment="1">
      <alignment horizontal="center"/>
    </xf>
    <xf numFmtId="172" fontId="28" fillId="0" borderId="51" xfId="4667" applyNumberFormat="1" applyFont="1" applyFill="1" applyBorder="1" applyAlignment="1">
      <alignment horizontal="center"/>
    </xf>
    <xf numFmtId="172" fontId="28" fillId="0" borderId="4" xfId="4667" applyNumberFormat="1" applyFont="1" applyFill="1" applyBorder="1" applyAlignment="1">
      <alignment horizontal="center"/>
    </xf>
    <xf numFmtId="174" fontId="176" fillId="0" borderId="0" xfId="4680" applyNumberFormat="1" applyFont="1"/>
    <xf numFmtId="305" fontId="28" fillId="0" borderId="0" xfId="4665" applyNumberFormat="1" applyFont="1"/>
    <xf numFmtId="170" fontId="28" fillId="0" borderId="0" xfId="0" applyNumberFormat="1" applyFont="1"/>
    <xf numFmtId="0" fontId="28" fillId="0" borderId="0" xfId="0" applyNumberFormat="1" applyFont="1"/>
    <xf numFmtId="14" fontId="28" fillId="0" borderId="0" xfId="0" applyNumberFormat="1" applyFont="1"/>
    <xf numFmtId="174" fontId="176" fillId="0" borderId="0" xfId="4665" applyNumberFormat="1" applyFont="1" applyBorder="1" applyAlignment="1">
      <alignment horizontal="center" vertical="center" wrapText="1"/>
    </xf>
    <xf numFmtId="305" fontId="176" fillId="0" borderId="0" xfId="4665" applyNumberFormat="1" applyFont="1" applyBorder="1" applyAlignment="1">
      <alignment horizontal="center" vertical="center" wrapText="1"/>
    </xf>
    <xf numFmtId="174" fontId="176" fillId="0" borderId="0" xfId="190" applyNumberFormat="1" applyFont="1" applyBorder="1" applyAlignment="1">
      <alignment vertical="center" wrapText="1"/>
    </xf>
    <xf numFmtId="43" fontId="176" fillId="0" borderId="0" xfId="4680" applyNumberFormat="1" applyFont="1"/>
    <xf numFmtId="0" fontId="28" fillId="0" borderId="0" xfId="0" applyNumberFormat="1" applyFont="1" applyFill="1" applyAlignment="1" applyProtection="1">
      <alignment vertical="top" wrapText="1"/>
      <protection locked="0"/>
    </xf>
    <xf numFmtId="0" fontId="28" fillId="0" borderId="0" xfId="0" applyNumberFormat="1" applyFont="1" applyFill="1" applyAlignment="1" applyProtection="1">
      <alignment horizontal="right"/>
      <protection locked="0"/>
    </xf>
    <xf numFmtId="0" fontId="28" fillId="0" borderId="1" xfId="0" applyNumberFormat="1" applyFont="1" applyBorder="1" applyAlignment="1" applyProtection="1">
      <alignment horizontal="center"/>
      <protection locked="0"/>
    </xf>
    <xf numFmtId="0" fontId="28" fillId="0" borderId="0" xfId="0" applyNumberFormat="1" applyFont="1" applyFill="1" applyAlignment="1" applyProtection="1">
      <alignment horizontal="right"/>
    </xf>
    <xf numFmtId="0" fontId="28" fillId="0" borderId="0" xfId="0" applyNumberFormat="1" applyFont="1" applyFill="1" applyAlignment="1" applyProtection="1">
      <protection locked="0"/>
    </xf>
    <xf numFmtId="172" fontId="28" fillId="0" borderId="0" xfId="4667" applyNumberFormat="1" applyFont="1" applyBorder="1" applyAlignment="1">
      <alignment horizontal="center"/>
    </xf>
    <xf numFmtId="174" fontId="176" fillId="0" borderId="0" xfId="4684" applyNumberFormat="1" applyFont="1" applyFill="1" applyBorder="1" applyAlignment="1">
      <alignment vertical="center" wrapText="1"/>
    </xf>
    <xf numFmtId="41" fontId="28" fillId="78" borderId="4" xfId="1" applyNumberFormat="1" applyFont="1" applyFill="1" applyBorder="1" applyAlignment="1" applyProtection="1">
      <protection locked="0"/>
    </xf>
    <xf numFmtId="41" fontId="28" fillId="0" borderId="0" xfId="1" applyNumberFormat="1" applyFont="1" applyFill="1" applyAlignment="1" applyProtection="1">
      <protection locked="0"/>
    </xf>
    <xf numFmtId="41" fontId="28" fillId="0" borderId="4" xfId="1" applyNumberFormat="1" applyFont="1" applyFill="1" applyBorder="1" applyAlignment="1" applyProtection="1">
      <protection locked="0"/>
    </xf>
    <xf numFmtId="310" fontId="28" fillId="0" borderId="0" xfId="1" applyNumberFormat="1" applyFont="1" applyFill="1" applyAlignment="1" applyProtection="1">
      <protection locked="0"/>
    </xf>
    <xf numFmtId="305" fontId="163" fillId="3" borderId="0" xfId="4665" applyNumberFormat="1" applyFont="1" applyFill="1" applyAlignment="1" applyProtection="1">
      <protection locked="0"/>
    </xf>
    <xf numFmtId="172" fontId="28" fillId="0" borderId="47" xfId="4667" applyNumberFormat="1" applyFont="1" applyFill="1" applyBorder="1" applyAlignment="1"/>
    <xf numFmtId="311" fontId="28" fillId="0" borderId="0" xfId="4667" applyNumberFormat="1" applyFont="1" applyFill="1" applyBorder="1" applyAlignment="1">
      <alignment horizontal="center"/>
    </xf>
    <xf numFmtId="0" fontId="28" fillId="0" borderId="0" xfId="4667" applyNumberFormat="1" applyFont="1" applyFill="1" applyBorder="1" applyAlignment="1">
      <alignment horizontal="center"/>
    </xf>
    <xf numFmtId="174" fontId="28" fillId="0" borderId="4" xfId="4665" applyNumberFormat="1" applyFont="1" applyFill="1" applyBorder="1" applyAlignment="1"/>
    <xf numFmtId="41" fontId="163" fillId="3" borderId="0" xfId="1" applyNumberFormat="1" applyFont="1" applyFill="1" applyBorder="1" applyAlignment="1" applyProtection="1">
      <protection locked="0"/>
    </xf>
    <xf numFmtId="43" fontId="28" fillId="0" borderId="0" xfId="1" applyNumberFormat="1" applyFont="1" applyFill="1" applyAlignment="1" applyProtection="1">
      <protection locked="0"/>
    </xf>
    <xf numFmtId="174" fontId="176" fillId="3" borderId="0" xfId="4690" applyNumberFormat="1" applyFont="1" applyFill="1" applyBorder="1" applyAlignment="1">
      <alignment horizontal="right" vertical="center" wrapText="1"/>
    </xf>
    <xf numFmtId="172" fontId="7" fillId="0" borderId="0" xfId="0" applyFont="1" applyAlignment="1">
      <alignment vertical="top" wrapText="1"/>
    </xf>
    <xf numFmtId="172" fontId="7" fillId="0" borderId="0" xfId="0" applyFont="1" applyAlignment="1">
      <alignment horizontal="left" vertical="top" wrapText="1"/>
    </xf>
    <xf numFmtId="172" fontId="171" fillId="0" borderId="0" xfId="0" applyFont="1" applyAlignment="1">
      <alignment horizontal="center"/>
    </xf>
    <xf numFmtId="172" fontId="28" fillId="0" borderId="0" xfId="0" applyFont="1" applyFill="1" applyAlignment="1">
      <alignment horizontal="left" vertical="top" wrapText="1"/>
    </xf>
    <xf numFmtId="172" fontId="28" fillId="0" borderId="0" xfId="0" applyFont="1" applyFill="1" applyAlignment="1">
      <alignment horizontal="left" wrapText="1"/>
    </xf>
    <xf numFmtId="0" fontId="28" fillId="0" borderId="0" xfId="0" applyNumberFormat="1" applyFont="1" applyFill="1" applyAlignment="1" applyProtection="1">
      <alignment horizontal="right"/>
      <protection locked="0"/>
    </xf>
    <xf numFmtId="0" fontId="120" fillId="0" borderId="0" xfId="0" applyNumberFormat="1" applyFont="1" applyAlignment="1" applyProtection="1">
      <alignment horizontal="right"/>
      <protection locked="0"/>
    </xf>
    <xf numFmtId="0" fontId="28" fillId="0" borderId="0" xfId="0" applyNumberFormat="1" applyFont="1" applyFill="1" applyAlignment="1" applyProtection="1">
      <alignment vertical="top" wrapText="1"/>
      <protection locked="0"/>
    </xf>
    <xf numFmtId="0" fontId="28" fillId="0" borderId="0" xfId="4597" applyNumberFormat="1" applyFont="1" applyFill="1" applyAlignment="1" applyProtection="1">
      <alignment horizontal="left" vertical="top" wrapText="1"/>
      <protection locked="0"/>
    </xf>
    <xf numFmtId="0" fontId="28" fillId="0" borderId="0" xfId="0" applyNumberFormat="1" applyFont="1" applyFill="1" applyAlignment="1" applyProtection="1">
      <alignment horizontal="left" vertical="top" wrapText="1"/>
      <protection locked="0"/>
    </xf>
    <xf numFmtId="0" fontId="28" fillId="0" borderId="0" xfId="0" applyNumberFormat="1" applyFont="1" applyFill="1" applyAlignment="1" applyProtection="1">
      <alignment horizontal="right"/>
    </xf>
    <xf numFmtId="0" fontId="28" fillId="0" borderId="0" xfId="0" applyNumberFormat="1" applyFont="1" applyFill="1" applyBorder="1" applyAlignment="1" applyProtection="1">
      <alignment horizontal="center"/>
      <protection locked="0"/>
    </xf>
    <xf numFmtId="0" fontId="28" fillId="0" borderId="0" xfId="0" applyNumberFormat="1" applyFont="1" applyFill="1" applyAlignment="1" applyProtection="1">
      <protection locked="0"/>
    </xf>
    <xf numFmtId="3" fontId="28" fillId="0" borderId="0" xfId="0" applyNumberFormat="1" applyFont="1" applyFill="1" applyAlignment="1" applyProtection="1">
      <alignment horizontal="right"/>
      <protection locked="0"/>
    </xf>
    <xf numFmtId="0" fontId="28" fillId="0" borderId="1" xfId="0" applyNumberFormat="1" applyFont="1" applyBorder="1" applyAlignment="1" applyProtection="1">
      <alignment horizontal="center"/>
      <protection locked="0"/>
    </xf>
    <xf numFmtId="172" fontId="164" fillId="0" borderId="0" xfId="4597" applyFont="1" applyFill="1" applyAlignment="1">
      <alignment horizontal="left" vertical="top" wrapText="1"/>
    </xf>
    <xf numFmtId="0" fontId="164" fillId="0" borderId="0" xfId="0" applyNumberFormat="1" applyFont="1" applyFill="1" applyAlignment="1">
      <alignment horizontal="left"/>
    </xf>
    <xf numFmtId="0" fontId="164" fillId="0" borderId="0" xfId="0" applyNumberFormat="1" applyFont="1" applyFill="1" applyAlignment="1">
      <alignment horizontal="left" vertical="top" wrapText="1"/>
    </xf>
    <xf numFmtId="172" fontId="164" fillId="0" borderId="0" xfId="0" applyFont="1" applyFill="1" applyAlignment="1">
      <alignment horizontal="left" vertical="top" wrapText="1"/>
    </xf>
    <xf numFmtId="0" fontId="28" fillId="0" borderId="0" xfId="4595" applyFont="1" applyFill="1" applyAlignment="1">
      <alignment vertical="top" wrapText="1"/>
    </xf>
    <xf numFmtId="0" fontId="28" fillId="0" borderId="0" xfId="4597" quotePrefix="1" applyNumberFormat="1" applyFont="1" applyFill="1" applyAlignment="1">
      <alignment horizontal="left" vertical="top" wrapText="1"/>
    </xf>
    <xf numFmtId="0" fontId="28" fillId="0" borderId="0" xfId="0" applyNumberFormat="1" applyFont="1" applyFill="1" applyAlignment="1">
      <alignment horizontal="left" vertical="top" wrapText="1"/>
    </xf>
    <xf numFmtId="0" fontId="28" fillId="0" borderId="0" xfId="0" applyNumberFormat="1" applyFont="1" applyFill="1" applyAlignment="1" applyProtection="1">
      <alignment horizontal="left" vertical="center" wrapText="1"/>
      <protection locked="0"/>
    </xf>
    <xf numFmtId="0" fontId="28" fillId="0" borderId="0" xfId="2138" applyFont="1" applyAlignment="1">
      <alignment horizontal="left" vertical="top" wrapText="1"/>
    </xf>
    <xf numFmtId="0" fontId="120" fillId="0" borderId="0" xfId="4155" applyNumberFormat="1" applyFont="1" applyFill="1" applyBorder="1" applyAlignment="1" applyProtection="1">
      <alignment horizontal="center"/>
      <protection locked="0"/>
    </xf>
    <xf numFmtId="172" fontId="120" fillId="0" borderId="0" xfId="0" applyFont="1" applyAlignment="1">
      <alignment horizontal="center"/>
    </xf>
    <xf numFmtId="0" fontId="28" fillId="0" borderId="0" xfId="4" applyFont="1" applyAlignment="1">
      <alignment horizontal="left" vertical="top" wrapText="1"/>
    </xf>
    <xf numFmtId="0" fontId="120" fillId="0" borderId="0" xfId="4" applyFont="1" applyAlignment="1">
      <alignment horizontal="center"/>
    </xf>
    <xf numFmtId="49" fontId="120" fillId="0" borderId="0" xfId="4" applyNumberFormat="1" applyFont="1" applyAlignment="1">
      <alignment horizontal="center"/>
    </xf>
    <xf numFmtId="0" fontId="28" fillId="0" borderId="0" xfId="4" applyFont="1" applyAlignment="1">
      <alignment horizontal="left" wrapText="1"/>
    </xf>
    <xf numFmtId="172" fontId="28" fillId="0" borderId="0" xfId="0" applyFont="1" applyAlignment="1">
      <alignment horizontal="left" vertical="top"/>
    </xf>
    <xf numFmtId="172" fontId="28" fillId="0" borderId="0" xfId="0" applyFont="1" applyAlignment="1">
      <alignment horizontal="left" vertical="center"/>
    </xf>
    <xf numFmtId="172" fontId="28" fillId="0" borderId="0" xfId="0" applyFont="1" applyAlignment="1">
      <alignment horizontal="left" vertical="top" wrapText="1"/>
    </xf>
    <xf numFmtId="0" fontId="28" fillId="0" borderId="0" xfId="4228" applyNumberFormat="1" applyFont="1" applyFill="1" applyAlignment="1">
      <alignment horizontal="left" vertical="top" wrapText="1"/>
    </xf>
    <xf numFmtId="0" fontId="162" fillId="0" borderId="0" xfId="4228" applyNumberFormat="1" applyFont="1" applyFill="1" applyAlignment="1">
      <alignment horizontal="left" vertical="top" wrapText="1"/>
    </xf>
    <xf numFmtId="0" fontId="120" fillId="0" borderId="48" xfId="4598" applyFont="1" applyFill="1" applyBorder="1" applyAlignment="1">
      <alignment horizontal="center"/>
    </xf>
    <xf numFmtId="0" fontId="120" fillId="0" borderId="15" xfId="4598" applyFont="1" applyFill="1" applyBorder="1" applyAlignment="1">
      <alignment horizontal="center"/>
    </xf>
    <xf numFmtId="0" fontId="120" fillId="0" borderId="49" xfId="4598" applyFont="1" applyFill="1" applyBorder="1" applyAlignment="1">
      <alignment horizontal="center"/>
    </xf>
    <xf numFmtId="172" fontId="120" fillId="0" borderId="48" xfId="0" applyFont="1" applyFill="1" applyBorder="1" applyAlignment="1">
      <alignment horizontal="center"/>
    </xf>
    <xf numFmtId="172" fontId="120" fillId="0" borderId="15" xfId="0" applyFont="1" applyFill="1" applyBorder="1" applyAlignment="1">
      <alignment horizontal="center"/>
    </xf>
    <xf numFmtId="172" fontId="120" fillId="0" borderId="49" xfId="0" applyFont="1" applyFill="1" applyBorder="1" applyAlignment="1">
      <alignment horizontal="center"/>
    </xf>
    <xf numFmtId="172" fontId="179" fillId="0" borderId="3" xfId="0" applyFont="1" applyBorder="1" applyAlignment="1">
      <alignment horizontal="center"/>
    </xf>
    <xf numFmtId="0" fontId="120" fillId="0" borderId="0" xfId="4598" applyFont="1" applyFill="1" applyAlignment="1">
      <alignment horizontal="center"/>
    </xf>
    <xf numFmtId="49" fontId="120" fillId="0" borderId="0" xfId="4597" applyNumberFormat="1" applyFont="1" applyFill="1" applyAlignment="1">
      <alignment horizontal="center"/>
    </xf>
    <xf numFmtId="0" fontId="28" fillId="0" borderId="0" xfId="4476" applyFont="1" applyFill="1" applyAlignment="1" applyProtection="1">
      <alignment horizontal="left"/>
    </xf>
    <xf numFmtId="0" fontId="28" fillId="0" borderId="0" xfId="4476" applyFont="1" applyFill="1" applyAlignment="1" applyProtection="1">
      <alignment horizontal="left" vertical="top" wrapText="1"/>
    </xf>
    <xf numFmtId="172" fontId="120" fillId="0" borderId="0" xfId="4667" applyNumberFormat="1" applyFont="1" applyAlignment="1">
      <alignment horizontal="center"/>
    </xf>
    <xf numFmtId="172" fontId="120" fillId="0" borderId="0" xfId="4667" applyNumberFormat="1" applyFont="1" applyBorder="1" applyAlignment="1">
      <alignment horizontal="center"/>
    </xf>
    <xf numFmtId="172" fontId="120" fillId="0" borderId="3" xfId="4667" applyNumberFormat="1" applyFont="1" applyBorder="1" applyAlignment="1">
      <alignment horizontal="center"/>
    </xf>
    <xf numFmtId="172" fontId="120" fillId="0" borderId="52" xfId="4667" applyNumberFormat="1" applyFont="1" applyFill="1" applyBorder="1" applyAlignment="1">
      <alignment horizontal="center"/>
    </xf>
    <xf numFmtId="172" fontId="120" fillId="0" borderId="3" xfId="4667" applyNumberFormat="1" applyFont="1" applyFill="1" applyBorder="1" applyAlignment="1">
      <alignment horizontal="center"/>
    </xf>
    <xf numFmtId="172" fontId="120" fillId="0" borderId="53" xfId="4667" applyNumberFormat="1" applyFont="1" applyFill="1" applyBorder="1" applyAlignment="1">
      <alignment horizontal="center"/>
    </xf>
    <xf numFmtId="172" fontId="190" fillId="0" borderId="0" xfId="4667" applyNumberFormat="1" applyFont="1" applyAlignment="1">
      <alignment horizontal="center"/>
    </xf>
    <xf numFmtId="172" fontId="28" fillId="0" borderId="0" xfId="4667" applyNumberFormat="1" applyFont="1" applyBorder="1" applyAlignment="1">
      <alignment horizontal="center"/>
    </xf>
    <xf numFmtId="172" fontId="28" fillId="0" borderId="0" xfId="4667" applyNumberFormat="1" applyFont="1" applyFill="1" applyBorder="1" applyAlignment="1">
      <alignment horizontal="center"/>
    </xf>
    <xf numFmtId="172" fontId="28" fillId="0" borderId="38" xfId="4667" applyNumberFormat="1" applyFont="1" applyFill="1" applyBorder="1" applyAlignment="1">
      <alignment horizontal="center"/>
    </xf>
    <xf numFmtId="0" fontId="28" fillId="0" borderId="4" xfId="4352" quotePrefix="1" applyNumberFormat="1" applyFont="1" applyBorder="1" applyAlignment="1">
      <alignment horizontal="center"/>
    </xf>
    <xf numFmtId="0" fontId="28" fillId="0" borderId="47" xfId="4352" quotePrefix="1" applyNumberFormat="1" applyFont="1" applyBorder="1" applyAlignment="1">
      <alignment horizontal="center"/>
    </xf>
    <xf numFmtId="172" fontId="28" fillId="0" borderId="0" xfId="4667" quotePrefix="1" applyNumberFormat="1" applyFont="1" applyFill="1" applyAlignment="1">
      <alignment horizontal="left" vertical="top" wrapText="1"/>
    </xf>
    <xf numFmtId="172" fontId="120" fillId="0" borderId="0" xfId="4667" applyNumberFormat="1" applyFont="1" applyFill="1" applyAlignment="1">
      <alignment horizontal="center"/>
    </xf>
    <xf numFmtId="172" fontId="120" fillId="0" borderId="0" xfId="4667" applyNumberFormat="1" applyFont="1" applyFill="1" applyAlignment="1">
      <alignment horizontal="left" vertical="top" wrapText="1"/>
    </xf>
    <xf numFmtId="172" fontId="28" fillId="0" borderId="0" xfId="4667" applyNumberFormat="1" applyFont="1" applyFill="1" applyAlignment="1">
      <alignment horizontal="left" vertical="top" wrapText="1"/>
    </xf>
    <xf numFmtId="172" fontId="120" fillId="0" borderId="0" xfId="4667" applyNumberFormat="1" applyFont="1" applyFill="1" applyAlignment="1">
      <alignment wrapText="1"/>
    </xf>
    <xf numFmtId="172" fontId="28" fillId="0" borderId="0" xfId="4667" applyNumberFormat="1" applyFont="1" applyFill="1" applyAlignment="1">
      <alignment wrapText="1"/>
    </xf>
    <xf numFmtId="172" fontId="179" fillId="0" borderId="0" xfId="0" applyFont="1" applyBorder="1" applyAlignment="1">
      <alignment horizontal="center"/>
    </xf>
    <xf numFmtId="0" fontId="193" fillId="0" borderId="0" xfId="4680" applyFont="1" applyAlignment="1">
      <alignment horizontal="center"/>
    </xf>
    <xf numFmtId="0" fontId="193" fillId="0" borderId="51" xfId="4680" applyFont="1" applyBorder="1" applyAlignment="1">
      <alignment horizontal="center" vertical="center"/>
    </xf>
    <xf numFmtId="0" fontId="193" fillId="0" borderId="4" xfId="4680" applyFont="1" applyBorder="1" applyAlignment="1">
      <alignment horizontal="center" vertical="center"/>
    </xf>
    <xf numFmtId="0" fontId="193" fillId="0" borderId="47" xfId="4680" applyFont="1" applyBorder="1" applyAlignment="1">
      <alignment horizontal="center" vertical="center"/>
    </xf>
    <xf numFmtId="0" fontId="193" fillId="0" borderId="48" xfId="4680" applyFont="1" applyBorder="1" applyAlignment="1">
      <alignment horizontal="center" vertical="center"/>
    </xf>
    <xf numFmtId="0" fontId="193" fillId="0" borderId="15" xfId="4680" applyFont="1" applyBorder="1" applyAlignment="1">
      <alignment horizontal="center" vertical="center"/>
    </xf>
    <xf numFmtId="0" fontId="193" fillId="0" borderId="49" xfId="4680" applyFont="1" applyBorder="1" applyAlignment="1">
      <alignment horizontal="center" vertical="center"/>
    </xf>
    <xf numFmtId="49" fontId="193" fillId="0" borderId="0" xfId="4680" applyNumberFormat="1" applyFont="1" applyAlignment="1">
      <alignment horizontal="center"/>
    </xf>
    <xf numFmtId="0" fontId="163" fillId="3" borderId="0" xfId="4671" applyFont="1" applyFill="1" applyAlignment="1">
      <alignment horizontal="left"/>
    </xf>
    <xf numFmtId="0" fontId="163" fillId="3" borderId="0" xfId="4671" applyFont="1" applyFill="1" applyAlignment="1">
      <alignment horizontal="center"/>
    </xf>
    <xf numFmtId="0" fontId="28" fillId="0" borderId="0" xfId="4671" applyFont="1" applyFill="1" applyAlignment="1">
      <alignment horizontal="left"/>
    </xf>
    <xf numFmtId="0" fontId="28" fillId="0" borderId="0" xfId="4671" applyFont="1" applyAlignment="1">
      <alignment horizontal="left"/>
    </xf>
  </cellXfs>
  <cellStyles count="4691">
    <cellStyle name=" 1" xfId="4276"/>
    <cellStyle name="%" xfId="5"/>
    <cellStyle name="_033103 13 week CF1" xfId="6"/>
    <cellStyle name="_181000-189000" xfId="7"/>
    <cellStyle name="_2002  What- No Cap X Morgan" xfId="8"/>
    <cellStyle name="_Baseline Rollforward Support 050817" xfId="9"/>
    <cellStyle name="_Book200 Acq Adj by Plant Acct (w Alloc %)" xfId="4277"/>
    <cellStyle name="_EGTG_2003_YTD_Cash_Flow" xfId="10"/>
    <cellStyle name="_Everest_Board_Book_2003_FINAL" xfId="11"/>
    <cellStyle name="_Oct03_Everest_Board_Financial_Operating_Report" xfId="12"/>
    <cellStyle name="_SpreadSM" xfId="13"/>
    <cellStyle name="_Vacation Hours 7-14-08 (2)" xfId="14"/>
    <cellStyle name="_x0010_“+ˆÉ•?pý¤" xfId="4278"/>
    <cellStyle name="_x0010_“+ˆÉ•?pý¤ 2" xfId="4279"/>
    <cellStyle name="¢ Currency [1]" xfId="4478"/>
    <cellStyle name="¢ Currency [2]" xfId="4479"/>
    <cellStyle name="¢ Currency [3]" xfId="4480"/>
    <cellStyle name="£ Currency [0]" xfId="4481"/>
    <cellStyle name="£ Currency [1]" xfId="4482"/>
    <cellStyle name="£ Currency [2]" xfId="4483"/>
    <cellStyle name="=C:\WINNT35\SYSTEM32\COMMAND.COM" xfId="15"/>
    <cellStyle name="=C:\WINNT40\SYSTEM32\COMMAND.COM" xfId="191"/>
    <cellStyle name="=C:\WINNT40\SYSTEM32\COMMAND.COM 2" xfId="192"/>
    <cellStyle name="=C:\WINNT40\SYSTEM32\COMMAND.COM 2 2" xfId="193"/>
    <cellStyle name="=C:\WINNT40\SYSTEM32\COMMAND.COM 3" xfId="194"/>
    <cellStyle name="=C:\WINNT40\SYSTEM32\COMMAND.COM 3 2" xfId="195"/>
    <cellStyle name="=C:\WINNT40\SYSTEM32\COMMAND.COM 4" xfId="196"/>
    <cellStyle name="=C:\WINNT40\SYSTEM32\COMMAND.COM 4 2" xfId="197"/>
    <cellStyle name="=C:\WINNT40\SYSTEM32\COMMAND.COM 5" xfId="198"/>
    <cellStyle name="=C:\WINNT40\SYSTEM32\COMMAND.COM 5 2" xfId="199"/>
    <cellStyle name="=C:\WINNT40\SYSTEM32\COMMAND.COM 6" xfId="200"/>
    <cellStyle name="=C:\WINNT40\SYSTEM32\COMMAND.COM 6 2" xfId="201"/>
    <cellStyle name="=C:\WINNT40\SYSTEM32\COMMAND.COM 7" xfId="202"/>
    <cellStyle name="=C:\WINNT40\SYSTEM32\COMMAND.COM 7 2" xfId="203"/>
    <cellStyle name="=C:\WINNT40\SYSTEM32\COMMAND.COM 8" xfId="204"/>
    <cellStyle name="20% - Accent1 10" xfId="205"/>
    <cellStyle name="20% - Accent1 11" xfId="206"/>
    <cellStyle name="20% - Accent1 12" xfId="207"/>
    <cellStyle name="20% - Accent1 13" xfId="208"/>
    <cellStyle name="20% - Accent1 14" xfId="209"/>
    <cellStyle name="20% - Accent1 15" xfId="210"/>
    <cellStyle name="20% - Accent1 16" xfId="211"/>
    <cellStyle name="20% - Accent1 17" xfId="212"/>
    <cellStyle name="20% - Accent1 18" xfId="213"/>
    <cellStyle name="20% - Accent1 19" xfId="214"/>
    <cellStyle name="20% - Accent1 19 2" xfId="215"/>
    <cellStyle name="20% - Accent1 19 2 2" xfId="216"/>
    <cellStyle name="20% - Accent1 19 3" xfId="217"/>
    <cellStyle name="20% - Accent1 2" xfId="16"/>
    <cellStyle name="20% - Accent1 2 10" xfId="218"/>
    <cellStyle name="20% - Accent1 2 2" xfId="219"/>
    <cellStyle name="20% - Accent1 2 2 2" xfId="220"/>
    <cellStyle name="20% - Accent1 2 2 2 2" xfId="221"/>
    <cellStyle name="20% - Accent1 2 2 3" xfId="222"/>
    <cellStyle name="20% - Accent1 2 3" xfId="223"/>
    <cellStyle name="20% - Accent1 2 3 2" xfId="224"/>
    <cellStyle name="20% - Accent1 2 3 2 2" xfId="225"/>
    <cellStyle name="20% - Accent1 2 3 3" xfId="226"/>
    <cellStyle name="20% - Accent1 2 4" xfId="227"/>
    <cellStyle name="20% - Accent1 2 4 2" xfId="228"/>
    <cellStyle name="20% - Accent1 2 4 2 2" xfId="229"/>
    <cellStyle name="20% - Accent1 2 4 3" xfId="230"/>
    <cellStyle name="20% - Accent1 2 5" xfId="231"/>
    <cellStyle name="20% - Accent1 2 5 2" xfId="232"/>
    <cellStyle name="20% - Accent1 2 5 2 2" xfId="233"/>
    <cellStyle name="20% - Accent1 2 5 3" xfId="234"/>
    <cellStyle name="20% - Accent1 2 6" xfId="235"/>
    <cellStyle name="20% - Accent1 2 6 2" xfId="236"/>
    <cellStyle name="20% - Accent1 2 6 2 2" xfId="237"/>
    <cellStyle name="20% - Accent1 2 6 3" xfId="238"/>
    <cellStyle name="20% - Accent1 2 7" xfId="239"/>
    <cellStyle name="20% - Accent1 2 7 2" xfId="240"/>
    <cellStyle name="20% - Accent1 2 7 2 2" xfId="241"/>
    <cellStyle name="20% - Accent1 2 7 3" xfId="242"/>
    <cellStyle name="20% - Accent1 2 8" xfId="243"/>
    <cellStyle name="20% - Accent1 2 8 2" xfId="244"/>
    <cellStyle name="20% - Accent1 2 8 2 2" xfId="245"/>
    <cellStyle name="20% - Accent1 2 8 3" xfId="246"/>
    <cellStyle name="20% - Accent1 2 9" xfId="247"/>
    <cellStyle name="20% - Accent1 2 9 2" xfId="248"/>
    <cellStyle name="20% - Accent1 3" xfId="249"/>
    <cellStyle name="20% - Accent1 4" xfId="250"/>
    <cellStyle name="20% - Accent1 5" xfId="251"/>
    <cellStyle name="20% - Accent1 6" xfId="252"/>
    <cellStyle name="20% - Accent1 7" xfId="253"/>
    <cellStyle name="20% - Accent1 8" xfId="254"/>
    <cellStyle name="20% - Accent1 9" xfId="255"/>
    <cellStyle name="20% - Accent2 10" xfId="256"/>
    <cellStyle name="20% - Accent2 11" xfId="257"/>
    <cellStyle name="20% - Accent2 12" xfId="258"/>
    <cellStyle name="20% - Accent2 13" xfId="259"/>
    <cellStyle name="20% - Accent2 14" xfId="260"/>
    <cellStyle name="20% - Accent2 15" xfId="261"/>
    <cellStyle name="20% - Accent2 16" xfId="262"/>
    <cellStyle name="20% - Accent2 17" xfId="263"/>
    <cellStyle name="20% - Accent2 18" xfId="264"/>
    <cellStyle name="20% - Accent2 19" xfId="265"/>
    <cellStyle name="20% - Accent2 19 2" xfId="266"/>
    <cellStyle name="20% - Accent2 19 2 2" xfId="267"/>
    <cellStyle name="20% - Accent2 19 3" xfId="268"/>
    <cellStyle name="20% - Accent2 2" xfId="17"/>
    <cellStyle name="20% - Accent2 2 10" xfId="269"/>
    <cellStyle name="20% - Accent2 2 2" xfId="270"/>
    <cellStyle name="20% - Accent2 2 2 2" xfId="271"/>
    <cellStyle name="20% - Accent2 2 2 2 2" xfId="272"/>
    <cellStyle name="20% - Accent2 2 2 3" xfId="273"/>
    <cellStyle name="20% - Accent2 2 3" xfId="274"/>
    <cellStyle name="20% - Accent2 2 3 2" xfId="275"/>
    <cellStyle name="20% - Accent2 2 3 2 2" xfId="276"/>
    <cellStyle name="20% - Accent2 2 3 3" xfId="277"/>
    <cellStyle name="20% - Accent2 2 4" xfId="278"/>
    <cellStyle name="20% - Accent2 2 4 2" xfId="279"/>
    <cellStyle name="20% - Accent2 2 4 2 2" xfId="280"/>
    <cellStyle name="20% - Accent2 2 4 3" xfId="281"/>
    <cellStyle name="20% - Accent2 2 5" xfId="282"/>
    <cellStyle name="20% - Accent2 2 5 2" xfId="283"/>
    <cellStyle name="20% - Accent2 2 5 2 2" xfId="284"/>
    <cellStyle name="20% - Accent2 2 5 3" xfId="285"/>
    <cellStyle name="20% - Accent2 2 6" xfId="286"/>
    <cellStyle name="20% - Accent2 2 6 2" xfId="287"/>
    <cellStyle name="20% - Accent2 2 6 2 2" xfId="288"/>
    <cellStyle name="20% - Accent2 2 6 3" xfId="289"/>
    <cellStyle name="20% - Accent2 2 7" xfId="290"/>
    <cellStyle name="20% - Accent2 2 7 2" xfId="291"/>
    <cellStyle name="20% - Accent2 2 7 2 2" xfId="292"/>
    <cellStyle name="20% - Accent2 2 7 3" xfId="293"/>
    <cellStyle name="20% - Accent2 2 8" xfId="294"/>
    <cellStyle name="20% - Accent2 2 8 2" xfId="295"/>
    <cellStyle name="20% - Accent2 2 8 2 2" xfId="296"/>
    <cellStyle name="20% - Accent2 2 8 3" xfId="297"/>
    <cellStyle name="20% - Accent2 2 9" xfId="298"/>
    <cellStyle name="20% - Accent2 2 9 2" xfId="299"/>
    <cellStyle name="20% - Accent2 3" xfId="300"/>
    <cellStyle name="20% - Accent2 4" xfId="301"/>
    <cellStyle name="20% - Accent2 5" xfId="302"/>
    <cellStyle name="20% - Accent2 6" xfId="303"/>
    <cellStyle name="20% - Accent2 7" xfId="304"/>
    <cellStyle name="20% - Accent2 8" xfId="305"/>
    <cellStyle name="20% - Accent2 9" xfId="306"/>
    <cellStyle name="20% - Accent3 10" xfId="307"/>
    <cellStyle name="20% - Accent3 11" xfId="308"/>
    <cellStyle name="20% - Accent3 12" xfId="309"/>
    <cellStyle name="20% - Accent3 13" xfId="310"/>
    <cellStyle name="20% - Accent3 14" xfId="311"/>
    <cellStyle name="20% - Accent3 15" xfId="312"/>
    <cellStyle name="20% - Accent3 16" xfId="313"/>
    <cellStyle name="20% - Accent3 17" xfId="314"/>
    <cellStyle name="20% - Accent3 18" xfId="315"/>
    <cellStyle name="20% - Accent3 2" xfId="18"/>
    <cellStyle name="20% - Accent3 2 2" xfId="316"/>
    <cellStyle name="20% - Accent3 2 2 2" xfId="317"/>
    <cellStyle name="20% - Accent3 2 2 2 2" xfId="318"/>
    <cellStyle name="20% - Accent3 2 2 3" xfId="319"/>
    <cellStyle name="20% - Accent3 2 3" xfId="320"/>
    <cellStyle name="20% - Accent3 2 3 2" xfId="321"/>
    <cellStyle name="20% - Accent3 2 3 2 2" xfId="322"/>
    <cellStyle name="20% - Accent3 2 3 3" xfId="323"/>
    <cellStyle name="20% - Accent3 2 4" xfId="324"/>
    <cellStyle name="20% - Accent3 2 4 2" xfId="325"/>
    <cellStyle name="20% - Accent3 2 4 2 2" xfId="326"/>
    <cellStyle name="20% - Accent3 2 4 3" xfId="327"/>
    <cellStyle name="20% - Accent3 2 5" xfId="328"/>
    <cellStyle name="20% - Accent3 2 5 2" xfId="329"/>
    <cellStyle name="20% - Accent3 2 5 2 2" xfId="330"/>
    <cellStyle name="20% - Accent3 2 5 3" xfId="331"/>
    <cellStyle name="20% - Accent3 2 6" xfId="332"/>
    <cellStyle name="20% - Accent3 2 6 2" xfId="333"/>
    <cellStyle name="20% - Accent3 2 6 2 2" xfId="334"/>
    <cellStyle name="20% - Accent3 2 6 3" xfId="335"/>
    <cellStyle name="20% - Accent3 2 7" xfId="336"/>
    <cellStyle name="20% - Accent3 2 7 2" xfId="337"/>
    <cellStyle name="20% - Accent3 2 7 2 2" xfId="338"/>
    <cellStyle name="20% - Accent3 2 7 3" xfId="339"/>
    <cellStyle name="20% - Accent3 2 8" xfId="340"/>
    <cellStyle name="20% - Accent3 2 8 2" xfId="341"/>
    <cellStyle name="20% - Accent3 2 9" xfId="342"/>
    <cellStyle name="20% - Accent3 3" xfId="343"/>
    <cellStyle name="20% - Accent3 4" xfId="344"/>
    <cellStyle name="20% - Accent3 5" xfId="345"/>
    <cellStyle name="20% - Accent3 6" xfId="346"/>
    <cellStyle name="20% - Accent3 7" xfId="347"/>
    <cellStyle name="20% - Accent3 8" xfId="348"/>
    <cellStyle name="20% - Accent3 9" xfId="349"/>
    <cellStyle name="20% - Accent4 10" xfId="350"/>
    <cellStyle name="20% - Accent4 11" xfId="351"/>
    <cellStyle name="20% - Accent4 12" xfId="352"/>
    <cellStyle name="20% - Accent4 13" xfId="353"/>
    <cellStyle name="20% - Accent4 14" xfId="354"/>
    <cellStyle name="20% - Accent4 15" xfId="355"/>
    <cellStyle name="20% - Accent4 16" xfId="356"/>
    <cellStyle name="20% - Accent4 17" xfId="357"/>
    <cellStyle name="20% - Accent4 18" xfId="358"/>
    <cellStyle name="20% - Accent4 2" xfId="19"/>
    <cellStyle name="20% - Accent4 2 2" xfId="359"/>
    <cellStyle name="20% - Accent4 2 2 2" xfId="360"/>
    <cellStyle name="20% - Accent4 2 2 2 2" xfId="361"/>
    <cellStyle name="20% - Accent4 2 2 3" xfId="362"/>
    <cellStyle name="20% - Accent4 2 3" xfId="363"/>
    <cellStyle name="20% - Accent4 2 3 2" xfId="364"/>
    <cellStyle name="20% - Accent4 2 3 2 2" xfId="365"/>
    <cellStyle name="20% - Accent4 2 3 3" xfId="366"/>
    <cellStyle name="20% - Accent4 2 4" xfId="367"/>
    <cellStyle name="20% - Accent4 2 4 2" xfId="368"/>
    <cellStyle name="20% - Accent4 2 4 2 2" xfId="369"/>
    <cellStyle name="20% - Accent4 2 4 3" xfId="370"/>
    <cellStyle name="20% - Accent4 2 5" xfId="371"/>
    <cellStyle name="20% - Accent4 2 5 2" xfId="372"/>
    <cellStyle name="20% - Accent4 2 5 2 2" xfId="373"/>
    <cellStyle name="20% - Accent4 2 5 3" xfId="374"/>
    <cellStyle name="20% - Accent4 2 6" xfId="375"/>
    <cellStyle name="20% - Accent4 2 6 2" xfId="376"/>
    <cellStyle name="20% - Accent4 2 6 2 2" xfId="377"/>
    <cellStyle name="20% - Accent4 2 6 3" xfId="378"/>
    <cellStyle name="20% - Accent4 2 7" xfId="379"/>
    <cellStyle name="20% - Accent4 2 7 2" xfId="380"/>
    <cellStyle name="20% - Accent4 2 7 2 2" xfId="381"/>
    <cellStyle name="20% - Accent4 2 7 3" xfId="382"/>
    <cellStyle name="20% - Accent4 2 8" xfId="383"/>
    <cellStyle name="20% - Accent4 2 8 2" xfId="384"/>
    <cellStyle name="20% - Accent4 2 9" xfId="385"/>
    <cellStyle name="20% - Accent4 3" xfId="386"/>
    <cellStyle name="20% - Accent4 4" xfId="387"/>
    <cellStyle name="20% - Accent4 5" xfId="388"/>
    <cellStyle name="20% - Accent4 6" xfId="389"/>
    <cellStyle name="20% - Accent4 7" xfId="390"/>
    <cellStyle name="20% - Accent4 8" xfId="391"/>
    <cellStyle name="20% - Accent4 9" xfId="392"/>
    <cellStyle name="20% - Accent5 10" xfId="393"/>
    <cellStyle name="20% - Accent5 11" xfId="394"/>
    <cellStyle name="20% - Accent5 12" xfId="395"/>
    <cellStyle name="20% - Accent5 13" xfId="396"/>
    <cellStyle name="20% - Accent5 14" xfId="397"/>
    <cellStyle name="20% - Accent5 15" xfId="398"/>
    <cellStyle name="20% - Accent5 16" xfId="399"/>
    <cellStyle name="20% - Accent5 17" xfId="400"/>
    <cellStyle name="20% - Accent5 18" xfId="401"/>
    <cellStyle name="20% - Accent5 2" xfId="20"/>
    <cellStyle name="20% - Accent5 2 2" xfId="402"/>
    <cellStyle name="20% - Accent5 2 2 2" xfId="403"/>
    <cellStyle name="20% - Accent5 2 2 2 2" xfId="404"/>
    <cellStyle name="20% - Accent5 2 2 3" xfId="405"/>
    <cellStyle name="20% - Accent5 2 3" xfId="406"/>
    <cellStyle name="20% - Accent5 2 3 2" xfId="407"/>
    <cellStyle name="20% - Accent5 2 3 2 2" xfId="408"/>
    <cellStyle name="20% - Accent5 2 3 3" xfId="409"/>
    <cellStyle name="20% - Accent5 2 4" xfId="410"/>
    <cellStyle name="20% - Accent5 2 4 2" xfId="411"/>
    <cellStyle name="20% - Accent5 2 4 2 2" xfId="412"/>
    <cellStyle name="20% - Accent5 2 4 3" xfId="413"/>
    <cellStyle name="20% - Accent5 2 5" xfId="414"/>
    <cellStyle name="20% - Accent5 2 5 2" xfId="415"/>
    <cellStyle name="20% - Accent5 2 5 2 2" xfId="416"/>
    <cellStyle name="20% - Accent5 2 5 3" xfId="417"/>
    <cellStyle name="20% - Accent5 2 6" xfId="418"/>
    <cellStyle name="20% - Accent5 2 6 2" xfId="419"/>
    <cellStyle name="20% - Accent5 2 6 2 2" xfId="420"/>
    <cellStyle name="20% - Accent5 2 6 3" xfId="421"/>
    <cellStyle name="20% - Accent5 2 7" xfId="422"/>
    <cellStyle name="20% - Accent5 2 7 2" xfId="423"/>
    <cellStyle name="20% - Accent5 2 7 2 2" xfId="424"/>
    <cellStyle name="20% - Accent5 2 7 3" xfId="425"/>
    <cellStyle name="20% - Accent5 2 8" xfId="426"/>
    <cellStyle name="20% - Accent5 2 8 2" xfId="427"/>
    <cellStyle name="20% - Accent5 2 9" xfId="428"/>
    <cellStyle name="20% - Accent5 3" xfId="429"/>
    <cellStyle name="20% - Accent5 4" xfId="430"/>
    <cellStyle name="20% - Accent5 5" xfId="431"/>
    <cellStyle name="20% - Accent5 6" xfId="432"/>
    <cellStyle name="20% - Accent5 7" xfId="433"/>
    <cellStyle name="20% - Accent5 8" xfId="434"/>
    <cellStyle name="20% - Accent5 9" xfId="435"/>
    <cellStyle name="20% - Accent6 10" xfId="436"/>
    <cellStyle name="20% - Accent6 11" xfId="437"/>
    <cellStyle name="20% - Accent6 12" xfId="438"/>
    <cellStyle name="20% - Accent6 13" xfId="439"/>
    <cellStyle name="20% - Accent6 14" xfId="440"/>
    <cellStyle name="20% - Accent6 15" xfId="441"/>
    <cellStyle name="20% - Accent6 16" xfId="442"/>
    <cellStyle name="20% - Accent6 17" xfId="443"/>
    <cellStyle name="20% - Accent6 18" xfId="444"/>
    <cellStyle name="20% - Accent6 2" xfId="21"/>
    <cellStyle name="20% - Accent6 2 2" xfId="445"/>
    <cellStyle name="20% - Accent6 2 2 2" xfId="446"/>
    <cellStyle name="20% - Accent6 2 2 2 2" xfId="447"/>
    <cellStyle name="20% - Accent6 2 2 3" xfId="448"/>
    <cellStyle name="20% - Accent6 2 3" xfId="449"/>
    <cellStyle name="20% - Accent6 2 3 2" xfId="450"/>
    <cellStyle name="20% - Accent6 2 3 2 2" xfId="451"/>
    <cellStyle name="20% - Accent6 2 3 3" xfId="452"/>
    <cellStyle name="20% - Accent6 2 4" xfId="453"/>
    <cellStyle name="20% - Accent6 2 4 2" xfId="454"/>
    <cellStyle name="20% - Accent6 2 4 2 2" xfId="455"/>
    <cellStyle name="20% - Accent6 2 4 3" xfId="456"/>
    <cellStyle name="20% - Accent6 2 5" xfId="457"/>
    <cellStyle name="20% - Accent6 2 5 2" xfId="458"/>
    <cellStyle name="20% - Accent6 2 5 2 2" xfId="459"/>
    <cellStyle name="20% - Accent6 2 5 3" xfId="460"/>
    <cellStyle name="20% - Accent6 2 6" xfId="461"/>
    <cellStyle name="20% - Accent6 2 6 2" xfId="462"/>
    <cellStyle name="20% - Accent6 2 6 2 2" xfId="463"/>
    <cellStyle name="20% - Accent6 2 6 3" xfId="464"/>
    <cellStyle name="20% - Accent6 2 7" xfId="465"/>
    <cellStyle name="20% - Accent6 2 7 2" xfId="466"/>
    <cellStyle name="20% - Accent6 2 7 2 2" xfId="467"/>
    <cellStyle name="20% - Accent6 2 7 3" xfId="468"/>
    <cellStyle name="20% - Accent6 2 8" xfId="469"/>
    <cellStyle name="20% - Accent6 2 8 2" xfId="470"/>
    <cellStyle name="20% - Accent6 2 9" xfId="471"/>
    <cellStyle name="20% - Accent6 3" xfId="472"/>
    <cellStyle name="20% - Accent6 4" xfId="473"/>
    <cellStyle name="20% - Accent6 5" xfId="474"/>
    <cellStyle name="20% - Accent6 6" xfId="475"/>
    <cellStyle name="20% - Accent6 7" xfId="476"/>
    <cellStyle name="20% - Accent6 8" xfId="477"/>
    <cellStyle name="20% - Accent6 9" xfId="478"/>
    <cellStyle name="40% - Accent1 10" xfId="479"/>
    <cellStyle name="40% - Accent1 11" xfId="480"/>
    <cellStyle name="40% - Accent1 12" xfId="481"/>
    <cellStyle name="40% - Accent1 13" xfId="482"/>
    <cellStyle name="40% - Accent1 14" xfId="483"/>
    <cellStyle name="40% - Accent1 15" xfId="484"/>
    <cellStyle name="40% - Accent1 16" xfId="485"/>
    <cellStyle name="40% - Accent1 17" xfId="486"/>
    <cellStyle name="40% - Accent1 18" xfId="487"/>
    <cellStyle name="40% - Accent1 2" xfId="22"/>
    <cellStyle name="40% - Accent1 2 2" xfId="488"/>
    <cellStyle name="40% - Accent1 2 2 2" xfId="489"/>
    <cellStyle name="40% - Accent1 2 2 2 2" xfId="490"/>
    <cellStyle name="40% - Accent1 2 2 3" xfId="491"/>
    <cellStyle name="40% - Accent1 2 3" xfId="492"/>
    <cellStyle name="40% - Accent1 2 3 2" xfId="493"/>
    <cellStyle name="40% - Accent1 2 3 2 2" xfId="494"/>
    <cellStyle name="40% - Accent1 2 3 3" xfId="495"/>
    <cellStyle name="40% - Accent1 2 4" xfId="496"/>
    <cellStyle name="40% - Accent1 2 4 2" xfId="497"/>
    <cellStyle name="40% - Accent1 2 4 2 2" xfId="498"/>
    <cellStyle name="40% - Accent1 2 4 3" xfId="499"/>
    <cellStyle name="40% - Accent1 2 5" xfId="500"/>
    <cellStyle name="40% - Accent1 2 5 2" xfId="501"/>
    <cellStyle name="40% - Accent1 2 5 2 2" xfId="502"/>
    <cellStyle name="40% - Accent1 2 5 3" xfId="503"/>
    <cellStyle name="40% - Accent1 2 6" xfId="504"/>
    <cellStyle name="40% - Accent1 2 6 2" xfId="505"/>
    <cellStyle name="40% - Accent1 2 6 2 2" xfId="506"/>
    <cellStyle name="40% - Accent1 2 6 3" xfId="507"/>
    <cellStyle name="40% - Accent1 2 7" xfId="508"/>
    <cellStyle name="40% - Accent1 2 7 2" xfId="509"/>
    <cellStyle name="40% - Accent1 2 7 2 2" xfId="510"/>
    <cellStyle name="40% - Accent1 2 7 3" xfId="511"/>
    <cellStyle name="40% - Accent1 2 8" xfId="512"/>
    <cellStyle name="40% - Accent1 2 8 2" xfId="513"/>
    <cellStyle name="40% - Accent1 2 9" xfId="514"/>
    <cellStyle name="40% - Accent1 3" xfId="515"/>
    <cellStyle name="40% - Accent1 4" xfId="516"/>
    <cellStyle name="40% - Accent1 5" xfId="517"/>
    <cellStyle name="40% - Accent1 6" xfId="518"/>
    <cellStyle name="40% - Accent1 7" xfId="519"/>
    <cellStyle name="40% - Accent1 8" xfId="520"/>
    <cellStyle name="40% - Accent1 9" xfId="521"/>
    <cellStyle name="40% - Accent2 10" xfId="522"/>
    <cellStyle name="40% - Accent2 11" xfId="523"/>
    <cellStyle name="40% - Accent2 12" xfId="524"/>
    <cellStyle name="40% - Accent2 13" xfId="525"/>
    <cellStyle name="40% - Accent2 14" xfId="526"/>
    <cellStyle name="40% - Accent2 15" xfId="527"/>
    <cellStyle name="40% - Accent2 16" xfId="528"/>
    <cellStyle name="40% - Accent2 17" xfId="529"/>
    <cellStyle name="40% - Accent2 18" xfId="530"/>
    <cellStyle name="40% - Accent2 2" xfId="23"/>
    <cellStyle name="40% - Accent2 2 2" xfId="531"/>
    <cellStyle name="40% - Accent2 2 2 2" xfId="532"/>
    <cellStyle name="40% - Accent2 2 2 2 2" xfId="533"/>
    <cellStyle name="40% - Accent2 2 2 3" xfId="534"/>
    <cellStyle name="40% - Accent2 2 3" xfId="535"/>
    <cellStyle name="40% - Accent2 2 3 2" xfId="536"/>
    <cellStyle name="40% - Accent2 2 3 2 2" xfId="537"/>
    <cellStyle name="40% - Accent2 2 3 3" xfId="538"/>
    <cellStyle name="40% - Accent2 2 4" xfId="539"/>
    <cellStyle name="40% - Accent2 2 4 2" xfId="540"/>
    <cellStyle name="40% - Accent2 2 4 2 2" xfId="541"/>
    <cellStyle name="40% - Accent2 2 4 3" xfId="542"/>
    <cellStyle name="40% - Accent2 2 5" xfId="543"/>
    <cellStyle name="40% - Accent2 2 5 2" xfId="544"/>
    <cellStyle name="40% - Accent2 2 5 2 2" xfId="545"/>
    <cellStyle name="40% - Accent2 2 5 3" xfId="546"/>
    <cellStyle name="40% - Accent2 2 6" xfId="547"/>
    <cellStyle name="40% - Accent2 2 6 2" xfId="548"/>
    <cellStyle name="40% - Accent2 2 6 2 2" xfId="549"/>
    <cellStyle name="40% - Accent2 2 6 3" xfId="550"/>
    <cellStyle name="40% - Accent2 2 7" xfId="551"/>
    <cellStyle name="40% - Accent2 2 7 2" xfId="552"/>
    <cellStyle name="40% - Accent2 2 7 2 2" xfId="553"/>
    <cellStyle name="40% - Accent2 2 7 3" xfId="554"/>
    <cellStyle name="40% - Accent2 2 8" xfId="555"/>
    <cellStyle name="40% - Accent2 2 8 2" xfId="556"/>
    <cellStyle name="40% - Accent2 2 9" xfId="557"/>
    <cellStyle name="40% - Accent2 3" xfId="558"/>
    <cellStyle name="40% - Accent2 4" xfId="559"/>
    <cellStyle name="40% - Accent2 5" xfId="560"/>
    <cellStyle name="40% - Accent2 6" xfId="561"/>
    <cellStyle name="40% - Accent2 7" xfId="562"/>
    <cellStyle name="40% - Accent2 8" xfId="563"/>
    <cellStyle name="40% - Accent2 9" xfId="564"/>
    <cellStyle name="40% - Accent3 10" xfId="565"/>
    <cellStyle name="40% - Accent3 11" xfId="566"/>
    <cellStyle name="40% - Accent3 12" xfId="567"/>
    <cellStyle name="40% - Accent3 13" xfId="568"/>
    <cellStyle name="40% - Accent3 14" xfId="569"/>
    <cellStyle name="40% - Accent3 15" xfId="570"/>
    <cellStyle name="40% - Accent3 16" xfId="571"/>
    <cellStyle name="40% - Accent3 17" xfId="572"/>
    <cellStyle name="40% - Accent3 18" xfId="573"/>
    <cellStyle name="40% - Accent3 2" xfId="24"/>
    <cellStyle name="40% - Accent3 2 2" xfId="574"/>
    <cellStyle name="40% - Accent3 2 2 2" xfId="575"/>
    <cellStyle name="40% - Accent3 2 2 2 2" xfId="576"/>
    <cellStyle name="40% - Accent3 2 2 3" xfId="577"/>
    <cellStyle name="40% - Accent3 2 3" xfId="578"/>
    <cellStyle name="40% - Accent3 2 3 2" xfId="579"/>
    <cellStyle name="40% - Accent3 2 3 2 2" xfId="580"/>
    <cellStyle name="40% - Accent3 2 3 3" xfId="581"/>
    <cellStyle name="40% - Accent3 2 4" xfId="582"/>
    <cellStyle name="40% - Accent3 2 4 2" xfId="583"/>
    <cellStyle name="40% - Accent3 2 4 2 2" xfId="584"/>
    <cellStyle name="40% - Accent3 2 4 3" xfId="585"/>
    <cellStyle name="40% - Accent3 2 5" xfId="586"/>
    <cellStyle name="40% - Accent3 2 5 2" xfId="587"/>
    <cellStyle name="40% - Accent3 2 5 2 2" xfId="588"/>
    <cellStyle name="40% - Accent3 2 5 3" xfId="589"/>
    <cellStyle name="40% - Accent3 2 6" xfId="590"/>
    <cellStyle name="40% - Accent3 2 6 2" xfId="591"/>
    <cellStyle name="40% - Accent3 2 6 2 2" xfId="592"/>
    <cellStyle name="40% - Accent3 2 6 3" xfId="593"/>
    <cellStyle name="40% - Accent3 2 7" xfId="594"/>
    <cellStyle name="40% - Accent3 2 7 2" xfId="595"/>
    <cellStyle name="40% - Accent3 2 7 2 2" xfId="596"/>
    <cellStyle name="40% - Accent3 2 7 3" xfId="597"/>
    <cellStyle name="40% - Accent3 2 8" xfId="598"/>
    <cellStyle name="40% - Accent3 2 8 2" xfId="599"/>
    <cellStyle name="40% - Accent3 2 9" xfId="600"/>
    <cellStyle name="40% - Accent3 3" xfId="601"/>
    <cellStyle name="40% - Accent3 4" xfId="602"/>
    <cellStyle name="40% - Accent3 5" xfId="603"/>
    <cellStyle name="40% - Accent3 6" xfId="604"/>
    <cellStyle name="40% - Accent3 7" xfId="605"/>
    <cellStyle name="40% - Accent3 8" xfId="606"/>
    <cellStyle name="40% - Accent3 9" xfId="607"/>
    <cellStyle name="40% - Accent4 10" xfId="608"/>
    <cellStyle name="40% - Accent4 11" xfId="609"/>
    <cellStyle name="40% - Accent4 12" xfId="610"/>
    <cellStyle name="40% - Accent4 13" xfId="611"/>
    <cellStyle name="40% - Accent4 14" xfId="612"/>
    <cellStyle name="40% - Accent4 15" xfId="613"/>
    <cellStyle name="40% - Accent4 16" xfId="614"/>
    <cellStyle name="40% - Accent4 17" xfId="615"/>
    <cellStyle name="40% - Accent4 18" xfId="616"/>
    <cellStyle name="40% - Accent4 2" xfId="25"/>
    <cellStyle name="40% - Accent4 2 2" xfId="617"/>
    <cellStyle name="40% - Accent4 2 2 2" xfId="618"/>
    <cellStyle name="40% - Accent4 2 2 2 2" xfId="619"/>
    <cellStyle name="40% - Accent4 2 2 3" xfId="620"/>
    <cellStyle name="40% - Accent4 2 3" xfId="621"/>
    <cellStyle name="40% - Accent4 2 3 2" xfId="622"/>
    <cellStyle name="40% - Accent4 2 3 2 2" xfId="623"/>
    <cellStyle name="40% - Accent4 2 3 3" xfId="624"/>
    <cellStyle name="40% - Accent4 2 4" xfId="625"/>
    <cellStyle name="40% - Accent4 2 4 2" xfId="626"/>
    <cellStyle name="40% - Accent4 2 4 2 2" xfId="627"/>
    <cellStyle name="40% - Accent4 2 4 3" xfId="628"/>
    <cellStyle name="40% - Accent4 2 5" xfId="629"/>
    <cellStyle name="40% - Accent4 2 5 2" xfId="630"/>
    <cellStyle name="40% - Accent4 2 5 2 2" xfId="631"/>
    <cellStyle name="40% - Accent4 2 5 3" xfId="632"/>
    <cellStyle name="40% - Accent4 2 6" xfId="633"/>
    <cellStyle name="40% - Accent4 2 6 2" xfId="634"/>
    <cellStyle name="40% - Accent4 2 6 2 2" xfId="635"/>
    <cellStyle name="40% - Accent4 2 6 3" xfId="636"/>
    <cellStyle name="40% - Accent4 2 7" xfId="637"/>
    <cellStyle name="40% - Accent4 2 7 2" xfId="638"/>
    <cellStyle name="40% - Accent4 2 7 2 2" xfId="639"/>
    <cellStyle name="40% - Accent4 2 7 3" xfId="640"/>
    <cellStyle name="40% - Accent4 2 8" xfId="641"/>
    <cellStyle name="40% - Accent4 2 8 2" xfId="642"/>
    <cellStyle name="40% - Accent4 2 9" xfId="643"/>
    <cellStyle name="40% - Accent4 3" xfId="644"/>
    <cellStyle name="40% - Accent4 4" xfId="645"/>
    <cellStyle name="40% - Accent4 5" xfId="646"/>
    <cellStyle name="40% - Accent4 6" xfId="647"/>
    <cellStyle name="40% - Accent4 7" xfId="648"/>
    <cellStyle name="40% - Accent4 8" xfId="649"/>
    <cellStyle name="40% - Accent4 9" xfId="650"/>
    <cellStyle name="40% - Accent5 10" xfId="651"/>
    <cellStyle name="40% - Accent5 11" xfId="652"/>
    <cellStyle name="40% - Accent5 12" xfId="653"/>
    <cellStyle name="40% - Accent5 13" xfId="654"/>
    <cellStyle name="40% - Accent5 14" xfId="655"/>
    <cellStyle name="40% - Accent5 15" xfId="656"/>
    <cellStyle name="40% - Accent5 16" xfId="657"/>
    <cellStyle name="40% - Accent5 17" xfId="658"/>
    <cellStyle name="40% - Accent5 18" xfId="659"/>
    <cellStyle name="40% - Accent5 2" xfId="26"/>
    <cellStyle name="40% - Accent5 2 2" xfId="660"/>
    <cellStyle name="40% - Accent5 2 2 2" xfId="661"/>
    <cellStyle name="40% - Accent5 2 2 2 2" xfId="662"/>
    <cellStyle name="40% - Accent5 2 2 3" xfId="663"/>
    <cellStyle name="40% - Accent5 2 3" xfId="664"/>
    <cellStyle name="40% - Accent5 2 3 2" xfId="665"/>
    <cellStyle name="40% - Accent5 2 3 2 2" xfId="666"/>
    <cellStyle name="40% - Accent5 2 3 3" xfId="667"/>
    <cellStyle name="40% - Accent5 2 4" xfId="668"/>
    <cellStyle name="40% - Accent5 2 4 2" xfId="669"/>
    <cellStyle name="40% - Accent5 2 4 2 2" xfId="670"/>
    <cellStyle name="40% - Accent5 2 4 3" xfId="671"/>
    <cellStyle name="40% - Accent5 2 5" xfId="672"/>
    <cellStyle name="40% - Accent5 2 5 2" xfId="673"/>
    <cellStyle name="40% - Accent5 2 5 2 2" xfId="674"/>
    <cellStyle name="40% - Accent5 2 5 3" xfId="675"/>
    <cellStyle name="40% - Accent5 2 6" xfId="676"/>
    <cellStyle name="40% - Accent5 2 6 2" xfId="677"/>
    <cellStyle name="40% - Accent5 2 6 2 2" xfId="678"/>
    <cellStyle name="40% - Accent5 2 6 3" xfId="679"/>
    <cellStyle name="40% - Accent5 2 7" xfId="680"/>
    <cellStyle name="40% - Accent5 2 7 2" xfId="681"/>
    <cellStyle name="40% - Accent5 2 7 2 2" xfId="682"/>
    <cellStyle name="40% - Accent5 2 7 3" xfId="683"/>
    <cellStyle name="40% - Accent5 2 8" xfId="684"/>
    <cellStyle name="40% - Accent5 2 8 2" xfId="685"/>
    <cellStyle name="40% - Accent5 2 9" xfId="686"/>
    <cellStyle name="40% - Accent5 3" xfId="687"/>
    <cellStyle name="40% - Accent5 4" xfId="688"/>
    <cellStyle name="40% - Accent5 5" xfId="689"/>
    <cellStyle name="40% - Accent5 6" xfId="690"/>
    <cellStyle name="40% - Accent5 7" xfId="691"/>
    <cellStyle name="40% - Accent5 8" xfId="692"/>
    <cellStyle name="40% - Accent5 9" xfId="693"/>
    <cellStyle name="40% - Accent6 10" xfId="694"/>
    <cellStyle name="40% - Accent6 11" xfId="695"/>
    <cellStyle name="40% - Accent6 12" xfId="696"/>
    <cellStyle name="40% - Accent6 13" xfId="697"/>
    <cellStyle name="40% - Accent6 14" xfId="698"/>
    <cellStyle name="40% - Accent6 15" xfId="699"/>
    <cellStyle name="40% - Accent6 16" xfId="700"/>
    <cellStyle name="40% - Accent6 17" xfId="701"/>
    <cellStyle name="40% - Accent6 18" xfId="702"/>
    <cellStyle name="40% - Accent6 2" xfId="27"/>
    <cellStyle name="40% - Accent6 2 2" xfId="703"/>
    <cellStyle name="40% - Accent6 2 2 2" xfId="704"/>
    <cellStyle name="40% - Accent6 2 2 2 2" xfId="705"/>
    <cellStyle name="40% - Accent6 2 2 3" xfId="706"/>
    <cellStyle name="40% - Accent6 2 3" xfId="707"/>
    <cellStyle name="40% - Accent6 2 3 2" xfId="708"/>
    <cellStyle name="40% - Accent6 2 3 2 2" xfId="709"/>
    <cellStyle name="40% - Accent6 2 3 3" xfId="710"/>
    <cellStyle name="40% - Accent6 2 4" xfId="711"/>
    <cellStyle name="40% - Accent6 2 4 2" xfId="712"/>
    <cellStyle name="40% - Accent6 2 4 2 2" xfId="713"/>
    <cellStyle name="40% - Accent6 2 4 3" xfId="714"/>
    <cellStyle name="40% - Accent6 2 5" xfId="715"/>
    <cellStyle name="40% - Accent6 2 5 2" xfId="716"/>
    <cellStyle name="40% - Accent6 2 5 2 2" xfId="717"/>
    <cellStyle name="40% - Accent6 2 5 3" xfId="718"/>
    <cellStyle name="40% - Accent6 2 6" xfId="719"/>
    <cellStyle name="40% - Accent6 2 6 2" xfId="720"/>
    <cellStyle name="40% - Accent6 2 6 2 2" xfId="721"/>
    <cellStyle name="40% - Accent6 2 6 3" xfId="722"/>
    <cellStyle name="40% - Accent6 2 7" xfId="723"/>
    <cellStyle name="40% - Accent6 2 7 2" xfId="724"/>
    <cellStyle name="40% - Accent6 2 7 2 2" xfId="725"/>
    <cellStyle name="40% - Accent6 2 7 3" xfId="726"/>
    <cellStyle name="40% - Accent6 2 8" xfId="727"/>
    <cellStyle name="40% - Accent6 2 8 2" xfId="728"/>
    <cellStyle name="40% - Accent6 2 9" xfId="729"/>
    <cellStyle name="40% - Accent6 3" xfId="730"/>
    <cellStyle name="40% - Accent6 4" xfId="731"/>
    <cellStyle name="40% - Accent6 5" xfId="732"/>
    <cellStyle name="40% - Accent6 6" xfId="733"/>
    <cellStyle name="40% - Accent6 7" xfId="734"/>
    <cellStyle name="40% - Accent6 8" xfId="735"/>
    <cellStyle name="40% - Accent6 9" xfId="736"/>
    <cellStyle name="60% - Accent1 10" xfId="737"/>
    <cellStyle name="60% - Accent1 11" xfId="738"/>
    <cellStyle name="60% - Accent1 12" xfId="739"/>
    <cellStyle name="60% - Accent1 13" xfId="740"/>
    <cellStyle name="60% - Accent1 14" xfId="741"/>
    <cellStyle name="60% - Accent1 15" xfId="742"/>
    <cellStyle name="60% - Accent1 16" xfId="743"/>
    <cellStyle name="60% - Accent1 17" xfId="744"/>
    <cellStyle name="60% - Accent1 18" xfId="745"/>
    <cellStyle name="60% - Accent1 2" xfId="28"/>
    <cellStyle name="60% - Accent1 2 2" xfId="746"/>
    <cellStyle name="60% - Accent1 2 3" xfId="747"/>
    <cellStyle name="60% - Accent1 2 4" xfId="748"/>
    <cellStyle name="60% - Accent1 2 5" xfId="749"/>
    <cellStyle name="60% - Accent1 3" xfId="750"/>
    <cellStyle name="60% - Accent1 4" xfId="751"/>
    <cellStyle name="60% - Accent1 5" xfId="752"/>
    <cellStyle name="60% - Accent1 6" xfId="753"/>
    <cellStyle name="60% - Accent1 7" xfId="754"/>
    <cellStyle name="60% - Accent1 8" xfId="755"/>
    <cellStyle name="60% - Accent1 9" xfId="756"/>
    <cellStyle name="60% - Accent2 10" xfId="757"/>
    <cellStyle name="60% - Accent2 11" xfId="758"/>
    <cellStyle name="60% - Accent2 12" xfId="759"/>
    <cellStyle name="60% - Accent2 13" xfId="760"/>
    <cellStyle name="60% - Accent2 14" xfId="761"/>
    <cellStyle name="60% - Accent2 15" xfId="762"/>
    <cellStyle name="60% - Accent2 16" xfId="763"/>
    <cellStyle name="60% - Accent2 17" xfId="764"/>
    <cellStyle name="60% - Accent2 18" xfId="765"/>
    <cellStyle name="60% - Accent2 2" xfId="29"/>
    <cellStyle name="60% - Accent2 2 2" xfId="766"/>
    <cellStyle name="60% - Accent2 2 3" xfId="767"/>
    <cellStyle name="60% - Accent2 2 4" xfId="768"/>
    <cellStyle name="60% - Accent2 2 5" xfId="769"/>
    <cellStyle name="60% - Accent2 3" xfId="770"/>
    <cellStyle name="60% - Accent2 4" xfId="771"/>
    <cellStyle name="60% - Accent2 5" xfId="772"/>
    <cellStyle name="60% - Accent2 6" xfId="773"/>
    <cellStyle name="60% - Accent2 7" xfId="774"/>
    <cellStyle name="60% - Accent2 8" xfId="775"/>
    <cellStyle name="60% - Accent2 9" xfId="776"/>
    <cellStyle name="60% - Accent3 10" xfId="777"/>
    <cellStyle name="60% - Accent3 11" xfId="778"/>
    <cellStyle name="60% - Accent3 12" xfId="779"/>
    <cellStyle name="60% - Accent3 13" xfId="780"/>
    <cellStyle name="60% - Accent3 14" xfId="781"/>
    <cellStyle name="60% - Accent3 15" xfId="782"/>
    <cellStyle name="60% - Accent3 16" xfId="783"/>
    <cellStyle name="60% - Accent3 17" xfId="784"/>
    <cellStyle name="60% - Accent3 18" xfId="785"/>
    <cellStyle name="60% - Accent3 2" xfId="30"/>
    <cellStyle name="60% - Accent3 2 2" xfId="786"/>
    <cellStyle name="60% - Accent3 2 3" xfId="787"/>
    <cellStyle name="60% - Accent3 2 4" xfId="788"/>
    <cellStyle name="60% - Accent3 2 5" xfId="789"/>
    <cellStyle name="60% - Accent3 3" xfId="790"/>
    <cellStyle name="60% - Accent3 4" xfId="791"/>
    <cellStyle name="60% - Accent3 5" xfId="792"/>
    <cellStyle name="60% - Accent3 6" xfId="793"/>
    <cellStyle name="60% - Accent3 7" xfId="794"/>
    <cellStyle name="60% - Accent3 8" xfId="795"/>
    <cellStyle name="60% - Accent3 9" xfId="796"/>
    <cellStyle name="60% - Accent4 10" xfId="797"/>
    <cellStyle name="60% - Accent4 11" xfId="798"/>
    <cellStyle name="60% - Accent4 12" xfId="799"/>
    <cellStyle name="60% - Accent4 13" xfId="800"/>
    <cellStyle name="60% - Accent4 14" xfId="801"/>
    <cellStyle name="60% - Accent4 15" xfId="802"/>
    <cellStyle name="60% - Accent4 16" xfId="803"/>
    <cellStyle name="60% - Accent4 17" xfId="804"/>
    <cellStyle name="60% - Accent4 18" xfId="805"/>
    <cellStyle name="60% - Accent4 2" xfId="31"/>
    <cellStyle name="60% - Accent4 2 2" xfId="806"/>
    <cellStyle name="60% - Accent4 2 3" xfId="807"/>
    <cellStyle name="60% - Accent4 2 4" xfId="808"/>
    <cellStyle name="60% - Accent4 2 5" xfId="809"/>
    <cellStyle name="60% - Accent4 3" xfId="810"/>
    <cellStyle name="60% - Accent4 4" xfId="811"/>
    <cellStyle name="60% - Accent4 5" xfId="812"/>
    <cellStyle name="60% - Accent4 6" xfId="813"/>
    <cellStyle name="60% - Accent4 7" xfId="814"/>
    <cellStyle name="60% - Accent4 8" xfId="815"/>
    <cellStyle name="60% - Accent4 9" xfId="816"/>
    <cellStyle name="60% - Accent5 10" xfId="817"/>
    <cellStyle name="60% - Accent5 11" xfId="818"/>
    <cellStyle name="60% - Accent5 12" xfId="819"/>
    <cellStyle name="60% - Accent5 13" xfId="820"/>
    <cellStyle name="60% - Accent5 14" xfId="821"/>
    <cellStyle name="60% - Accent5 15" xfId="822"/>
    <cellStyle name="60% - Accent5 16" xfId="823"/>
    <cellStyle name="60% - Accent5 17" xfId="824"/>
    <cellStyle name="60% - Accent5 18" xfId="825"/>
    <cellStyle name="60% - Accent5 2" xfId="32"/>
    <cellStyle name="60% - Accent5 2 2" xfId="826"/>
    <cellStyle name="60% - Accent5 2 3" xfId="827"/>
    <cellStyle name="60% - Accent5 2 4" xfId="828"/>
    <cellStyle name="60% - Accent5 2 5" xfId="829"/>
    <cellStyle name="60% - Accent5 3" xfId="830"/>
    <cellStyle name="60% - Accent5 4" xfId="831"/>
    <cellStyle name="60% - Accent5 5" xfId="832"/>
    <cellStyle name="60% - Accent5 6" xfId="833"/>
    <cellStyle name="60% - Accent5 7" xfId="834"/>
    <cellStyle name="60% - Accent5 8" xfId="835"/>
    <cellStyle name="60% - Accent5 9" xfId="836"/>
    <cellStyle name="60% - Accent6 10" xfId="837"/>
    <cellStyle name="60% - Accent6 11" xfId="838"/>
    <cellStyle name="60% - Accent6 12" xfId="839"/>
    <cellStyle name="60% - Accent6 13" xfId="840"/>
    <cellStyle name="60% - Accent6 14" xfId="841"/>
    <cellStyle name="60% - Accent6 15" xfId="842"/>
    <cellStyle name="60% - Accent6 16" xfId="843"/>
    <cellStyle name="60% - Accent6 17" xfId="844"/>
    <cellStyle name="60% - Accent6 18" xfId="845"/>
    <cellStyle name="60% - Accent6 2" xfId="33"/>
    <cellStyle name="60% - Accent6 2 2" xfId="846"/>
    <cellStyle name="60% - Accent6 2 3" xfId="847"/>
    <cellStyle name="60% - Accent6 2 4" xfId="848"/>
    <cellStyle name="60% - Accent6 2 5" xfId="849"/>
    <cellStyle name="60% - Accent6 3" xfId="850"/>
    <cellStyle name="60% - Accent6 4" xfId="851"/>
    <cellStyle name="60% - Accent6 5" xfId="852"/>
    <cellStyle name="60% - Accent6 6" xfId="853"/>
    <cellStyle name="60% - Accent6 7" xfId="854"/>
    <cellStyle name="60% - Accent6 8" xfId="855"/>
    <cellStyle name="60% - Accent6 9" xfId="856"/>
    <cellStyle name="Accent1 10" xfId="857"/>
    <cellStyle name="Accent1 11" xfId="858"/>
    <cellStyle name="Accent1 12" xfId="859"/>
    <cellStyle name="Accent1 13" xfId="860"/>
    <cellStyle name="Accent1 14" xfId="861"/>
    <cellStyle name="Accent1 15" xfId="862"/>
    <cellStyle name="Accent1 16" xfId="863"/>
    <cellStyle name="Accent1 17" xfId="864"/>
    <cellStyle name="Accent1 18" xfId="865"/>
    <cellStyle name="Accent1 2" xfId="34"/>
    <cellStyle name="Accent1 2 2" xfId="866"/>
    <cellStyle name="Accent1 2 3" xfId="867"/>
    <cellStyle name="Accent1 2 4" xfId="868"/>
    <cellStyle name="Accent1 2 5" xfId="869"/>
    <cellStyle name="Accent1 3" xfId="870"/>
    <cellStyle name="Accent1 4" xfId="871"/>
    <cellStyle name="Accent1 5" xfId="872"/>
    <cellStyle name="Accent1 6" xfId="873"/>
    <cellStyle name="Accent1 7" xfId="874"/>
    <cellStyle name="Accent1 8" xfId="875"/>
    <cellStyle name="Accent1 9" xfId="876"/>
    <cellStyle name="Accent2 10" xfId="877"/>
    <cellStyle name="Accent2 11" xfId="878"/>
    <cellStyle name="Accent2 12" xfId="879"/>
    <cellStyle name="Accent2 13" xfId="880"/>
    <cellStyle name="Accent2 14" xfId="881"/>
    <cellStyle name="Accent2 15" xfId="882"/>
    <cellStyle name="Accent2 16" xfId="883"/>
    <cellStyle name="Accent2 17" xfId="884"/>
    <cellStyle name="Accent2 18" xfId="885"/>
    <cellStyle name="Accent2 2" xfId="35"/>
    <cellStyle name="Accent2 2 2" xfId="886"/>
    <cellStyle name="Accent2 2 3" xfId="887"/>
    <cellStyle name="Accent2 2 4" xfId="888"/>
    <cellStyle name="Accent2 2 5" xfId="889"/>
    <cellStyle name="Accent2 3" xfId="890"/>
    <cellStyle name="Accent2 4" xfId="891"/>
    <cellStyle name="Accent2 5" xfId="892"/>
    <cellStyle name="Accent2 6" xfId="893"/>
    <cellStyle name="Accent2 7" xfId="894"/>
    <cellStyle name="Accent2 8" xfId="895"/>
    <cellStyle name="Accent2 9" xfId="896"/>
    <cellStyle name="Accent3 10" xfId="897"/>
    <cellStyle name="Accent3 11" xfId="898"/>
    <cellStyle name="Accent3 12" xfId="899"/>
    <cellStyle name="Accent3 13" xfId="900"/>
    <cellStyle name="Accent3 14" xfId="901"/>
    <cellStyle name="Accent3 15" xfId="902"/>
    <cellStyle name="Accent3 16" xfId="903"/>
    <cellStyle name="Accent3 17" xfId="904"/>
    <cellStyle name="Accent3 18" xfId="905"/>
    <cellStyle name="Accent3 2" xfId="36"/>
    <cellStyle name="Accent3 2 2" xfId="906"/>
    <cellStyle name="Accent3 2 3" xfId="907"/>
    <cellStyle name="Accent3 2 4" xfId="908"/>
    <cellStyle name="Accent3 2 5" xfId="909"/>
    <cellStyle name="Accent3 3" xfId="910"/>
    <cellStyle name="Accent3 4" xfId="911"/>
    <cellStyle name="Accent3 5" xfId="912"/>
    <cellStyle name="Accent3 6" xfId="913"/>
    <cellStyle name="Accent3 7" xfId="914"/>
    <cellStyle name="Accent3 8" xfId="915"/>
    <cellStyle name="Accent3 9" xfId="916"/>
    <cellStyle name="Accent4 10" xfId="917"/>
    <cellStyle name="Accent4 11" xfId="918"/>
    <cellStyle name="Accent4 12" xfId="919"/>
    <cellStyle name="Accent4 13" xfId="920"/>
    <cellStyle name="Accent4 14" xfId="921"/>
    <cellStyle name="Accent4 15" xfId="922"/>
    <cellStyle name="Accent4 16" xfId="923"/>
    <cellStyle name="Accent4 17" xfId="924"/>
    <cellStyle name="Accent4 18" xfId="925"/>
    <cellStyle name="Accent4 2" xfId="37"/>
    <cellStyle name="Accent4 2 2" xfId="926"/>
    <cellStyle name="Accent4 2 3" xfId="927"/>
    <cellStyle name="Accent4 2 4" xfId="928"/>
    <cellStyle name="Accent4 2 5" xfId="929"/>
    <cellStyle name="Accent4 3" xfId="930"/>
    <cellStyle name="Accent4 4" xfId="931"/>
    <cellStyle name="Accent4 5" xfId="932"/>
    <cellStyle name="Accent4 6" xfId="933"/>
    <cellStyle name="Accent4 7" xfId="934"/>
    <cellStyle name="Accent4 8" xfId="935"/>
    <cellStyle name="Accent4 9" xfId="936"/>
    <cellStyle name="Accent5 10" xfId="937"/>
    <cellStyle name="Accent5 11" xfId="938"/>
    <cellStyle name="Accent5 12" xfId="939"/>
    <cellStyle name="Accent5 13" xfId="940"/>
    <cellStyle name="Accent5 14" xfId="941"/>
    <cellStyle name="Accent5 15" xfId="942"/>
    <cellStyle name="Accent5 16" xfId="943"/>
    <cellStyle name="Accent5 17" xfId="944"/>
    <cellStyle name="Accent5 18" xfId="945"/>
    <cellStyle name="Accent5 2" xfId="38"/>
    <cellStyle name="Accent5 2 2" xfId="946"/>
    <cellStyle name="Accent5 2 3" xfId="947"/>
    <cellStyle name="Accent5 2 4" xfId="948"/>
    <cellStyle name="Accent5 2 5" xfId="949"/>
    <cellStyle name="Accent5 3" xfId="950"/>
    <cellStyle name="Accent5 4" xfId="951"/>
    <cellStyle name="Accent5 5" xfId="952"/>
    <cellStyle name="Accent5 6" xfId="953"/>
    <cellStyle name="Accent5 7" xfId="954"/>
    <cellStyle name="Accent5 8" xfId="955"/>
    <cellStyle name="Accent5 9" xfId="956"/>
    <cellStyle name="Accent6 10" xfId="957"/>
    <cellStyle name="Accent6 11" xfId="958"/>
    <cellStyle name="Accent6 12" xfId="959"/>
    <cellStyle name="Accent6 13" xfId="960"/>
    <cellStyle name="Accent6 14" xfId="961"/>
    <cellStyle name="Accent6 15" xfId="962"/>
    <cellStyle name="Accent6 16" xfId="963"/>
    <cellStyle name="Accent6 17" xfId="964"/>
    <cellStyle name="Accent6 18" xfId="965"/>
    <cellStyle name="Accent6 2" xfId="39"/>
    <cellStyle name="Accent6 2 2" xfId="966"/>
    <cellStyle name="Accent6 2 3" xfId="967"/>
    <cellStyle name="Accent6 2 4" xfId="968"/>
    <cellStyle name="Accent6 2 5" xfId="969"/>
    <cellStyle name="Accent6 3" xfId="970"/>
    <cellStyle name="Accent6 4" xfId="971"/>
    <cellStyle name="Accent6 5" xfId="972"/>
    <cellStyle name="Accent6 6" xfId="973"/>
    <cellStyle name="Accent6 7" xfId="974"/>
    <cellStyle name="Accent6 8" xfId="975"/>
    <cellStyle name="Accent6 9" xfId="976"/>
    <cellStyle name="Accounting" xfId="40"/>
    <cellStyle name="Actual Date" xfId="41"/>
    <cellStyle name="Actual Date 2" xfId="4280"/>
    <cellStyle name="ADDR" xfId="42"/>
    <cellStyle name="Agara" xfId="43"/>
    <cellStyle name="Align-top" xfId="4281"/>
    <cellStyle name="Alternate Rows" xfId="4282"/>
    <cellStyle name="Alternate Yellow" xfId="4283"/>
    <cellStyle name="Bad 10" xfId="977"/>
    <cellStyle name="Bad 11" xfId="978"/>
    <cellStyle name="Bad 12" xfId="979"/>
    <cellStyle name="Bad 13" xfId="980"/>
    <cellStyle name="Bad 14" xfId="981"/>
    <cellStyle name="Bad 15" xfId="982"/>
    <cellStyle name="Bad 16" xfId="983"/>
    <cellStyle name="Bad 17" xfId="984"/>
    <cellStyle name="Bad 18" xfId="985"/>
    <cellStyle name="Bad 2" xfId="44"/>
    <cellStyle name="Bad 2 2" xfId="986"/>
    <cellStyle name="Bad 2 3" xfId="987"/>
    <cellStyle name="Bad 2 4" xfId="988"/>
    <cellStyle name="Bad 2 5" xfId="989"/>
    <cellStyle name="Bad 3" xfId="990"/>
    <cellStyle name="Bad 4" xfId="991"/>
    <cellStyle name="Bad 5" xfId="992"/>
    <cellStyle name="Bad 6" xfId="993"/>
    <cellStyle name="Bad 7" xfId="994"/>
    <cellStyle name="Bad 8" xfId="995"/>
    <cellStyle name="Bad 9" xfId="996"/>
    <cellStyle name="Basic" xfId="4484"/>
    <cellStyle name="black" xfId="4158"/>
    <cellStyle name="blu" xfId="4159"/>
    <cellStyle name="Body" xfId="45"/>
    <cellStyle name="Bold Red" xfId="4284"/>
    <cellStyle name="bot" xfId="4160"/>
    <cellStyle name="Bottom bold border" xfId="46"/>
    <cellStyle name="Bottom single border" xfId="47"/>
    <cellStyle name="Bullet" xfId="4161"/>
    <cellStyle name="Bullet [0]" xfId="4485"/>
    <cellStyle name="Bullet [2]" xfId="4486"/>
    <cellStyle name="Bullet [4]" xfId="4487"/>
    <cellStyle name="Business Unit" xfId="48"/>
    <cellStyle name="c" xfId="4162"/>
    <cellStyle name="c," xfId="4163"/>
    <cellStyle name="c_HardInc " xfId="4164"/>
    <cellStyle name="c_HardInc _ITC Great Plains Formula 1-12-09a" xfId="4488"/>
    <cellStyle name="C00A" xfId="49"/>
    <cellStyle name="C00B" xfId="50"/>
    <cellStyle name="C00L" xfId="51"/>
    <cellStyle name="C01A" xfId="52"/>
    <cellStyle name="C01B" xfId="53"/>
    <cellStyle name="C01H" xfId="54"/>
    <cellStyle name="C01L" xfId="55"/>
    <cellStyle name="C02A" xfId="56"/>
    <cellStyle name="C02B" xfId="57"/>
    <cellStyle name="C02H" xfId="58"/>
    <cellStyle name="C02L" xfId="59"/>
    <cellStyle name="C03A" xfId="60"/>
    <cellStyle name="C03B" xfId="61"/>
    <cellStyle name="C03H" xfId="62"/>
    <cellStyle name="C03L" xfId="63"/>
    <cellStyle name="C04A" xfId="64"/>
    <cellStyle name="C04B" xfId="65"/>
    <cellStyle name="C04H" xfId="66"/>
    <cellStyle name="C04L" xfId="67"/>
    <cellStyle name="C05A" xfId="68"/>
    <cellStyle name="C05B" xfId="69"/>
    <cellStyle name="C05H" xfId="70"/>
    <cellStyle name="C05L" xfId="71"/>
    <cellStyle name="C05L 2" xfId="4165"/>
    <cellStyle name="C06A" xfId="72"/>
    <cellStyle name="C06B" xfId="73"/>
    <cellStyle name="C06H" xfId="74"/>
    <cellStyle name="C06L" xfId="75"/>
    <cellStyle name="C07A" xfId="76"/>
    <cellStyle name="C07B" xfId="77"/>
    <cellStyle name="C07H" xfId="78"/>
    <cellStyle name="C07L" xfId="79"/>
    <cellStyle name="c1" xfId="4166"/>
    <cellStyle name="c1," xfId="4167"/>
    <cellStyle name="c2" xfId="4168"/>
    <cellStyle name="c2," xfId="4169"/>
    <cellStyle name="c3" xfId="4170"/>
    <cellStyle name="Calculation 10" xfId="997"/>
    <cellStyle name="Calculation 11" xfId="998"/>
    <cellStyle name="Calculation 12" xfId="999"/>
    <cellStyle name="Calculation 13" xfId="1000"/>
    <cellStyle name="Calculation 14" xfId="1001"/>
    <cellStyle name="Calculation 15" xfId="1002"/>
    <cellStyle name="Calculation 16" xfId="1003"/>
    <cellStyle name="Calculation 17" xfId="1004"/>
    <cellStyle name="Calculation 18" xfId="1005"/>
    <cellStyle name="Calculation 2" xfId="80"/>
    <cellStyle name="Calculation 2 2" xfId="1006"/>
    <cellStyle name="Calculation 2 3" xfId="1007"/>
    <cellStyle name="Calculation 2 4" xfId="1008"/>
    <cellStyle name="Calculation 2 5" xfId="1009"/>
    <cellStyle name="Calculation 3" xfId="1010"/>
    <cellStyle name="Calculation 4" xfId="1011"/>
    <cellStyle name="Calculation 5" xfId="1012"/>
    <cellStyle name="Calculation 6" xfId="1013"/>
    <cellStyle name="Calculation 7" xfId="1014"/>
    <cellStyle name="Calculation 8" xfId="1015"/>
    <cellStyle name="Calculation 9" xfId="1016"/>
    <cellStyle name="Cancel" xfId="4285"/>
    <cellStyle name="cas" xfId="4171"/>
    <cellStyle name="Centered Heading" xfId="4172"/>
    <cellStyle name="Check Cell 10" xfId="1017"/>
    <cellStyle name="Check Cell 11" xfId="1018"/>
    <cellStyle name="Check Cell 12" xfId="1019"/>
    <cellStyle name="Check Cell 13" xfId="1020"/>
    <cellStyle name="Check Cell 14" xfId="1021"/>
    <cellStyle name="Check Cell 15" xfId="1022"/>
    <cellStyle name="Check Cell 16" xfId="1023"/>
    <cellStyle name="Check Cell 17" xfId="1024"/>
    <cellStyle name="Check Cell 18" xfId="1025"/>
    <cellStyle name="Check Cell 2" xfId="81"/>
    <cellStyle name="Check Cell 2 2" xfId="1026"/>
    <cellStyle name="Check Cell 2 3" xfId="1027"/>
    <cellStyle name="Check Cell 2 4" xfId="1028"/>
    <cellStyle name="Check Cell 2 5" xfId="1029"/>
    <cellStyle name="Check Cell 3" xfId="1030"/>
    <cellStyle name="Check Cell 4" xfId="1031"/>
    <cellStyle name="Check Cell 5" xfId="1032"/>
    <cellStyle name="Check Cell 6" xfId="1033"/>
    <cellStyle name="Check Cell 7" xfId="1034"/>
    <cellStyle name="Check Cell 8" xfId="1035"/>
    <cellStyle name="Check Cell 9" xfId="1036"/>
    <cellStyle name="Column.Head" xfId="4286"/>
    <cellStyle name="Comma" xfId="4665" builtinId="3"/>
    <cellStyle name="Comma  - Style1" xfId="4489"/>
    <cellStyle name="Comma  - Style2" xfId="4490"/>
    <cellStyle name="Comma  - Style3" xfId="4491"/>
    <cellStyle name="Comma  - Style4" xfId="4492"/>
    <cellStyle name="Comma  - Style5" xfId="4493"/>
    <cellStyle name="Comma  - Style6" xfId="4494"/>
    <cellStyle name="Comma  - Style7" xfId="4495"/>
    <cellStyle name="Comma  - Style8" xfId="4496"/>
    <cellStyle name="Comma [0] 2" xfId="1037"/>
    <cellStyle name="Comma [0] 3" xfId="4173"/>
    <cellStyle name="Comma [0] 3 2" xfId="4683"/>
    <cellStyle name="Comma [0] 4" xfId="4174"/>
    <cellStyle name="Comma [1]" xfId="4287"/>
    <cellStyle name="Comma [2]" xfId="4288"/>
    <cellStyle name="Comma [3]" xfId="4497"/>
    <cellStyle name="Comma 0" xfId="82"/>
    <cellStyle name="Comma 0.0" xfId="4175"/>
    <cellStyle name="Comma 0.00" xfId="4176"/>
    <cellStyle name="Comma 0.000" xfId="4177"/>
    <cellStyle name="Comma 0.0000" xfId="4178"/>
    <cellStyle name="Comma 10" xfId="190"/>
    <cellStyle name="Comma 10 2" xfId="1038"/>
    <cellStyle name="Comma 10 2 2" xfId="1039"/>
    <cellStyle name="Comma 10 3" xfId="1040"/>
    <cellStyle name="Comma 10 4" xfId="4498"/>
    <cellStyle name="Comma 10 5" xfId="4499"/>
    <cellStyle name="Comma 10 6" xfId="4477"/>
    <cellStyle name="Comma 11" xfId="1041"/>
    <cellStyle name="Comma 12" xfId="1042"/>
    <cellStyle name="Comma 12 2" xfId="4684"/>
    <cellStyle name="Comma 12 2 2" xfId="4690"/>
    <cellStyle name="Comma 12 3" xfId="4678"/>
    <cellStyle name="Comma 13" xfId="1043"/>
    <cellStyle name="Comma 13 2" xfId="4681"/>
    <cellStyle name="Comma 14" xfId="1044"/>
    <cellStyle name="Comma 15" xfId="1045"/>
    <cellStyle name="Comma 16" xfId="1046"/>
    <cellStyle name="Comma 17" xfId="1047"/>
    <cellStyle name="Comma 18" xfId="1048"/>
    <cellStyle name="Comma 19" xfId="1049"/>
    <cellStyle name="Comma 2" xfId="2"/>
    <cellStyle name="Comma 2 2" xfId="1050"/>
    <cellStyle name="Comma 2 2 2" xfId="4685"/>
    <cellStyle name="Comma 2 3" xfId="1051"/>
    <cellStyle name="Comma 2 3 2" xfId="1052"/>
    <cellStyle name="Comma 2 3 2 2" xfId="1053"/>
    <cellStyle name="Comma 2 3 3" xfId="1054"/>
    <cellStyle name="Comma 2 4" xfId="1055"/>
    <cellStyle name="Comma 2 5" xfId="1056"/>
    <cellStyle name="Comma 20" xfId="1057"/>
    <cellStyle name="Comma 21" xfId="1058"/>
    <cellStyle name="Comma 22" xfId="1059"/>
    <cellStyle name="Comma 23" xfId="1060"/>
    <cellStyle name="Comma 24" xfId="1061"/>
    <cellStyle name="Comma 25" xfId="1062"/>
    <cellStyle name="Comma 26" xfId="1063"/>
    <cellStyle name="Comma 27" xfId="1064"/>
    <cellStyle name="Comma 28" xfId="1065"/>
    <cellStyle name="Comma 29" xfId="1066"/>
    <cellStyle name="Comma 3" xfId="83"/>
    <cellStyle name="Comma 3 2" xfId="1067"/>
    <cellStyle name="Comma 3 3" xfId="1068"/>
    <cellStyle name="Comma 3 3 2" xfId="1069"/>
    <cellStyle name="Comma 3 4" xfId="1070"/>
    <cellStyle name="Comma 30" xfId="1071"/>
    <cellStyle name="Comma 31" xfId="1072"/>
    <cellStyle name="Comma 32" xfId="1073"/>
    <cellStyle name="Comma 33" xfId="1074"/>
    <cellStyle name="Comma 34" xfId="1075"/>
    <cellStyle name="Comma 35" xfId="1076"/>
    <cellStyle name="Comma 36" xfId="1077"/>
    <cellStyle name="Comma 37" xfId="1078"/>
    <cellStyle name="Comma 38" xfId="1079"/>
    <cellStyle name="Comma 39" xfId="1080"/>
    <cellStyle name="Comma 4" xfId="84"/>
    <cellStyle name="Comma 4 2" xfId="1081"/>
    <cellStyle name="Comma 40" xfId="1082"/>
    <cellStyle name="Comma 41" xfId="1083"/>
    <cellStyle name="Comma 42" xfId="1084"/>
    <cellStyle name="Comma 43" xfId="1085"/>
    <cellStyle name="Comma 44" xfId="1086"/>
    <cellStyle name="Comma 45" xfId="1087"/>
    <cellStyle name="Comma 46" xfId="1088"/>
    <cellStyle name="Comma 47" xfId="1089"/>
    <cellStyle name="Comma 48" xfId="1090"/>
    <cellStyle name="Comma 49" xfId="1091"/>
    <cellStyle name="Comma 5" xfId="1092"/>
    <cellStyle name="Comma 5 2" xfId="1093"/>
    <cellStyle name="Comma 50" xfId="1094"/>
    <cellStyle name="Comma 51" xfId="1095"/>
    <cellStyle name="Comma 52" xfId="1096"/>
    <cellStyle name="Comma 53" xfId="1097"/>
    <cellStyle name="Comma 54" xfId="1098"/>
    <cellStyle name="Comma 55" xfId="1099"/>
    <cellStyle name="Comma 56" xfId="1100"/>
    <cellStyle name="Comma 57" xfId="1101"/>
    <cellStyle name="Comma 57 2" xfId="1102"/>
    <cellStyle name="Comma 58" xfId="1103"/>
    <cellStyle name="Comma 58 2" xfId="1104"/>
    <cellStyle name="Comma 59" xfId="1105"/>
    <cellStyle name="Comma 59 2" xfId="1106"/>
    <cellStyle name="Comma 6" xfId="1107"/>
    <cellStyle name="Comma 6 2" xfId="1108"/>
    <cellStyle name="Comma 6 3" xfId="4289"/>
    <cellStyle name="Comma 60" xfId="1109"/>
    <cellStyle name="Comma 60 2" xfId="1110"/>
    <cellStyle name="Comma 61" xfId="1111"/>
    <cellStyle name="Comma 61 2" xfId="1112"/>
    <cellStyle name="Comma 62" xfId="1113"/>
    <cellStyle name="Comma 62 2" xfId="1114"/>
    <cellStyle name="Comma 63" xfId="1115"/>
    <cellStyle name="Comma 63 2" xfId="1116"/>
    <cellStyle name="Comma 64" xfId="1117"/>
    <cellStyle name="Comma 64 2" xfId="1118"/>
    <cellStyle name="Comma 65" xfId="1119"/>
    <cellStyle name="Comma 65 2" xfId="1120"/>
    <cellStyle name="Comma 66" xfId="1121"/>
    <cellStyle name="Comma 66 2" xfId="1122"/>
    <cellStyle name="Comma 67" xfId="1123"/>
    <cellStyle name="Comma 67 2" xfId="1124"/>
    <cellStyle name="Comma 68" xfId="1125"/>
    <cellStyle name="Comma 68 2" xfId="1126"/>
    <cellStyle name="Comma 69" xfId="1127"/>
    <cellStyle name="Comma 69 2" xfId="1128"/>
    <cellStyle name="Comma 7" xfId="1129"/>
    <cellStyle name="Comma 7 2" xfId="4290"/>
    <cellStyle name="Comma 70" xfId="1130"/>
    <cellStyle name="Comma 70 2" xfId="1131"/>
    <cellStyle name="Comma 71" xfId="1132"/>
    <cellStyle name="Comma 71 2" xfId="1133"/>
    <cellStyle name="Comma 72" xfId="1134"/>
    <cellStyle name="Comma 72 2" xfId="1135"/>
    <cellStyle name="Comma 73" xfId="1136"/>
    <cellStyle name="Comma 73 2" xfId="1137"/>
    <cellStyle name="Comma 74" xfId="1138"/>
    <cellStyle name="Comma 74 2" xfId="1139"/>
    <cellStyle name="Comma 75" xfId="1140"/>
    <cellStyle name="Comma 75 2" xfId="1141"/>
    <cellStyle name="Comma 76" xfId="1142"/>
    <cellStyle name="Comma 76 2" xfId="1143"/>
    <cellStyle name="Comma 77" xfId="1144"/>
    <cellStyle name="Comma 77 2" xfId="1145"/>
    <cellStyle name="Comma 78" xfId="1146"/>
    <cellStyle name="Comma 78 2" xfId="1147"/>
    <cellStyle name="Comma 79" xfId="1148"/>
    <cellStyle name="Comma 79 2" xfId="1149"/>
    <cellStyle name="Comma 8" xfId="1150"/>
    <cellStyle name="Comma 8 2" xfId="4291"/>
    <cellStyle name="Comma 8 2 2" xfId="4500"/>
    <cellStyle name="Comma 8 2 3" xfId="4501"/>
    <cellStyle name="Comma 8 2 4" xfId="4502"/>
    <cellStyle name="Comma 8 2 5" xfId="4503"/>
    <cellStyle name="Comma 8 3" xfId="4504"/>
    <cellStyle name="Comma 8 4" xfId="4505"/>
    <cellStyle name="Comma 8 5" xfId="4506"/>
    <cellStyle name="Comma 8 6" xfId="4507"/>
    <cellStyle name="Comma 80" xfId="1151"/>
    <cellStyle name="Comma 80 2" xfId="1152"/>
    <cellStyle name="Comma 81" xfId="1153"/>
    <cellStyle name="Comma 81 2" xfId="1154"/>
    <cellStyle name="Comma 82" xfId="1155"/>
    <cellStyle name="Comma 82 2" xfId="1156"/>
    <cellStyle name="Comma 83" xfId="1157"/>
    <cellStyle name="Comma 83 2" xfId="1158"/>
    <cellStyle name="Comma 84" xfId="1159"/>
    <cellStyle name="Comma 84 2" xfId="1160"/>
    <cellStyle name="Comma 85" xfId="1161"/>
    <cellStyle name="Comma 85 2" xfId="1162"/>
    <cellStyle name="Comma 86" xfId="1163"/>
    <cellStyle name="Comma 86 2" xfId="1164"/>
    <cellStyle name="Comma 87" xfId="1165"/>
    <cellStyle name="Comma 87 2" xfId="1166"/>
    <cellStyle name="Comma 88" xfId="1167"/>
    <cellStyle name="Comma 88 2" xfId="1168"/>
    <cellStyle name="Comma 89" xfId="1169"/>
    <cellStyle name="Comma 89 2" xfId="1170"/>
    <cellStyle name="Comma 9" xfId="1171"/>
    <cellStyle name="Comma 9 2" xfId="4508"/>
    <cellStyle name="Comma 90" xfId="1172"/>
    <cellStyle name="Comma 91" xfId="1173"/>
    <cellStyle name="Comma 92" xfId="1174"/>
    <cellStyle name="Comma 93" xfId="1175"/>
    <cellStyle name="Comma 94" xfId="1176"/>
    <cellStyle name="Comma 95" xfId="4472"/>
    <cellStyle name="Comma Input" xfId="4509"/>
    <cellStyle name="Comma(0)" xfId="4292"/>
    <cellStyle name="Comma, No spaces" xfId="4293"/>
    <cellStyle name="Comma0" xfId="4179"/>
    <cellStyle name="Comma0 - Style1" xfId="85"/>
    <cellStyle name="Comma0 - Style2" xfId="4294"/>
    <cellStyle name="Comma0_currency data update to Oct" xfId="4295"/>
    <cellStyle name="Comma1" xfId="4296"/>
    <cellStyle name="Comma1 2" xfId="4297"/>
    <cellStyle name="Comma2" xfId="4298"/>
    <cellStyle name="Comma2 2" xfId="4299"/>
    <cellStyle name="Company Name" xfId="4180"/>
    <cellStyle name="Config Data" xfId="4181"/>
    <cellStyle name="ConvVer" xfId="4300"/>
    <cellStyle name="cost_per_kw" xfId="4301"/>
    <cellStyle name="Currency" xfId="1" builtinId="4"/>
    <cellStyle name="Currency [1]" xfId="4510"/>
    <cellStyle name="Currency [2]" xfId="4302"/>
    <cellStyle name="Currency [3]" xfId="4511"/>
    <cellStyle name="Currency [4]" xfId="4303"/>
    <cellStyle name="Currency 0.0" xfId="4182"/>
    <cellStyle name="Currency 0.00" xfId="4183"/>
    <cellStyle name="Currency 0.000" xfId="4184"/>
    <cellStyle name="Currency 0.0000" xfId="4185"/>
    <cellStyle name="Currency 10" xfId="1177"/>
    <cellStyle name="Currency 10 2" xfId="1178"/>
    <cellStyle name="Currency 10 2 2" xfId="1179"/>
    <cellStyle name="Currency 10 3" xfId="1180"/>
    <cellStyle name="Currency 10 3 2" xfId="1181"/>
    <cellStyle name="Currency 10 4" xfId="1182"/>
    <cellStyle name="Currency 10 4 2" xfId="1183"/>
    <cellStyle name="Currency 10 5" xfId="1184"/>
    <cellStyle name="Currency 10 5 2" xfId="1185"/>
    <cellStyle name="Currency 10 6" xfId="1186"/>
    <cellStyle name="Currency 11" xfId="1187"/>
    <cellStyle name="Currency 11 2" xfId="1188"/>
    <cellStyle name="Currency 11 2 2" xfId="1189"/>
    <cellStyle name="Currency 11 3" xfId="1190"/>
    <cellStyle name="Currency 11 3 2" xfId="1191"/>
    <cellStyle name="Currency 11 4" xfId="1192"/>
    <cellStyle name="Currency 11 4 2" xfId="1193"/>
    <cellStyle name="Currency 11 5" xfId="1194"/>
    <cellStyle name="Currency 11 5 2" xfId="1195"/>
    <cellStyle name="Currency 11 6" xfId="1196"/>
    <cellStyle name="Currency 12" xfId="1197"/>
    <cellStyle name="Currency 12 10" xfId="1198"/>
    <cellStyle name="Currency 12 10 2" xfId="1199"/>
    <cellStyle name="Currency 12 10 2 2" xfId="1200"/>
    <cellStyle name="Currency 12 10 3" xfId="1201"/>
    <cellStyle name="Currency 12 11" xfId="1202"/>
    <cellStyle name="Currency 12 11 2" xfId="1203"/>
    <cellStyle name="Currency 12 11 2 2" xfId="1204"/>
    <cellStyle name="Currency 12 11 3" xfId="1205"/>
    <cellStyle name="Currency 12 12" xfId="1206"/>
    <cellStyle name="Currency 12 12 2" xfId="1207"/>
    <cellStyle name="Currency 12 12 2 2" xfId="1208"/>
    <cellStyle name="Currency 12 12 3" xfId="1209"/>
    <cellStyle name="Currency 12 13" xfId="1210"/>
    <cellStyle name="Currency 12 13 2" xfId="1211"/>
    <cellStyle name="Currency 12 13 2 2" xfId="1212"/>
    <cellStyle name="Currency 12 13 3" xfId="1213"/>
    <cellStyle name="Currency 12 14" xfId="1214"/>
    <cellStyle name="Currency 12 14 2" xfId="1215"/>
    <cellStyle name="Currency 12 14 2 2" xfId="1216"/>
    <cellStyle name="Currency 12 14 3" xfId="1217"/>
    <cellStyle name="Currency 12 15" xfId="1218"/>
    <cellStyle name="Currency 12 15 2" xfId="1219"/>
    <cellStyle name="Currency 12 15 2 2" xfId="1220"/>
    <cellStyle name="Currency 12 15 3" xfId="1221"/>
    <cellStyle name="Currency 12 16" xfId="1222"/>
    <cellStyle name="Currency 12 16 2" xfId="1223"/>
    <cellStyle name="Currency 12 17" xfId="1224"/>
    <cellStyle name="Currency 12 17 2" xfId="1225"/>
    <cellStyle name="Currency 12 18" xfId="1226"/>
    <cellStyle name="Currency 12 2" xfId="1227"/>
    <cellStyle name="Currency 12 2 2" xfId="1228"/>
    <cellStyle name="Currency 12 2 2 2" xfId="1229"/>
    <cellStyle name="Currency 12 2 3" xfId="1230"/>
    <cellStyle name="Currency 12 3" xfId="1231"/>
    <cellStyle name="Currency 12 3 2" xfId="1232"/>
    <cellStyle name="Currency 12 3 2 2" xfId="1233"/>
    <cellStyle name="Currency 12 3 3" xfId="1234"/>
    <cellStyle name="Currency 12 4" xfId="1235"/>
    <cellStyle name="Currency 12 4 2" xfId="1236"/>
    <cellStyle name="Currency 12 4 2 2" xfId="1237"/>
    <cellStyle name="Currency 12 4 3" xfId="1238"/>
    <cellStyle name="Currency 12 5" xfId="1239"/>
    <cellStyle name="Currency 12 5 2" xfId="1240"/>
    <cellStyle name="Currency 12 5 2 2" xfId="1241"/>
    <cellStyle name="Currency 12 5 3" xfId="1242"/>
    <cellStyle name="Currency 12 6" xfId="1243"/>
    <cellStyle name="Currency 12 6 2" xfId="1244"/>
    <cellStyle name="Currency 12 6 2 2" xfId="1245"/>
    <cellStyle name="Currency 12 6 3" xfId="1246"/>
    <cellStyle name="Currency 12 7" xfId="1247"/>
    <cellStyle name="Currency 12 7 2" xfId="1248"/>
    <cellStyle name="Currency 12 7 2 2" xfId="1249"/>
    <cellStyle name="Currency 12 7 3" xfId="1250"/>
    <cellStyle name="Currency 12 8" xfId="1251"/>
    <cellStyle name="Currency 12 8 2" xfId="1252"/>
    <cellStyle name="Currency 12 8 2 2" xfId="1253"/>
    <cellStyle name="Currency 12 8 3" xfId="1254"/>
    <cellStyle name="Currency 12 9" xfId="1255"/>
    <cellStyle name="Currency 12 9 2" xfId="1256"/>
    <cellStyle name="Currency 12 9 2 2" xfId="1257"/>
    <cellStyle name="Currency 12 9 3" xfId="1258"/>
    <cellStyle name="Currency 13" xfId="4672"/>
    <cellStyle name="Currency 15" xfId="1259"/>
    <cellStyle name="Currency 15 10" xfId="1260"/>
    <cellStyle name="Currency 15 10 2" xfId="1261"/>
    <cellStyle name="Currency 15 10 2 2" xfId="1262"/>
    <cellStyle name="Currency 15 10 3" xfId="1263"/>
    <cellStyle name="Currency 15 11" xfId="1264"/>
    <cellStyle name="Currency 15 11 2" xfId="1265"/>
    <cellStyle name="Currency 15 11 2 2" xfId="1266"/>
    <cellStyle name="Currency 15 11 3" xfId="1267"/>
    <cellStyle name="Currency 15 12" xfId="1268"/>
    <cellStyle name="Currency 15 12 2" xfId="1269"/>
    <cellStyle name="Currency 15 12 2 2" xfId="1270"/>
    <cellStyle name="Currency 15 12 3" xfId="1271"/>
    <cellStyle name="Currency 15 13" xfId="1272"/>
    <cellStyle name="Currency 15 13 2" xfId="1273"/>
    <cellStyle name="Currency 15 13 2 2" xfId="1274"/>
    <cellStyle name="Currency 15 13 3" xfId="1275"/>
    <cellStyle name="Currency 15 14" xfId="1276"/>
    <cellStyle name="Currency 15 14 2" xfId="1277"/>
    <cellStyle name="Currency 15 14 2 2" xfId="1278"/>
    <cellStyle name="Currency 15 14 3" xfId="1279"/>
    <cellStyle name="Currency 15 15" xfId="1280"/>
    <cellStyle name="Currency 15 15 2" xfId="1281"/>
    <cellStyle name="Currency 15 15 2 2" xfId="1282"/>
    <cellStyle name="Currency 15 15 3" xfId="1283"/>
    <cellStyle name="Currency 15 16" xfId="1284"/>
    <cellStyle name="Currency 15 16 2" xfId="1285"/>
    <cellStyle name="Currency 15 17" xfId="1286"/>
    <cellStyle name="Currency 15 17 2" xfId="1287"/>
    <cellStyle name="Currency 15 18" xfId="1288"/>
    <cellStyle name="Currency 15 2" xfId="1289"/>
    <cellStyle name="Currency 15 2 2" xfId="1290"/>
    <cellStyle name="Currency 15 2 2 2" xfId="1291"/>
    <cellStyle name="Currency 15 2 3" xfId="1292"/>
    <cellStyle name="Currency 15 3" xfId="1293"/>
    <cellStyle name="Currency 15 3 2" xfId="1294"/>
    <cellStyle name="Currency 15 3 2 2" xfId="1295"/>
    <cellStyle name="Currency 15 3 3" xfId="1296"/>
    <cellStyle name="Currency 15 4" xfId="1297"/>
    <cellStyle name="Currency 15 4 2" xfId="1298"/>
    <cellStyle name="Currency 15 4 2 2" xfId="1299"/>
    <cellStyle name="Currency 15 4 3" xfId="1300"/>
    <cellStyle name="Currency 15 5" xfId="1301"/>
    <cellStyle name="Currency 15 5 2" xfId="1302"/>
    <cellStyle name="Currency 15 5 2 2" xfId="1303"/>
    <cellStyle name="Currency 15 5 3" xfId="1304"/>
    <cellStyle name="Currency 15 6" xfId="1305"/>
    <cellStyle name="Currency 15 6 2" xfId="1306"/>
    <cellStyle name="Currency 15 6 2 2" xfId="1307"/>
    <cellStyle name="Currency 15 6 3" xfId="1308"/>
    <cellStyle name="Currency 15 7" xfId="1309"/>
    <cellStyle name="Currency 15 7 2" xfId="1310"/>
    <cellStyle name="Currency 15 7 2 2" xfId="1311"/>
    <cellStyle name="Currency 15 7 3" xfId="1312"/>
    <cellStyle name="Currency 15 8" xfId="1313"/>
    <cellStyle name="Currency 15 8 2" xfId="1314"/>
    <cellStyle name="Currency 15 8 2 2" xfId="1315"/>
    <cellStyle name="Currency 15 8 3" xfId="1316"/>
    <cellStyle name="Currency 15 9" xfId="1317"/>
    <cellStyle name="Currency 15 9 2" xfId="1318"/>
    <cellStyle name="Currency 15 9 2 2" xfId="1319"/>
    <cellStyle name="Currency 15 9 3" xfId="1320"/>
    <cellStyle name="Currency 2" xfId="86"/>
    <cellStyle name="Currency 2 2" xfId="1321"/>
    <cellStyle name="Currency 2 2 2" xfId="1322"/>
    <cellStyle name="Currency 2 2 2 2" xfId="1323"/>
    <cellStyle name="Currency 2 2 3" xfId="1324"/>
    <cellStyle name="Currency 2 3" xfId="1325"/>
    <cellStyle name="Currency 2 3 2" xfId="1326"/>
    <cellStyle name="Currency 2 3 2 2" xfId="1327"/>
    <cellStyle name="Currency 2 3 3" xfId="1328"/>
    <cellStyle name="Currency 2 3 3 2" xfId="1329"/>
    <cellStyle name="Currency 2 3 4" xfId="1330"/>
    <cellStyle name="Currency 2 4" xfId="1331"/>
    <cellStyle name="Currency 3" xfId="1332"/>
    <cellStyle name="Currency 3 2" xfId="1333"/>
    <cellStyle name="Currency 3 3" xfId="1334"/>
    <cellStyle name="Currency 34" xfId="1335"/>
    <cellStyle name="Currency 34 10" xfId="1336"/>
    <cellStyle name="Currency 34 10 2" xfId="1337"/>
    <cellStyle name="Currency 34 10 2 2" xfId="1338"/>
    <cellStyle name="Currency 34 10 3" xfId="1339"/>
    <cellStyle name="Currency 34 11" xfId="1340"/>
    <cellStyle name="Currency 34 11 2" xfId="1341"/>
    <cellStyle name="Currency 34 11 2 2" xfId="1342"/>
    <cellStyle name="Currency 34 11 3" xfId="1343"/>
    <cellStyle name="Currency 34 12" xfId="1344"/>
    <cellStyle name="Currency 34 12 2" xfId="1345"/>
    <cellStyle name="Currency 34 12 2 2" xfId="1346"/>
    <cellStyle name="Currency 34 12 3" xfId="1347"/>
    <cellStyle name="Currency 34 13" xfId="1348"/>
    <cellStyle name="Currency 34 13 2" xfId="1349"/>
    <cellStyle name="Currency 34 13 2 2" xfId="1350"/>
    <cellStyle name="Currency 34 13 3" xfId="1351"/>
    <cellStyle name="Currency 34 14" xfId="1352"/>
    <cellStyle name="Currency 34 14 2" xfId="1353"/>
    <cellStyle name="Currency 34 14 2 2" xfId="1354"/>
    <cellStyle name="Currency 34 14 3" xfId="1355"/>
    <cellStyle name="Currency 34 15" xfId="1356"/>
    <cellStyle name="Currency 34 15 2" xfId="1357"/>
    <cellStyle name="Currency 34 15 2 2" xfId="1358"/>
    <cellStyle name="Currency 34 15 3" xfId="1359"/>
    <cellStyle name="Currency 34 16" xfId="1360"/>
    <cellStyle name="Currency 34 16 2" xfId="1361"/>
    <cellStyle name="Currency 34 17" xfId="1362"/>
    <cellStyle name="Currency 34 17 2" xfId="1363"/>
    <cellStyle name="Currency 34 18" xfId="1364"/>
    <cellStyle name="Currency 34 2" xfId="1365"/>
    <cellStyle name="Currency 34 2 2" xfId="1366"/>
    <cellStyle name="Currency 34 2 2 2" xfId="1367"/>
    <cellStyle name="Currency 34 2 3" xfId="1368"/>
    <cellStyle name="Currency 34 3" xfId="1369"/>
    <cellStyle name="Currency 34 3 2" xfId="1370"/>
    <cellStyle name="Currency 34 3 2 2" xfId="1371"/>
    <cellStyle name="Currency 34 3 3" xfId="1372"/>
    <cellStyle name="Currency 34 4" xfId="1373"/>
    <cellStyle name="Currency 34 4 2" xfId="1374"/>
    <cellStyle name="Currency 34 4 2 2" xfId="1375"/>
    <cellStyle name="Currency 34 4 3" xfId="1376"/>
    <cellStyle name="Currency 34 5" xfId="1377"/>
    <cellStyle name="Currency 34 5 2" xfId="1378"/>
    <cellStyle name="Currency 34 5 2 2" xfId="1379"/>
    <cellStyle name="Currency 34 5 3" xfId="1380"/>
    <cellStyle name="Currency 34 6" xfId="1381"/>
    <cellStyle name="Currency 34 6 2" xfId="1382"/>
    <cellStyle name="Currency 34 6 2 2" xfId="1383"/>
    <cellStyle name="Currency 34 6 3" xfId="1384"/>
    <cellStyle name="Currency 34 7" xfId="1385"/>
    <cellStyle name="Currency 34 7 2" xfId="1386"/>
    <cellStyle name="Currency 34 7 2 2" xfId="1387"/>
    <cellStyle name="Currency 34 7 3" xfId="1388"/>
    <cellStyle name="Currency 34 8" xfId="1389"/>
    <cellStyle name="Currency 34 8 2" xfId="1390"/>
    <cellStyle name="Currency 34 8 2 2" xfId="1391"/>
    <cellStyle name="Currency 34 8 3" xfId="1392"/>
    <cellStyle name="Currency 34 9" xfId="1393"/>
    <cellStyle name="Currency 34 9 2" xfId="1394"/>
    <cellStyle name="Currency 34 9 2 2" xfId="1395"/>
    <cellStyle name="Currency 34 9 3" xfId="1396"/>
    <cellStyle name="Currency 4" xfId="1397"/>
    <cellStyle name="Currency 4 2" xfId="1398"/>
    <cellStyle name="Currency 49" xfId="1399"/>
    <cellStyle name="Currency 49 10" xfId="1400"/>
    <cellStyle name="Currency 49 10 2" xfId="1401"/>
    <cellStyle name="Currency 49 10 2 2" xfId="1402"/>
    <cellStyle name="Currency 49 10 3" xfId="1403"/>
    <cellStyle name="Currency 49 11" xfId="1404"/>
    <cellStyle name="Currency 49 11 2" xfId="1405"/>
    <cellStyle name="Currency 49 11 2 2" xfId="1406"/>
    <cellStyle name="Currency 49 11 3" xfId="1407"/>
    <cellStyle name="Currency 49 12" xfId="1408"/>
    <cellStyle name="Currency 49 12 2" xfId="1409"/>
    <cellStyle name="Currency 49 12 2 2" xfId="1410"/>
    <cellStyle name="Currency 49 12 3" xfId="1411"/>
    <cellStyle name="Currency 49 13" xfId="1412"/>
    <cellStyle name="Currency 49 13 2" xfId="1413"/>
    <cellStyle name="Currency 49 13 2 2" xfId="1414"/>
    <cellStyle name="Currency 49 13 3" xfId="1415"/>
    <cellStyle name="Currency 49 14" xfId="1416"/>
    <cellStyle name="Currency 49 14 2" xfId="1417"/>
    <cellStyle name="Currency 49 14 2 2" xfId="1418"/>
    <cellStyle name="Currency 49 14 3" xfId="1419"/>
    <cellStyle name="Currency 49 15" xfId="1420"/>
    <cellStyle name="Currency 49 15 2" xfId="1421"/>
    <cellStyle name="Currency 49 15 2 2" xfId="1422"/>
    <cellStyle name="Currency 49 15 3" xfId="1423"/>
    <cellStyle name="Currency 49 16" xfId="1424"/>
    <cellStyle name="Currency 49 16 2" xfId="1425"/>
    <cellStyle name="Currency 49 17" xfId="1426"/>
    <cellStyle name="Currency 49 17 2" xfId="1427"/>
    <cellStyle name="Currency 49 18" xfId="1428"/>
    <cellStyle name="Currency 49 2" xfId="1429"/>
    <cellStyle name="Currency 49 2 2" xfId="1430"/>
    <cellStyle name="Currency 49 2 2 2" xfId="1431"/>
    <cellStyle name="Currency 49 2 3" xfId="1432"/>
    <cellStyle name="Currency 49 3" xfId="1433"/>
    <cellStyle name="Currency 49 3 2" xfId="1434"/>
    <cellStyle name="Currency 49 3 2 2" xfId="1435"/>
    <cellStyle name="Currency 49 3 3" xfId="1436"/>
    <cellStyle name="Currency 49 4" xfId="1437"/>
    <cellStyle name="Currency 49 4 2" xfId="1438"/>
    <cellStyle name="Currency 49 4 2 2" xfId="1439"/>
    <cellStyle name="Currency 49 4 3" xfId="1440"/>
    <cellStyle name="Currency 49 5" xfId="1441"/>
    <cellStyle name="Currency 49 5 2" xfId="1442"/>
    <cellStyle name="Currency 49 5 2 2" xfId="1443"/>
    <cellStyle name="Currency 49 5 3" xfId="1444"/>
    <cellStyle name="Currency 49 6" xfId="1445"/>
    <cellStyle name="Currency 49 6 2" xfId="1446"/>
    <cellStyle name="Currency 49 6 2 2" xfId="1447"/>
    <cellStyle name="Currency 49 6 3" xfId="1448"/>
    <cellStyle name="Currency 49 7" xfId="1449"/>
    <cellStyle name="Currency 49 7 2" xfId="1450"/>
    <cellStyle name="Currency 49 7 2 2" xfId="1451"/>
    <cellStyle name="Currency 49 7 3" xfId="1452"/>
    <cellStyle name="Currency 49 8" xfId="1453"/>
    <cellStyle name="Currency 49 8 2" xfId="1454"/>
    <cellStyle name="Currency 49 8 2 2" xfId="1455"/>
    <cellStyle name="Currency 49 8 3" xfId="1456"/>
    <cellStyle name="Currency 49 9" xfId="1457"/>
    <cellStyle name="Currency 49 9 2" xfId="1458"/>
    <cellStyle name="Currency 49 9 2 2" xfId="1459"/>
    <cellStyle name="Currency 49 9 3" xfId="1460"/>
    <cellStyle name="Currency 5" xfId="1461"/>
    <cellStyle name="Currency 5 2" xfId="1462"/>
    <cellStyle name="Currency 5 3" xfId="1463"/>
    <cellStyle name="Currency 59 10" xfId="1464"/>
    <cellStyle name="Currency 59 10 2" xfId="1465"/>
    <cellStyle name="Currency 59 10 2 2" xfId="1466"/>
    <cellStyle name="Currency 59 10 3" xfId="1467"/>
    <cellStyle name="Currency 59 11" xfId="1468"/>
    <cellStyle name="Currency 59 11 2" xfId="1469"/>
    <cellStyle name="Currency 59 11 2 2" xfId="1470"/>
    <cellStyle name="Currency 59 11 3" xfId="1471"/>
    <cellStyle name="Currency 59 12" xfId="1472"/>
    <cellStyle name="Currency 59 12 2" xfId="1473"/>
    <cellStyle name="Currency 59 12 2 2" xfId="1474"/>
    <cellStyle name="Currency 59 12 3" xfId="1475"/>
    <cellStyle name="Currency 59 13" xfId="1476"/>
    <cellStyle name="Currency 59 13 2" xfId="1477"/>
    <cellStyle name="Currency 59 13 2 2" xfId="1478"/>
    <cellStyle name="Currency 59 13 3" xfId="1479"/>
    <cellStyle name="Currency 59 14" xfId="1480"/>
    <cellStyle name="Currency 59 14 10" xfId="1481"/>
    <cellStyle name="Currency 59 14 10 2" xfId="1482"/>
    <cellStyle name="Currency 59 14 11" xfId="1483"/>
    <cellStyle name="Currency 59 14 11 2" xfId="1484"/>
    <cellStyle name="Currency 59 14 12" xfId="1485"/>
    <cellStyle name="Currency 59 14 12 2" xfId="1486"/>
    <cellStyle name="Currency 59 14 13" xfId="1487"/>
    <cellStyle name="Currency 59 14 13 2" xfId="1488"/>
    <cellStyle name="Currency 59 14 14" xfId="1489"/>
    <cellStyle name="Currency 59 14 14 2" xfId="1490"/>
    <cellStyle name="Currency 59 14 15" xfId="1491"/>
    <cellStyle name="Currency 59 14 15 2" xfId="1492"/>
    <cellStyle name="Currency 59 14 16" xfId="1493"/>
    <cellStyle name="Currency 59 14 16 2" xfId="1494"/>
    <cellStyle name="Currency 59 14 17" xfId="1495"/>
    <cellStyle name="Currency 59 14 17 2" xfId="1496"/>
    <cellStyle name="Currency 59 14 18" xfId="1497"/>
    <cellStyle name="Currency 59 14 2" xfId="1498"/>
    <cellStyle name="Currency 59 14 2 2" xfId="1499"/>
    <cellStyle name="Currency 59 14 3" xfId="1500"/>
    <cellStyle name="Currency 59 14 3 2" xfId="1501"/>
    <cellStyle name="Currency 59 14 4" xfId="1502"/>
    <cellStyle name="Currency 59 14 4 2" xfId="1503"/>
    <cellStyle name="Currency 59 14 5" xfId="1504"/>
    <cellStyle name="Currency 59 14 5 2" xfId="1505"/>
    <cellStyle name="Currency 59 14 6" xfId="1506"/>
    <cellStyle name="Currency 59 14 6 2" xfId="1507"/>
    <cellStyle name="Currency 59 14 7" xfId="1508"/>
    <cellStyle name="Currency 59 14 7 2" xfId="1509"/>
    <cellStyle name="Currency 59 14 8" xfId="1510"/>
    <cellStyle name="Currency 59 14 8 2" xfId="1511"/>
    <cellStyle name="Currency 59 14 9" xfId="1512"/>
    <cellStyle name="Currency 59 14 9 2" xfId="1513"/>
    <cellStyle name="Currency 59 15" xfId="1514"/>
    <cellStyle name="Currency 59 15 2" xfId="1515"/>
    <cellStyle name="Currency 59 15 2 2" xfId="1516"/>
    <cellStyle name="Currency 59 15 3" xfId="1517"/>
    <cellStyle name="Currency 59 2" xfId="1518"/>
    <cellStyle name="Currency 59 2 2" xfId="1519"/>
    <cellStyle name="Currency 59 2 2 2" xfId="1520"/>
    <cellStyle name="Currency 59 2 3" xfId="1521"/>
    <cellStyle name="Currency 59 3" xfId="1522"/>
    <cellStyle name="Currency 59 3 2" xfId="1523"/>
    <cellStyle name="Currency 59 3 2 2" xfId="1524"/>
    <cellStyle name="Currency 59 3 3" xfId="1525"/>
    <cellStyle name="Currency 59 4" xfId="1526"/>
    <cellStyle name="Currency 59 4 2" xfId="1527"/>
    <cellStyle name="Currency 59 4 2 2" xfId="1528"/>
    <cellStyle name="Currency 59 4 3" xfId="1529"/>
    <cellStyle name="Currency 59 5" xfId="1530"/>
    <cellStyle name="Currency 59 5 2" xfId="1531"/>
    <cellStyle name="Currency 59 5 2 2" xfId="1532"/>
    <cellStyle name="Currency 59 5 3" xfId="1533"/>
    <cellStyle name="Currency 59 6" xfId="1534"/>
    <cellStyle name="Currency 59 6 2" xfId="1535"/>
    <cellStyle name="Currency 59 6 2 2" xfId="1536"/>
    <cellStyle name="Currency 59 6 3" xfId="1537"/>
    <cellStyle name="Currency 59 7" xfId="1538"/>
    <cellStyle name="Currency 59 7 2" xfId="1539"/>
    <cellStyle name="Currency 59 7 2 2" xfId="1540"/>
    <cellStyle name="Currency 59 7 3" xfId="1541"/>
    <cellStyle name="Currency 59 8" xfId="1542"/>
    <cellStyle name="Currency 59 8 2" xfId="1543"/>
    <cellStyle name="Currency 59 8 2 2" xfId="1544"/>
    <cellStyle name="Currency 59 8 3" xfId="1545"/>
    <cellStyle name="Currency 59 9" xfId="1546"/>
    <cellStyle name="Currency 59 9 2" xfId="1547"/>
    <cellStyle name="Currency 59 9 2 2" xfId="1548"/>
    <cellStyle name="Currency 59 9 3" xfId="1549"/>
    <cellStyle name="Currency 6" xfId="1550"/>
    <cellStyle name="Currency 60" xfId="1551"/>
    <cellStyle name="Currency 60 10" xfId="1552"/>
    <cellStyle name="Currency 60 10 2" xfId="1553"/>
    <cellStyle name="Currency 60 10 2 2" xfId="1554"/>
    <cellStyle name="Currency 60 10 3" xfId="1555"/>
    <cellStyle name="Currency 60 11" xfId="1556"/>
    <cellStyle name="Currency 60 11 2" xfId="1557"/>
    <cellStyle name="Currency 60 11 2 2" xfId="1558"/>
    <cellStyle name="Currency 60 11 3" xfId="1559"/>
    <cellStyle name="Currency 60 12" xfId="1560"/>
    <cellStyle name="Currency 60 12 2" xfId="1561"/>
    <cellStyle name="Currency 60 12 2 2" xfId="1562"/>
    <cellStyle name="Currency 60 12 3" xfId="1563"/>
    <cellStyle name="Currency 60 13" xfId="1564"/>
    <cellStyle name="Currency 60 13 2" xfId="1565"/>
    <cellStyle name="Currency 60 13 2 2" xfId="1566"/>
    <cellStyle name="Currency 60 13 3" xfId="1567"/>
    <cellStyle name="Currency 60 14" xfId="1568"/>
    <cellStyle name="Currency 60 14 2" xfId="1569"/>
    <cellStyle name="Currency 60 14 2 2" xfId="1570"/>
    <cellStyle name="Currency 60 14 3" xfId="1571"/>
    <cellStyle name="Currency 60 15" xfId="1572"/>
    <cellStyle name="Currency 60 15 2" xfId="1573"/>
    <cellStyle name="Currency 60 15 2 2" xfId="1574"/>
    <cellStyle name="Currency 60 15 3" xfId="1575"/>
    <cellStyle name="Currency 60 16" xfId="1576"/>
    <cellStyle name="Currency 60 16 2" xfId="1577"/>
    <cellStyle name="Currency 60 17" xfId="1578"/>
    <cellStyle name="Currency 60 17 2" xfId="1579"/>
    <cellStyle name="Currency 60 18" xfId="1580"/>
    <cellStyle name="Currency 60 18 2" xfId="1581"/>
    <cellStyle name="Currency 60 19" xfId="1582"/>
    <cellStyle name="Currency 60 19 2" xfId="1583"/>
    <cellStyle name="Currency 60 2" xfId="1584"/>
    <cellStyle name="Currency 60 2 2" xfId="1585"/>
    <cellStyle name="Currency 60 2 2 2" xfId="1586"/>
    <cellStyle name="Currency 60 2 3" xfId="1587"/>
    <cellStyle name="Currency 60 20" xfId="1588"/>
    <cellStyle name="Currency 60 20 2" xfId="1589"/>
    <cellStyle name="Currency 60 21" xfId="1590"/>
    <cellStyle name="Currency 60 21 2" xfId="1591"/>
    <cellStyle name="Currency 60 22" xfId="1592"/>
    <cellStyle name="Currency 60 22 2" xfId="1593"/>
    <cellStyle name="Currency 60 23" xfId="1594"/>
    <cellStyle name="Currency 60 23 2" xfId="1595"/>
    <cellStyle name="Currency 60 24" xfId="1596"/>
    <cellStyle name="Currency 60 24 2" xfId="1597"/>
    <cellStyle name="Currency 60 25" xfId="1598"/>
    <cellStyle name="Currency 60 25 2" xfId="1599"/>
    <cellStyle name="Currency 60 26" xfId="1600"/>
    <cellStyle name="Currency 60 26 2" xfId="1601"/>
    <cellStyle name="Currency 60 27" xfId="1602"/>
    <cellStyle name="Currency 60 27 2" xfId="1603"/>
    <cellStyle name="Currency 60 28" xfId="1604"/>
    <cellStyle name="Currency 60 28 2" xfId="1605"/>
    <cellStyle name="Currency 60 29" xfId="1606"/>
    <cellStyle name="Currency 60 29 2" xfId="1607"/>
    <cellStyle name="Currency 60 3" xfId="1608"/>
    <cellStyle name="Currency 60 3 2" xfId="1609"/>
    <cellStyle name="Currency 60 3 2 2" xfId="1610"/>
    <cellStyle name="Currency 60 3 3" xfId="1611"/>
    <cellStyle name="Currency 60 30" xfId="1612"/>
    <cellStyle name="Currency 60 30 2" xfId="1613"/>
    <cellStyle name="Currency 60 31" xfId="1614"/>
    <cellStyle name="Currency 60 31 2" xfId="1615"/>
    <cellStyle name="Currency 60 32" xfId="1616"/>
    <cellStyle name="Currency 60 4" xfId="1617"/>
    <cellStyle name="Currency 60 4 2" xfId="1618"/>
    <cellStyle name="Currency 60 4 2 2" xfId="1619"/>
    <cellStyle name="Currency 60 4 3" xfId="1620"/>
    <cellStyle name="Currency 60 5" xfId="1621"/>
    <cellStyle name="Currency 60 5 2" xfId="1622"/>
    <cellStyle name="Currency 60 5 2 2" xfId="1623"/>
    <cellStyle name="Currency 60 5 3" xfId="1624"/>
    <cellStyle name="Currency 60 6" xfId="1625"/>
    <cellStyle name="Currency 60 6 2" xfId="1626"/>
    <cellStyle name="Currency 60 6 2 2" xfId="1627"/>
    <cellStyle name="Currency 60 6 3" xfId="1628"/>
    <cellStyle name="Currency 60 7" xfId="1629"/>
    <cellStyle name="Currency 60 7 2" xfId="1630"/>
    <cellStyle name="Currency 60 7 2 2" xfId="1631"/>
    <cellStyle name="Currency 60 7 3" xfId="1632"/>
    <cellStyle name="Currency 60 8" xfId="1633"/>
    <cellStyle name="Currency 60 8 2" xfId="1634"/>
    <cellStyle name="Currency 60 8 2 2" xfId="1635"/>
    <cellStyle name="Currency 60 8 3" xfId="1636"/>
    <cellStyle name="Currency 60 9" xfId="1637"/>
    <cellStyle name="Currency 60 9 2" xfId="1638"/>
    <cellStyle name="Currency 60 9 2 2" xfId="1639"/>
    <cellStyle name="Currency 60 9 3" xfId="1640"/>
    <cellStyle name="Currency 62 10" xfId="1641"/>
    <cellStyle name="Currency 62 10 2" xfId="1642"/>
    <cellStyle name="Currency 62 10 2 2" xfId="1643"/>
    <cellStyle name="Currency 62 10 3" xfId="1644"/>
    <cellStyle name="Currency 62 11" xfId="1645"/>
    <cellStyle name="Currency 62 11 2" xfId="1646"/>
    <cellStyle name="Currency 62 11 2 2" xfId="1647"/>
    <cellStyle name="Currency 62 11 3" xfId="1648"/>
    <cellStyle name="Currency 62 12" xfId="1649"/>
    <cellStyle name="Currency 62 12 2" xfId="1650"/>
    <cellStyle name="Currency 62 12 2 2" xfId="1651"/>
    <cellStyle name="Currency 62 12 3" xfId="1652"/>
    <cellStyle name="Currency 62 13" xfId="1653"/>
    <cellStyle name="Currency 62 13 2" xfId="1654"/>
    <cellStyle name="Currency 62 13 2 2" xfId="1655"/>
    <cellStyle name="Currency 62 13 3" xfId="1656"/>
    <cellStyle name="Currency 62 14" xfId="1657"/>
    <cellStyle name="Currency 62 14 2" xfId="1658"/>
    <cellStyle name="Currency 62 14 2 2" xfId="1659"/>
    <cellStyle name="Currency 62 14 3" xfId="1660"/>
    <cellStyle name="Currency 62 14 3 2" xfId="1661"/>
    <cellStyle name="Currency 62 14 4" xfId="1662"/>
    <cellStyle name="Currency 62 15" xfId="1663"/>
    <cellStyle name="Currency 62 15 2" xfId="1664"/>
    <cellStyle name="Currency 62 15 2 2" xfId="1665"/>
    <cellStyle name="Currency 62 15 3" xfId="1666"/>
    <cellStyle name="Currency 62 2" xfId="1667"/>
    <cellStyle name="Currency 62 2 2" xfId="1668"/>
    <cellStyle name="Currency 62 2 2 2" xfId="1669"/>
    <cellStyle name="Currency 62 2 3" xfId="1670"/>
    <cellStyle name="Currency 62 3" xfId="1671"/>
    <cellStyle name="Currency 62 3 2" xfId="1672"/>
    <cellStyle name="Currency 62 3 2 2" xfId="1673"/>
    <cellStyle name="Currency 62 3 3" xfId="1674"/>
    <cellStyle name="Currency 62 4" xfId="1675"/>
    <cellStyle name="Currency 62 4 2" xfId="1676"/>
    <cellStyle name="Currency 62 4 2 2" xfId="1677"/>
    <cellStyle name="Currency 62 4 3" xfId="1678"/>
    <cellStyle name="Currency 62 5" xfId="1679"/>
    <cellStyle name="Currency 62 5 2" xfId="1680"/>
    <cellStyle name="Currency 62 5 2 2" xfId="1681"/>
    <cellStyle name="Currency 62 5 3" xfId="1682"/>
    <cellStyle name="Currency 62 6" xfId="1683"/>
    <cellStyle name="Currency 62 6 2" xfId="1684"/>
    <cellStyle name="Currency 62 6 2 2" xfId="1685"/>
    <cellStyle name="Currency 62 6 3" xfId="1686"/>
    <cellStyle name="Currency 62 7" xfId="1687"/>
    <cellStyle name="Currency 62 7 2" xfId="1688"/>
    <cellStyle name="Currency 62 7 2 2" xfId="1689"/>
    <cellStyle name="Currency 62 7 3" xfId="1690"/>
    <cellStyle name="Currency 62 8" xfId="1691"/>
    <cellStyle name="Currency 62 8 2" xfId="1692"/>
    <cellStyle name="Currency 62 8 2 2" xfId="1693"/>
    <cellStyle name="Currency 62 8 3" xfId="1694"/>
    <cellStyle name="Currency 62 9" xfId="1695"/>
    <cellStyle name="Currency 62 9 2" xfId="1696"/>
    <cellStyle name="Currency 62 9 2 2" xfId="1697"/>
    <cellStyle name="Currency 62 9 3" xfId="1698"/>
    <cellStyle name="Currency 64 10" xfId="1699"/>
    <cellStyle name="Currency 64 10 2" xfId="1700"/>
    <cellStyle name="Currency 64 10 2 2" xfId="1701"/>
    <cellStyle name="Currency 64 10 3" xfId="1702"/>
    <cellStyle name="Currency 64 11" xfId="1703"/>
    <cellStyle name="Currency 64 11 2" xfId="1704"/>
    <cellStyle name="Currency 64 11 2 2" xfId="1705"/>
    <cellStyle name="Currency 64 11 3" xfId="1706"/>
    <cellStyle name="Currency 64 12" xfId="1707"/>
    <cellStyle name="Currency 64 12 2" xfId="1708"/>
    <cellStyle name="Currency 64 12 2 2" xfId="1709"/>
    <cellStyle name="Currency 64 12 3" xfId="1710"/>
    <cellStyle name="Currency 64 13" xfId="1711"/>
    <cellStyle name="Currency 64 13 2" xfId="1712"/>
    <cellStyle name="Currency 64 13 2 2" xfId="1713"/>
    <cellStyle name="Currency 64 13 3" xfId="1714"/>
    <cellStyle name="Currency 64 14" xfId="1715"/>
    <cellStyle name="Currency 64 14 2" xfId="1716"/>
    <cellStyle name="Currency 64 14 2 2" xfId="1717"/>
    <cellStyle name="Currency 64 14 3" xfId="1718"/>
    <cellStyle name="Currency 64 15" xfId="1719"/>
    <cellStyle name="Currency 64 15 2" xfId="1720"/>
    <cellStyle name="Currency 64 15 2 2" xfId="1721"/>
    <cellStyle name="Currency 64 15 3" xfId="1722"/>
    <cellStyle name="Currency 64 15 3 2" xfId="1723"/>
    <cellStyle name="Currency 64 15 4" xfId="1724"/>
    <cellStyle name="Currency 64 2" xfId="1725"/>
    <cellStyle name="Currency 64 2 2" xfId="1726"/>
    <cellStyle name="Currency 64 2 2 2" xfId="1727"/>
    <cellStyle name="Currency 64 2 3" xfId="1728"/>
    <cellStyle name="Currency 64 3" xfId="1729"/>
    <cellStyle name="Currency 64 3 2" xfId="1730"/>
    <cellStyle name="Currency 64 3 2 2" xfId="1731"/>
    <cellStyle name="Currency 64 3 3" xfId="1732"/>
    <cellStyle name="Currency 64 4" xfId="1733"/>
    <cellStyle name="Currency 64 4 2" xfId="1734"/>
    <cellStyle name="Currency 64 4 2 2" xfId="1735"/>
    <cellStyle name="Currency 64 4 3" xfId="1736"/>
    <cellStyle name="Currency 64 5" xfId="1737"/>
    <cellStyle name="Currency 64 5 2" xfId="1738"/>
    <cellStyle name="Currency 64 5 2 2" xfId="1739"/>
    <cellStyle name="Currency 64 5 3" xfId="1740"/>
    <cellStyle name="Currency 64 6" xfId="1741"/>
    <cellStyle name="Currency 64 6 2" xfId="1742"/>
    <cellStyle name="Currency 64 6 2 2" xfId="1743"/>
    <cellStyle name="Currency 64 6 3" xfId="1744"/>
    <cellStyle name="Currency 64 7" xfId="1745"/>
    <cellStyle name="Currency 64 7 2" xfId="1746"/>
    <cellStyle name="Currency 64 7 2 2" xfId="1747"/>
    <cellStyle name="Currency 64 7 3" xfId="1748"/>
    <cellStyle name="Currency 64 8" xfId="1749"/>
    <cellStyle name="Currency 64 8 2" xfId="1750"/>
    <cellStyle name="Currency 64 8 2 2" xfId="1751"/>
    <cellStyle name="Currency 64 8 3" xfId="1752"/>
    <cellStyle name="Currency 64 9" xfId="1753"/>
    <cellStyle name="Currency 64 9 2" xfId="1754"/>
    <cellStyle name="Currency 64 9 2 2" xfId="1755"/>
    <cellStyle name="Currency 64 9 3" xfId="1756"/>
    <cellStyle name="Currency 7" xfId="1757"/>
    <cellStyle name="Currency 8" xfId="4304"/>
    <cellStyle name="Currency 82" xfId="1758"/>
    <cellStyle name="Currency 82 2" xfId="1759"/>
    <cellStyle name="Currency 82 2 2" xfId="1760"/>
    <cellStyle name="Currency 82 3" xfId="1761"/>
    <cellStyle name="Currency 9" xfId="4305"/>
    <cellStyle name="Currency 94" xfId="1762"/>
    <cellStyle name="Currency 94 2" xfId="1763"/>
    <cellStyle name="Currency 94 2 2" xfId="1764"/>
    <cellStyle name="Currency 94 3" xfId="1765"/>
    <cellStyle name="Currency 94 3 2" xfId="1766"/>
    <cellStyle name="Currency 94 4" xfId="1767"/>
    <cellStyle name="Currency 95" xfId="1768"/>
    <cellStyle name="Currency 95 2" xfId="1769"/>
    <cellStyle name="Currency 95 2 2" xfId="1770"/>
    <cellStyle name="Currency 95 3" xfId="1771"/>
    <cellStyle name="Currency 95 3 2" xfId="1772"/>
    <cellStyle name="Currency 95 4" xfId="1773"/>
    <cellStyle name="Currency Input" xfId="4512"/>
    <cellStyle name="Currency0" xfId="4186"/>
    <cellStyle name="d" xfId="4187"/>
    <cellStyle name="d," xfId="4188"/>
    <cellStyle name="d1" xfId="4189"/>
    <cellStyle name="d1," xfId="4190"/>
    <cellStyle name="d2" xfId="4191"/>
    <cellStyle name="d2," xfId="4192"/>
    <cellStyle name="d3" xfId="4193"/>
    <cellStyle name="Dash" xfId="4194"/>
    <cellStyle name="Date" xfId="87"/>
    <cellStyle name="Date [Abbreviated]" xfId="4513"/>
    <cellStyle name="Date [Long Europe]" xfId="4514"/>
    <cellStyle name="Date [Long U.S.]" xfId="4515"/>
    <cellStyle name="Date [Short Europe]" xfId="4516"/>
    <cellStyle name="Date [Short U.S.]" xfId="4517"/>
    <cellStyle name="Date_ITCM 2010 Template" xfId="4518"/>
    <cellStyle name="DateTime" xfId="4306"/>
    <cellStyle name="DateTime 2" xfId="4307"/>
    <cellStyle name="Define$0" xfId="4195"/>
    <cellStyle name="Define$1" xfId="4196"/>
    <cellStyle name="Define$2" xfId="4197"/>
    <cellStyle name="Define0" xfId="4198"/>
    <cellStyle name="Define1" xfId="4199"/>
    <cellStyle name="Define1x" xfId="4200"/>
    <cellStyle name="Define2" xfId="4201"/>
    <cellStyle name="Define2x" xfId="4202"/>
    <cellStyle name="d-mmm" xfId="4308"/>
    <cellStyle name="d-mmm-yy" xfId="4309"/>
    <cellStyle name="Dollar" xfId="4203"/>
    <cellStyle name="Dot" xfId="4310"/>
    <cellStyle name="e" xfId="4204"/>
    <cellStyle name="e1" xfId="4205"/>
    <cellStyle name="e2" xfId="4206"/>
    <cellStyle name="Euro" xfId="88"/>
    <cellStyle name="Explanatory Text 10" xfId="1774"/>
    <cellStyle name="Explanatory Text 11" xfId="1775"/>
    <cellStyle name="Explanatory Text 12" xfId="1776"/>
    <cellStyle name="Explanatory Text 13" xfId="1777"/>
    <cellStyle name="Explanatory Text 14" xfId="1778"/>
    <cellStyle name="Explanatory Text 15" xfId="1779"/>
    <cellStyle name="Explanatory Text 16" xfId="1780"/>
    <cellStyle name="Explanatory Text 17" xfId="1781"/>
    <cellStyle name="Explanatory Text 18" xfId="1782"/>
    <cellStyle name="Explanatory Text 2" xfId="89"/>
    <cellStyle name="Explanatory Text 2 2" xfId="1783"/>
    <cellStyle name="Explanatory Text 2 3" xfId="1784"/>
    <cellStyle name="Explanatory Text 2 4" xfId="1785"/>
    <cellStyle name="Explanatory Text 2 5" xfId="1786"/>
    <cellStyle name="Explanatory Text 3" xfId="1787"/>
    <cellStyle name="Explanatory Text 4" xfId="1788"/>
    <cellStyle name="Explanatory Text 5" xfId="1789"/>
    <cellStyle name="Explanatory Text 6" xfId="1790"/>
    <cellStyle name="Explanatory Text 7" xfId="1791"/>
    <cellStyle name="Explanatory Text 8" xfId="1792"/>
    <cellStyle name="Explanatory Text 9" xfId="1793"/>
    <cellStyle name="Fixed" xfId="90"/>
    <cellStyle name="Fixed 2" xfId="4311"/>
    <cellStyle name="Fixed 3" xfId="4312"/>
    <cellStyle name="Fixed1 - Style1" xfId="91"/>
    <cellStyle name="FOOTER - Style1" xfId="4519"/>
    <cellStyle name="g" xfId="4207"/>
    <cellStyle name="general" xfId="4208"/>
    <cellStyle name="General [C]" xfId="4520"/>
    <cellStyle name="General [R]" xfId="4521"/>
    <cellStyle name="Geneva 9" xfId="4313"/>
    <cellStyle name="Gilsans" xfId="92"/>
    <cellStyle name="Gilsansl" xfId="93"/>
    <cellStyle name="Good 10" xfId="1794"/>
    <cellStyle name="Good 11" xfId="1795"/>
    <cellStyle name="Good 12" xfId="1796"/>
    <cellStyle name="Good 13" xfId="1797"/>
    <cellStyle name="Good 14" xfId="1798"/>
    <cellStyle name="Good 15" xfId="1799"/>
    <cellStyle name="Good 16" xfId="1800"/>
    <cellStyle name="Good 17" xfId="1801"/>
    <cellStyle name="Good 18" xfId="1802"/>
    <cellStyle name="Good 2" xfId="94"/>
    <cellStyle name="Good 2 2" xfId="1803"/>
    <cellStyle name="Good 2 3" xfId="1804"/>
    <cellStyle name="Good 2 4" xfId="1805"/>
    <cellStyle name="Good 2 5" xfId="1806"/>
    <cellStyle name="Good 3" xfId="1807"/>
    <cellStyle name="Good 4" xfId="1808"/>
    <cellStyle name="Good 5" xfId="1809"/>
    <cellStyle name="Good 6" xfId="1810"/>
    <cellStyle name="Good 7" xfId="1811"/>
    <cellStyle name="Good 8" xfId="1812"/>
    <cellStyle name="Good 9" xfId="1813"/>
    <cellStyle name="Green" xfId="4209"/>
    <cellStyle name="Grey" xfId="95"/>
    <cellStyle name="Grey 2" xfId="4314"/>
    <cellStyle name="HEADER" xfId="96"/>
    <cellStyle name="Header1" xfId="97"/>
    <cellStyle name="Header2" xfId="98"/>
    <cellStyle name="Heading" xfId="99"/>
    <cellStyle name="Heading 1 10" xfId="1814"/>
    <cellStyle name="Heading 1 11" xfId="1815"/>
    <cellStyle name="Heading 1 12" xfId="1816"/>
    <cellStyle name="Heading 1 13" xfId="1817"/>
    <cellStyle name="Heading 1 14" xfId="1818"/>
    <cellStyle name="Heading 1 15" xfId="1819"/>
    <cellStyle name="Heading 1 16" xfId="1820"/>
    <cellStyle name="Heading 1 17" xfId="1821"/>
    <cellStyle name="Heading 1 18" xfId="1822"/>
    <cellStyle name="Heading 1 2" xfId="100"/>
    <cellStyle name="Heading 1 2 2" xfId="1823"/>
    <cellStyle name="Heading 1 2 3" xfId="1824"/>
    <cellStyle name="Heading 1 2 4" xfId="1825"/>
    <cellStyle name="Heading 1 2 5" xfId="1826"/>
    <cellStyle name="Heading 1 3" xfId="1827"/>
    <cellStyle name="Heading 1 4" xfId="1828"/>
    <cellStyle name="Heading 1 5" xfId="1829"/>
    <cellStyle name="Heading 1 6" xfId="1830"/>
    <cellStyle name="Heading 1 7" xfId="1831"/>
    <cellStyle name="Heading 1 8" xfId="1832"/>
    <cellStyle name="Heading 1 9" xfId="1833"/>
    <cellStyle name="Heading 2 10" xfId="1834"/>
    <cellStyle name="Heading 2 11" xfId="1835"/>
    <cellStyle name="Heading 2 12" xfId="1836"/>
    <cellStyle name="Heading 2 13" xfId="1837"/>
    <cellStyle name="Heading 2 14" xfId="1838"/>
    <cellStyle name="Heading 2 15" xfId="1839"/>
    <cellStyle name="Heading 2 16" xfId="1840"/>
    <cellStyle name="Heading 2 17" xfId="1841"/>
    <cellStyle name="Heading 2 18" xfId="1842"/>
    <cellStyle name="Heading 2 2" xfId="101"/>
    <cellStyle name="Heading 2 2 2" xfId="1843"/>
    <cellStyle name="Heading 2 2 3" xfId="1844"/>
    <cellStyle name="Heading 2 2 4" xfId="1845"/>
    <cellStyle name="Heading 2 2 5" xfId="1846"/>
    <cellStyle name="Heading 2 3" xfId="1847"/>
    <cellStyle name="Heading 2 4" xfId="1848"/>
    <cellStyle name="Heading 2 5" xfId="1849"/>
    <cellStyle name="Heading 2 6" xfId="1850"/>
    <cellStyle name="Heading 2 7" xfId="1851"/>
    <cellStyle name="Heading 2 8" xfId="1852"/>
    <cellStyle name="Heading 2 9" xfId="1853"/>
    <cellStyle name="Heading 3 10" xfId="1854"/>
    <cellStyle name="Heading 3 11" xfId="1855"/>
    <cellStyle name="Heading 3 12" xfId="1856"/>
    <cellStyle name="Heading 3 13" xfId="1857"/>
    <cellStyle name="Heading 3 14" xfId="1858"/>
    <cellStyle name="Heading 3 15" xfId="1859"/>
    <cellStyle name="Heading 3 16" xfId="1860"/>
    <cellStyle name="Heading 3 17" xfId="1861"/>
    <cellStyle name="Heading 3 18" xfId="1862"/>
    <cellStyle name="Heading 3 2" xfId="102"/>
    <cellStyle name="Heading 3 2 2" xfId="1863"/>
    <cellStyle name="Heading 3 2 3" xfId="1864"/>
    <cellStyle name="Heading 3 2 4" xfId="1865"/>
    <cellStyle name="Heading 3 2 5" xfId="1866"/>
    <cellStyle name="Heading 3 3" xfId="1867"/>
    <cellStyle name="Heading 3 4" xfId="1868"/>
    <cellStyle name="Heading 3 5" xfId="1869"/>
    <cellStyle name="Heading 3 6" xfId="1870"/>
    <cellStyle name="Heading 3 7" xfId="1871"/>
    <cellStyle name="Heading 3 8" xfId="1872"/>
    <cellStyle name="Heading 3 9" xfId="1873"/>
    <cellStyle name="Heading 4 10" xfId="1874"/>
    <cellStyle name="Heading 4 11" xfId="1875"/>
    <cellStyle name="Heading 4 12" xfId="1876"/>
    <cellStyle name="Heading 4 13" xfId="1877"/>
    <cellStyle name="Heading 4 14" xfId="1878"/>
    <cellStyle name="Heading 4 15" xfId="1879"/>
    <cellStyle name="Heading 4 16" xfId="1880"/>
    <cellStyle name="Heading 4 17" xfId="1881"/>
    <cellStyle name="Heading 4 18" xfId="1882"/>
    <cellStyle name="Heading 4 2" xfId="103"/>
    <cellStyle name="Heading 4 2 2" xfId="1883"/>
    <cellStyle name="Heading 4 2 3" xfId="1884"/>
    <cellStyle name="Heading 4 2 4" xfId="1885"/>
    <cellStyle name="Heading 4 2 5" xfId="1886"/>
    <cellStyle name="Heading 4 3" xfId="1887"/>
    <cellStyle name="Heading 4 4" xfId="1888"/>
    <cellStyle name="Heading 4 5" xfId="1889"/>
    <cellStyle name="Heading 4 6" xfId="1890"/>
    <cellStyle name="Heading 4 7" xfId="1891"/>
    <cellStyle name="Heading 4 8" xfId="1892"/>
    <cellStyle name="Heading 4 9" xfId="1893"/>
    <cellStyle name="Heading No Underline" xfId="4210"/>
    <cellStyle name="Heading With Underline" xfId="4211"/>
    <cellStyle name="Heading1" xfId="104"/>
    <cellStyle name="Heading1 2" xfId="4315"/>
    <cellStyle name="Heading1 3" xfId="4316"/>
    <cellStyle name="Heading2" xfId="105"/>
    <cellStyle name="Heading2 2" xfId="4317"/>
    <cellStyle name="Heading2 3" xfId="4318"/>
    <cellStyle name="Headline" xfId="4212"/>
    <cellStyle name="HIGHLIGHT" xfId="106"/>
    <cellStyle name="Hyperlink" xfId="4663" builtinId="8"/>
    <cellStyle name="Hyperlink 2" xfId="1894"/>
    <cellStyle name="Hyperlink 3" xfId="4474"/>
    <cellStyle name="in" xfId="4213"/>
    <cellStyle name="Indented [0]" xfId="4522"/>
    <cellStyle name="Indented [2]" xfId="4523"/>
    <cellStyle name="Indented [4]" xfId="4524"/>
    <cellStyle name="Indented [6]" xfId="4525"/>
    <cellStyle name="Input [yellow]" xfId="107"/>
    <cellStyle name="Input [yellow] 2" xfId="4319"/>
    <cellStyle name="Input 10" xfId="1895"/>
    <cellStyle name="Input 11" xfId="1896"/>
    <cellStyle name="Input 12" xfId="1897"/>
    <cellStyle name="Input 13" xfId="1898"/>
    <cellStyle name="Input 14" xfId="1899"/>
    <cellStyle name="Input 15" xfId="1900"/>
    <cellStyle name="Input 16" xfId="1901"/>
    <cellStyle name="Input 17" xfId="1902"/>
    <cellStyle name="Input 18" xfId="1903"/>
    <cellStyle name="Input 2" xfId="108"/>
    <cellStyle name="Input 2 2" xfId="1904"/>
    <cellStyle name="Input 2 3" xfId="1905"/>
    <cellStyle name="Input 2 4" xfId="1906"/>
    <cellStyle name="Input 2 5" xfId="1907"/>
    <cellStyle name="Input 3" xfId="1908"/>
    <cellStyle name="Input 4" xfId="1909"/>
    <cellStyle name="Input 5" xfId="1910"/>
    <cellStyle name="Input 6" xfId="1911"/>
    <cellStyle name="Input 7" xfId="1912"/>
    <cellStyle name="Input 8" xfId="1913"/>
    <cellStyle name="Input 9" xfId="1914"/>
    <cellStyle name="Input$0" xfId="4214"/>
    <cellStyle name="Input$1" xfId="4215"/>
    <cellStyle name="Input$2" xfId="4216"/>
    <cellStyle name="Input0" xfId="4217"/>
    <cellStyle name="Input1" xfId="4218"/>
    <cellStyle name="Input1x" xfId="4219"/>
    <cellStyle name="Input2" xfId="4220"/>
    <cellStyle name="Input2x" xfId="4221"/>
    <cellStyle name="kwh_centered" xfId="4320"/>
    <cellStyle name="lborder" xfId="4222"/>
    <cellStyle name="LeftSubtitle" xfId="4526"/>
    <cellStyle name="Lines" xfId="109"/>
    <cellStyle name="Linked Cell 10" xfId="1915"/>
    <cellStyle name="Linked Cell 11" xfId="1916"/>
    <cellStyle name="Linked Cell 12" xfId="1917"/>
    <cellStyle name="Linked Cell 13" xfId="1918"/>
    <cellStyle name="Linked Cell 14" xfId="1919"/>
    <cellStyle name="Linked Cell 15" xfId="1920"/>
    <cellStyle name="Linked Cell 16" xfId="1921"/>
    <cellStyle name="Linked Cell 17" xfId="1922"/>
    <cellStyle name="Linked Cell 18" xfId="1923"/>
    <cellStyle name="Linked Cell 2" xfId="110"/>
    <cellStyle name="Linked Cell 2 2" xfId="1924"/>
    <cellStyle name="Linked Cell 2 3" xfId="1925"/>
    <cellStyle name="Linked Cell 2 4" xfId="1926"/>
    <cellStyle name="Linked Cell 2 5" xfId="1927"/>
    <cellStyle name="Linked Cell 3" xfId="1928"/>
    <cellStyle name="Linked Cell 4" xfId="1929"/>
    <cellStyle name="Linked Cell 5" xfId="1930"/>
    <cellStyle name="Linked Cell 6" xfId="1931"/>
    <cellStyle name="Linked Cell 7" xfId="1932"/>
    <cellStyle name="Linked Cell 8" xfId="1933"/>
    <cellStyle name="Linked Cell 9" xfId="1934"/>
    <cellStyle name="m" xfId="4223"/>
    <cellStyle name="m1" xfId="4224"/>
    <cellStyle name="m2" xfId="4225"/>
    <cellStyle name="m3" xfId="4226"/>
    <cellStyle name="MEM SSN" xfId="111"/>
    <cellStyle name="Mine" xfId="112"/>
    <cellStyle name="mmm-yy" xfId="113"/>
    <cellStyle name="Moneda [0]_Mex-Braz-Arg" xfId="4321"/>
    <cellStyle name="Moneda_Mex-Braz-Arg" xfId="4322"/>
    <cellStyle name="Monétaire [0]_pldt" xfId="114"/>
    <cellStyle name="Monétaire_pldt" xfId="115"/>
    <cellStyle name="Multiple" xfId="4527"/>
    <cellStyle name="Negative" xfId="4227"/>
    <cellStyle name="Neutral 10" xfId="1935"/>
    <cellStyle name="Neutral 11" xfId="1936"/>
    <cellStyle name="Neutral 12" xfId="1937"/>
    <cellStyle name="Neutral 13" xfId="1938"/>
    <cellStyle name="Neutral 14" xfId="1939"/>
    <cellStyle name="Neutral 15" xfId="1940"/>
    <cellStyle name="Neutral 16" xfId="1941"/>
    <cellStyle name="Neutral 17" xfId="1942"/>
    <cellStyle name="Neutral 18" xfId="1943"/>
    <cellStyle name="Neutral 2" xfId="116"/>
    <cellStyle name="Neutral 2 2" xfId="1944"/>
    <cellStyle name="Neutral 2 3" xfId="1945"/>
    <cellStyle name="Neutral 2 4" xfId="1946"/>
    <cellStyle name="Neutral 2 5" xfId="1947"/>
    <cellStyle name="Neutral 3" xfId="1948"/>
    <cellStyle name="Neutral 4" xfId="1949"/>
    <cellStyle name="Neutral 5" xfId="1950"/>
    <cellStyle name="Neutral 6" xfId="1951"/>
    <cellStyle name="Neutral 7" xfId="1952"/>
    <cellStyle name="Neutral 8" xfId="1953"/>
    <cellStyle name="Neutral 9" xfId="1954"/>
    <cellStyle name="New" xfId="117"/>
    <cellStyle name="No Border" xfId="118"/>
    <cellStyle name="no dec" xfId="119"/>
    <cellStyle name="Normal" xfId="0" builtinId="0"/>
    <cellStyle name="Normal - Style1" xfId="120"/>
    <cellStyle name="Normal - Style1 2" xfId="4323"/>
    <cellStyle name="Normal - Style2" xfId="4324"/>
    <cellStyle name="Normal 10" xfId="1955"/>
    <cellStyle name="Normal 10 10" xfId="1956"/>
    <cellStyle name="Normal 10 10 2" xfId="1957"/>
    <cellStyle name="Normal 10 10 2 2" xfId="1958"/>
    <cellStyle name="Normal 10 10 3" xfId="1959"/>
    <cellStyle name="Normal 10 11" xfId="1960"/>
    <cellStyle name="Normal 10 11 2" xfId="1961"/>
    <cellStyle name="Normal 10 11 2 2" xfId="1962"/>
    <cellStyle name="Normal 10 11 3" xfId="1963"/>
    <cellStyle name="Normal 10 12" xfId="1964"/>
    <cellStyle name="Normal 10 12 2" xfId="1965"/>
    <cellStyle name="Normal 10 12 2 2" xfId="1966"/>
    <cellStyle name="Normal 10 12 3" xfId="1967"/>
    <cellStyle name="Normal 10 13" xfId="1968"/>
    <cellStyle name="Normal 10 13 2" xfId="1969"/>
    <cellStyle name="Normal 10 13 2 2" xfId="1970"/>
    <cellStyle name="Normal 10 13 3" xfId="1971"/>
    <cellStyle name="Normal 10 14" xfId="1972"/>
    <cellStyle name="Normal 10 14 2" xfId="1973"/>
    <cellStyle name="Normal 10 14 2 2" xfId="1974"/>
    <cellStyle name="Normal 10 14 3" xfId="1975"/>
    <cellStyle name="Normal 10 15" xfId="1976"/>
    <cellStyle name="Normal 10 15 2" xfId="1977"/>
    <cellStyle name="Normal 10 15 2 2" xfId="1978"/>
    <cellStyle name="Normal 10 15 3" xfId="1979"/>
    <cellStyle name="Normal 10 16" xfId="1980"/>
    <cellStyle name="Normal 10 16 2" xfId="1981"/>
    <cellStyle name="Normal 10 17" xfId="1982"/>
    <cellStyle name="Normal 10 17 2" xfId="1983"/>
    <cellStyle name="Normal 10 18" xfId="1984"/>
    <cellStyle name="Normal 10 2" xfId="1985"/>
    <cellStyle name="Normal 10 2 2" xfId="1986"/>
    <cellStyle name="Normal 10 2 2 2" xfId="1987"/>
    <cellStyle name="Normal 10 2 3" xfId="1988"/>
    <cellStyle name="Normal 10 2 4" xfId="4528"/>
    <cellStyle name="Normal 10 3" xfId="1989"/>
    <cellStyle name="Normal 10 3 2" xfId="1990"/>
    <cellStyle name="Normal 10 3 2 2" xfId="1991"/>
    <cellStyle name="Normal 10 3 3" xfId="1992"/>
    <cellStyle name="Normal 10 3 4" xfId="4676"/>
    <cellStyle name="Normal 10 4" xfId="1993"/>
    <cellStyle name="Normal 10 4 2" xfId="1994"/>
    <cellStyle name="Normal 10 4 2 2" xfId="1995"/>
    <cellStyle name="Normal 10 4 3" xfId="1996"/>
    <cellStyle name="Normal 10 4 4" xfId="4679"/>
    <cellStyle name="Normal 10 5" xfId="1997"/>
    <cellStyle name="Normal 10 5 2" xfId="1998"/>
    <cellStyle name="Normal 10 5 2 2" xfId="1999"/>
    <cellStyle name="Normal 10 5 3" xfId="2000"/>
    <cellStyle name="Normal 10 6" xfId="2001"/>
    <cellStyle name="Normal 10 6 2" xfId="2002"/>
    <cellStyle name="Normal 10 6 2 2" xfId="2003"/>
    <cellStyle name="Normal 10 6 3" xfId="2004"/>
    <cellStyle name="Normal 10 7" xfId="2005"/>
    <cellStyle name="Normal 10 7 2" xfId="2006"/>
    <cellStyle name="Normal 10 7 2 2" xfId="2007"/>
    <cellStyle name="Normal 10 7 3" xfId="2008"/>
    <cellStyle name="Normal 10 8" xfId="2009"/>
    <cellStyle name="Normal 10 8 2" xfId="2010"/>
    <cellStyle name="Normal 10 8 2 2" xfId="2011"/>
    <cellStyle name="Normal 10 8 3" xfId="2012"/>
    <cellStyle name="Normal 10 9" xfId="2013"/>
    <cellStyle name="Normal 10 9 2" xfId="2014"/>
    <cellStyle name="Normal 10 9 2 2" xfId="2015"/>
    <cellStyle name="Normal 10 9 3" xfId="2016"/>
    <cellStyle name="Normal 11" xfId="2017"/>
    <cellStyle name="Normal 11 10" xfId="2018"/>
    <cellStyle name="Normal 11 10 2" xfId="2019"/>
    <cellStyle name="Normal 11 10 2 2" xfId="2020"/>
    <cellStyle name="Normal 11 10 3" xfId="2021"/>
    <cellStyle name="Normal 11 11" xfId="2022"/>
    <cellStyle name="Normal 11 11 2" xfId="2023"/>
    <cellStyle name="Normal 11 11 2 2" xfId="2024"/>
    <cellStyle name="Normal 11 11 3" xfId="2025"/>
    <cellStyle name="Normal 11 12" xfId="2026"/>
    <cellStyle name="Normal 11 12 2" xfId="2027"/>
    <cellStyle name="Normal 11 12 2 2" xfId="2028"/>
    <cellStyle name="Normal 11 12 3" xfId="2029"/>
    <cellStyle name="Normal 11 13" xfId="2030"/>
    <cellStyle name="Normal 11 13 2" xfId="2031"/>
    <cellStyle name="Normal 11 13 2 2" xfId="2032"/>
    <cellStyle name="Normal 11 13 3" xfId="2033"/>
    <cellStyle name="Normal 11 14" xfId="2034"/>
    <cellStyle name="Normal 11 14 2" xfId="2035"/>
    <cellStyle name="Normal 11 14 2 2" xfId="2036"/>
    <cellStyle name="Normal 11 14 3" xfId="2037"/>
    <cellStyle name="Normal 11 15" xfId="2038"/>
    <cellStyle name="Normal 11 15 2" xfId="2039"/>
    <cellStyle name="Normal 11 15 2 2" xfId="2040"/>
    <cellStyle name="Normal 11 15 3" xfId="2041"/>
    <cellStyle name="Normal 11 16" xfId="2042"/>
    <cellStyle name="Normal 11 16 2" xfId="2043"/>
    <cellStyle name="Normal 11 17" xfId="2044"/>
    <cellStyle name="Normal 11 2" xfId="2045"/>
    <cellStyle name="Normal 11 2 2" xfId="2046"/>
    <cellStyle name="Normal 11 2 2 2" xfId="2047"/>
    <cellStyle name="Normal 11 2 3" xfId="2048"/>
    <cellStyle name="Normal 11 3" xfId="2049"/>
    <cellStyle name="Normal 11 3 2" xfId="2050"/>
    <cellStyle name="Normal 11 3 2 2" xfId="2051"/>
    <cellStyle name="Normal 11 3 3" xfId="2052"/>
    <cellStyle name="Normal 11 4" xfId="2053"/>
    <cellStyle name="Normal 11 4 2" xfId="2054"/>
    <cellStyle name="Normal 11 4 2 2" xfId="2055"/>
    <cellStyle name="Normal 11 4 3" xfId="2056"/>
    <cellStyle name="Normal 11 5" xfId="2057"/>
    <cellStyle name="Normal 11 5 2" xfId="2058"/>
    <cellStyle name="Normal 11 5 2 2" xfId="2059"/>
    <cellStyle name="Normal 11 5 3" xfId="2060"/>
    <cellStyle name="Normal 11 6" xfId="2061"/>
    <cellStyle name="Normal 11 6 2" xfId="2062"/>
    <cellStyle name="Normal 11 6 2 2" xfId="2063"/>
    <cellStyle name="Normal 11 6 3" xfId="2064"/>
    <cellStyle name="Normal 11 7" xfId="2065"/>
    <cellStyle name="Normal 11 7 2" xfId="2066"/>
    <cellStyle name="Normal 11 7 2 2" xfId="2067"/>
    <cellStyle name="Normal 11 7 3" xfId="2068"/>
    <cellStyle name="Normal 11 8" xfId="2069"/>
    <cellStyle name="Normal 11 8 2" xfId="2070"/>
    <cellStyle name="Normal 11 8 2 2" xfId="2071"/>
    <cellStyle name="Normal 11 8 3" xfId="2072"/>
    <cellStyle name="Normal 11 9" xfId="2073"/>
    <cellStyle name="Normal 11 9 2" xfId="2074"/>
    <cellStyle name="Normal 11 9 2 2" xfId="2075"/>
    <cellStyle name="Normal 11 9 3" xfId="2076"/>
    <cellStyle name="Normal 115 2" xfId="4674"/>
    <cellStyle name="Normal 12" xfId="2077"/>
    <cellStyle name="Normal 12 10" xfId="2078"/>
    <cellStyle name="Normal 12 10 2" xfId="2079"/>
    <cellStyle name="Normal 12 10 2 2" xfId="2080"/>
    <cellStyle name="Normal 12 10 3" xfId="2081"/>
    <cellStyle name="Normal 12 11" xfId="2082"/>
    <cellStyle name="Normal 12 11 2" xfId="2083"/>
    <cellStyle name="Normal 12 11 2 2" xfId="2084"/>
    <cellStyle name="Normal 12 11 3" xfId="2085"/>
    <cellStyle name="Normal 12 12" xfId="2086"/>
    <cellStyle name="Normal 12 12 2" xfId="2087"/>
    <cellStyle name="Normal 12 12 2 2" xfId="2088"/>
    <cellStyle name="Normal 12 12 3" xfId="2089"/>
    <cellStyle name="Normal 12 13" xfId="2090"/>
    <cellStyle name="Normal 12 13 2" xfId="2091"/>
    <cellStyle name="Normal 12 13 2 2" xfId="2092"/>
    <cellStyle name="Normal 12 13 3" xfId="2093"/>
    <cellStyle name="Normal 12 14" xfId="2094"/>
    <cellStyle name="Normal 12 14 2" xfId="2095"/>
    <cellStyle name="Normal 12 14 2 2" xfId="2096"/>
    <cellStyle name="Normal 12 14 3" xfId="2097"/>
    <cellStyle name="Normal 12 14 3 2" xfId="2098"/>
    <cellStyle name="Normal 12 14 4" xfId="2099"/>
    <cellStyle name="Normal 12 15" xfId="2100"/>
    <cellStyle name="Normal 12 15 2" xfId="2101"/>
    <cellStyle name="Normal 12 15 2 2" xfId="2102"/>
    <cellStyle name="Normal 12 15 3" xfId="2103"/>
    <cellStyle name="Normal 12 2" xfId="2104"/>
    <cellStyle name="Normal 12 2 2" xfId="2105"/>
    <cellStyle name="Normal 12 2 2 2" xfId="2106"/>
    <cellStyle name="Normal 12 2 3" xfId="2107"/>
    <cellStyle name="Normal 12 2 4" xfId="4675"/>
    <cellStyle name="Normal 12 3" xfId="2108"/>
    <cellStyle name="Normal 12 3 2" xfId="2109"/>
    <cellStyle name="Normal 12 3 2 2" xfId="2110"/>
    <cellStyle name="Normal 12 3 3" xfId="2111"/>
    <cellStyle name="Normal 12 4" xfId="2112"/>
    <cellStyle name="Normal 12 4 2" xfId="2113"/>
    <cellStyle name="Normal 12 4 2 2" xfId="2114"/>
    <cellStyle name="Normal 12 4 3" xfId="2115"/>
    <cellStyle name="Normal 12 5" xfId="2116"/>
    <cellStyle name="Normal 12 5 2" xfId="2117"/>
    <cellStyle name="Normal 12 5 2 2" xfId="2118"/>
    <cellStyle name="Normal 12 5 3" xfId="2119"/>
    <cellStyle name="Normal 12 6" xfId="2120"/>
    <cellStyle name="Normal 12 6 2" xfId="2121"/>
    <cellStyle name="Normal 12 6 2 2" xfId="2122"/>
    <cellStyle name="Normal 12 6 3" xfId="2123"/>
    <cellStyle name="Normal 12 7" xfId="2124"/>
    <cellStyle name="Normal 12 7 2" xfId="2125"/>
    <cellStyle name="Normal 12 7 2 2" xfId="2126"/>
    <cellStyle name="Normal 12 7 3" xfId="2127"/>
    <cellStyle name="Normal 12 8" xfId="2128"/>
    <cellStyle name="Normal 12 8 2" xfId="2129"/>
    <cellStyle name="Normal 12 8 2 2" xfId="2130"/>
    <cellStyle name="Normal 12 8 3" xfId="2131"/>
    <cellStyle name="Normal 12 9" xfId="2132"/>
    <cellStyle name="Normal 12 9 2" xfId="2133"/>
    <cellStyle name="Normal 12 9 2 2" xfId="2134"/>
    <cellStyle name="Normal 12 9 3" xfId="2135"/>
    <cellStyle name="Normal 13" xfId="2136"/>
    <cellStyle name="Normal 13 2" xfId="2137"/>
    <cellStyle name="Normal 13 2 2" xfId="4680"/>
    <cellStyle name="Normal 13 3" xfId="4325"/>
    <cellStyle name="Normal 14" xfId="2138"/>
    <cellStyle name="Normal 14 10" xfId="2139"/>
    <cellStyle name="Normal 14 10 2" xfId="2140"/>
    <cellStyle name="Normal 14 10 2 2" xfId="2141"/>
    <cellStyle name="Normal 14 10 3" xfId="2142"/>
    <cellStyle name="Normal 14 11" xfId="2143"/>
    <cellStyle name="Normal 14 11 2" xfId="2144"/>
    <cellStyle name="Normal 14 11 2 2" xfId="2145"/>
    <cellStyle name="Normal 14 11 3" xfId="2146"/>
    <cellStyle name="Normal 14 12" xfId="2147"/>
    <cellStyle name="Normal 14 12 2" xfId="2148"/>
    <cellStyle name="Normal 14 12 2 2" xfId="2149"/>
    <cellStyle name="Normal 14 12 3" xfId="2150"/>
    <cellStyle name="Normal 14 13" xfId="2151"/>
    <cellStyle name="Normal 14 13 2" xfId="2152"/>
    <cellStyle name="Normal 14 13 2 2" xfId="2153"/>
    <cellStyle name="Normal 14 13 3" xfId="2154"/>
    <cellStyle name="Normal 14 14" xfId="2155"/>
    <cellStyle name="Normal 14 14 2" xfId="2156"/>
    <cellStyle name="Normal 14 14 2 2" xfId="2157"/>
    <cellStyle name="Normal 14 14 3" xfId="2158"/>
    <cellStyle name="Normal 14 15" xfId="2159"/>
    <cellStyle name="Normal 14 15 2" xfId="2160"/>
    <cellStyle name="Normal 14 15 2 2" xfId="2161"/>
    <cellStyle name="Normal 14 15 3" xfId="2162"/>
    <cellStyle name="Normal 14 15 3 2" xfId="2163"/>
    <cellStyle name="Normal 14 15 4" xfId="2164"/>
    <cellStyle name="Normal 14 16" xfId="2165"/>
    <cellStyle name="Normal 14 16 2" xfId="2166"/>
    <cellStyle name="Normal 14 17" xfId="2167"/>
    <cellStyle name="Normal 14 17 2" xfId="2168"/>
    <cellStyle name="Normal 14 18" xfId="2169"/>
    <cellStyle name="Normal 14 18 2" xfId="2170"/>
    <cellStyle name="Normal 14 19" xfId="2171"/>
    <cellStyle name="Normal 14 19 2" xfId="2172"/>
    <cellStyle name="Normal 14 2" xfId="2173"/>
    <cellStyle name="Normal 14 2 2" xfId="2174"/>
    <cellStyle name="Normal 14 2 2 2" xfId="2175"/>
    <cellStyle name="Normal 14 2 3" xfId="2176"/>
    <cellStyle name="Normal 14 20" xfId="2177"/>
    <cellStyle name="Normal 14 3" xfId="2178"/>
    <cellStyle name="Normal 14 3 2" xfId="2179"/>
    <cellStyle name="Normal 14 3 2 2" xfId="2180"/>
    <cellStyle name="Normal 14 3 3" xfId="2181"/>
    <cellStyle name="Normal 14 4" xfId="2182"/>
    <cellStyle name="Normal 14 4 2" xfId="2183"/>
    <cellStyle name="Normal 14 4 2 2" xfId="2184"/>
    <cellStyle name="Normal 14 4 3" xfId="2185"/>
    <cellStyle name="Normal 14 5" xfId="2186"/>
    <cellStyle name="Normal 14 5 2" xfId="2187"/>
    <cellStyle name="Normal 14 5 2 2" xfId="2188"/>
    <cellStyle name="Normal 14 5 3" xfId="2189"/>
    <cellStyle name="Normal 14 6" xfId="2190"/>
    <cellStyle name="Normal 14 6 2" xfId="2191"/>
    <cellStyle name="Normal 14 6 2 2" xfId="2192"/>
    <cellStyle name="Normal 14 6 3" xfId="2193"/>
    <cellStyle name="Normal 14 7" xfId="2194"/>
    <cellStyle name="Normal 14 7 2" xfId="2195"/>
    <cellStyle name="Normal 14 7 2 2" xfId="2196"/>
    <cellStyle name="Normal 14 7 3" xfId="2197"/>
    <cellStyle name="Normal 14 8" xfId="2198"/>
    <cellStyle name="Normal 14 8 2" xfId="2199"/>
    <cellStyle name="Normal 14 8 2 2" xfId="2200"/>
    <cellStyle name="Normal 14 8 3" xfId="2201"/>
    <cellStyle name="Normal 14 9" xfId="2202"/>
    <cellStyle name="Normal 14 9 2" xfId="2203"/>
    <cellStyle name="Normal 14 9 2 2" xfId="2204"/>
    <cellStyle name="Normal 14 9 3" xfId="2205"/>
    <cellStyle name="Normal 15" xfId="2206"/>
    <cellStyle name="Normal 15 2" xfId="4686"/>
    <cellStyle name="Normal 15 2 2" xfId="4687"/>
    <cellStyle name="Normal 16" xfId="2207"/>
    <cellStyle name="Normal 16 10" xfId="2208"/>
    <cellStyle name="Normal 16 10 2" xfId="2209"/>
    <cellStyle name="Normal 16 10 2 2" xfId="2210"/>
    <cellStyle name="Normal 16 10 3" xfId="2211"/>
    <cellStyle name="Normal 16 11" xfId="2212"/>
    <cellStyle name="Normal 16 11 2" xfId="2213"/>
    <cellStyle name="Normal 16 11 2 2" xfId="2214"/>
    <cellStyle name="Normal 16 11 3" xfId="2215"/>
    <cellStyle name="Normal 16 12" xfId="2216"/>
    <cellStyle name="Normal 16 12 2" xfId="2217"/>
    <cellStyle name="Normal 16 12 2 2" xfId="2218"/>
    <cellStyle name="Normal 16 12 3" xfId="2219"/>
    <cellStyle name="Normal 16 13" xfId="2220"/>
    <cellStyle name="Normal 16 13 2" xfId="2221"/>
    <cellStyle name="Normal 16 13 2 2" xfId="2222"/>
    <cellStyle name="Normal 16 13 3" xfId="2223"/>
    <cellStyle name="Normal 16 14" xfId="2224"/>
    <cellStyle name="Normal 16 14 2" xfId="2225"/>
    <cellStyle name="Normal 16 14 2 2" xfId="2226"/>
    <cellStyle name="Normal 16 14 3" xfId="2227"/>
    <cellStyle name="Normal 16 15" xfId="2228"/>
    <cellStyle name="Normal 16 15 2" xfId="2229"/>
    <cellStyle name="Normal 16 15 2 2" xfId="2230"/>
    <cellStyle name="Normal 16 15 3" xfId="2231"/>
    <cellStyle name="Normal 16 16" xfId="2232"/>
    <cellStyle name="Normal 16 16 2" xfId="2233"/>
    <cellStyle name="Normal 16 17" xfId="2234"/>
    <cellStyle name="Normal 16 17 2" xfId="2235"/>
    <cellStyle name="Normal 16 18" xfId="2236"/>
    <cellStyle name="Normal 16 18 2" xfId="2237"/>
    <cellStyle name="Normal 16 19" xfId="2238"/>
    <cellStyle name="Normal 16 19 2" xfId="2239"/>
    <cellStyle name="Normal 16 2" xfId="2240"/>
    <cellStyle name="Normal 16 2 2" xfId="2241"/>
    <cellStyle name="Normal 16 2 2 2" xfId="2242"/>
    <cellStyle name="Normal 16 2 3" xfId="2243"/>
    <cellStyle name="Normal 16 20" xfId="2244"/>
    <cellStyle name="Normal 16 20 2" xfId="2245"/>
    <cellStyle name="Normal 16 21" xfId="2246"/>
    <cellStyle name="Normal 16 21 2" xfId="2247"/>
    <cellStyle name="Normal 16 22" xfId="2248"/>
    <cellStyle name="Normal 16 22 2" xfId="2249"/>
    <cellStyle name="Normal 16 23" xfId="2250"/>
    <cellStyle name="Normal 16 3" xfId="2251"/>
    <cellStyle name="Normal 16 3 2" xfId="2252"/>
    <cellStyle name="Normal 16 3 2 2" xfId="2253"/>
    <cellStyle name="Normal 16 3 3" xfId="2254"/>
    <cellStyle name="Normal 16 4" xfId="2255"/>
    <cellStyle name="Normal 16 4 2" xfId="2256"/>
    <cellStyle name="Normal 16 4 2 2" xfId="2257"/>
    <cellStyle name="Normal 16 4 3" xfId="2258"/>
    <cellStyle name="Normal 16 5" xfId="2259"/>
    <cellStyle name="Normal 16 5 2" xfId="2260"/>
    <cellStyle name="Normal 16 5 2 2" xfId="2261"/>
    <cellStyle name="Normal 16 5 3" xfId="2262"/>
    <cellStyle name="Normal 16 6" xfId="2263"/>
    <cellStyle name="Normal 16 6 2" xfId="2264"/>
    <cellStyle name="Normal 16 6 2 2" xfId="2265"/>
    <cellStyle name="Normal 16 6 3" xfId="2266"/>
    <cellStyle name="Normal 16 7" xfId="2267"/>
    <cellStyle name="Normal 16 7 2" xfId="2268"/>
    <cellStyle name="Normal 16 7 2 2" xfId="2269"/>
    <cellStyle name="Normal 16 7 3" xfId="2270"/>
    <cellStyle name="Normal 16 8" xfId="2271"/>
    <cellStyle name="Normal 16 8 2" xfId="2272"/>
    <cellStyle name="Normal 16 8 2 2" xfId="2273"/>
    <cellStyle name="Normal 16 8 3" xfId="2274"/>
    <cellStyle name="Normal 16 9" xfId="2275"/>
    <cellStyle name="Normal 16 9 2" xfId="2276"/>
    <cellStyle name="Normal 16 9 2 2" xfId="2277"/>
    <cellStyle name="Normal 16 9 3" xfId="2278"/>
    <cellStyle name="Normal 17" xfId="2279"/>
    <cellStyle name="Normal 17 2" xfId="2280"/>
    <cellStyle name="Normal 17 2 2" xfId="2281"/>
    <cellStyle name="Normal 17 2 2 2" xfId="2282"/>
    <cellStyle name="Normal 17 2 2 2 2" xfId="2283"/>
    <cellStyle name="Normal 17 2 2 3" xfId="2284"/>
    <cellStyle name="Normal 17 2 3" xfId="2285"/>
    <cellStyle name="Normal 17 2 3 2" xfId="2286"/>
    <cellStyle name="Normal 17 2 3 2 2" xfId="2287"/>
    <cellStyle name="Normal 17 2 3 3" xfId="2288"/>
    <cellStyle name="Normal 17 2 4" xfId="2289"/>
    <cellStyle name="Normal 17 2 4 2" xfId="2290"/>
    <cellStyle name="Normal 17 2 5" xfId="2291"/>
    <cellStyle name="Normal 17 3" xfId="2292"/>
    <cellStyle name="Normal 17 3 2" xfId="2293"/>
    <cellStyle name="Normal 17 4" xfId="2294"/>
    <cellStyle name="Normal 17 4 2" xfId="2295"/>
    <cellStyle name="Normal 17 5" xfId="2296"/>
    <cellStyle name="Normal 17 5 2" xfId="2297"/>
    <cellStyle name="Normal 17 6" xfId="2298"/>
    <cellStyle name="Normal 17 6 2" xfId="2299"/>
    <cellStyle name="Normal 17 7" xfId="2300"/>
    <cellStyle name="Normal 18" xfId="2301"/>
    <cellStyle name="Normal 18 10" xfId="2302"/>
    <cellStyle name="Normal 18 10 2" xfId="2303"/>
    <cellStyle name="Normal 18 10 2 2" xfId="2304"/>
    <cellStyle name="Normal 18 10 3" xfId="2305"/>
    <cellStyle name="Normal 18 11" xfId="2306"/>
    <cellStyle name="Normal 18 11 2" xfId="2307"/>
    <cellStyle name="Normal 18 11 2 2" xfId="2308"/>
    <cellStyle name="Normal 18 11 3" xfId="2309"/>
    <cellStyle name="Normal 18 12" xfId="2310"/>
    <cellStyle name="Normal 18 12 2" xfId="2311"/>
    <cellStyle name="Normal 18 12 2 2" xfId="2312"/>
    <cellStyle name="Normal 18 12 3" xfId="2313"/>
    <cellStyle name="Normal 18 13" xfId="2314"/>
    <cellStyle name="Normal 18 13 2" xfId="2315"/>
    <cellStyle name="Normal 18 13 2 2" xfId="2316"/>
    <cellStyle name="Normal 18 13 3" xfId="2317"/>
    <cellStyle name="Normal 18 14" xfId="2318"/>
    <cellStyle name="Normal 18 14 2" xfId="2319"/>
    <cellStyle name="Normal 18 14 2 2" xfId="2320"/>
    <cellStyle name="Normal 18 14 3" xfId="2321"/>
    <cellStyle name="Normal 18 15" xfId="2322"/>
    <cellStyle name="Normal 18 15 2" xfId="2323"/>
    <cellStyle name="Normal 18 15 2 2" xfId="2324"/>
    <cellStyle name="Normal 18 15 3" xfId="2325"/>
    <cellStyle name="Normal 18 16" xfId="2326"/>
    <cellStyle name="Normal 18 16 2" xfId="2327"/>
    <cellStyle name="Normal 18 17" xfId="2328"/>
    <cellStyle name="Normal 18 17 2" xfId="2329"/>
    <cellStyle name="Normal 18 18" xfId="2330"/>
    <cellStyle name="Normal 18 18 2" xfId="2331"/>
    <cellStyle name="Normal 18 19" xfId="2332"/>
    <cellStyle name="Normal 18 19 2" xfId="2333"/>
    <cellStyle name="Normal 18 2" xfId="2334"/>
    <cellStyle name="Normal 18 2 2" xfId="2335"/>
    <cellStyle name="Normal 18 2 2 2" xfId="2336"/>
    <cellStyle name="Normal 18 2 3" xfId="2337"/>
    <cellStyle name="Normal 18 20" xfId="2338"/>
    <cellStyle name="Normal 18 20 2" xfId="2339"/>
    <cellStyle name="Normal 18 21" xfId="2340"/>
    <cellStyle name="Normal 18 21 2" xfId="2341"/>
    <cellStyle name="Normal 18 22" xfId="2342"/>
    <cellStyle name="Normal 18 3" xfId="2343"/>
    <cellStyle name="Normal 18 3 2" xfId="2344"/>
    <cellStyle name="Normal 18 3 2 2" xfId="2345"/>
    <cellStyle name="Normal 18 3 3" xfId="2346"/>
    <cellStyle name="Normal 18 4" xfId="2347"/>
    <cellStyle name="Normal 18 4 2" xfId="2348"/>
    <cellStyle name="Normal 18 4 2 2" xfId="2349"/>
    <cellStyle name="Normal 18 4 3" xfId="2350"/>
    <cellStyle name="Normal 18 5" xfId="2351"/>
    <cellStyle name="Normal 18 5 2" xfId="2352"/>
    <cellStyle name="Normal 18 5 2 2" xfId="2353"/>
    <cellStyle name="Normal 18 5 3" xfId="2354"/>
    <cellStyle name="Normal 18 6" xfId="2355"/>
    <cellStyle name="Normal 18 6 2" xfId="2356"/>
    <cellStyle name="Normal 18 6 2 2" xfId="2357"/>
    <cellStyle name="Normal 18 6 3" xfId="2358"/>
    <cellStyle name="Normal 18 7" xfId="2359"/>
    <cellStyle name="Normal 18 7 2" xfId="2360"/>
    <cellStyle name="Normal 18 7 2 2" xfId="2361"/>
    <cellStyle name="Normal 18 7 3" xfId="2362"/>
    <cellStyle name="Normal 18 8" xfId="2363"/>
    <cellStyle name="Normal 18 8 2" xfId="2364"/>
    <cellStyle name="Normal 18 8 2 2" xfId="2365"/>
    <cellStyle name="Normal 18 8 3" xfId="2366"/>
    <cellStyle name="Normal 18 9" xfId="2367"/>
    <cellStyle name="Normal 18 9 2" xfId="2368"/>
    <cellStyle name="Normal 18 9 2 2" xfId="2369"/>
    <cellStyle name="Normal 18 9 3" xfId="2370"/>
    <cellStyle name="Normal 19" xfId="2371"/>
    <cellStyle name="Normal 19 10" xfId="2372"/>
    <cellStyle name="Normal 19 10 2" xfId="2373"/>
    <cellStyle name="Normal 19 10 2 2" xfId="2374"/>
    <cellStyle name="Normal 19 10 3" xfId="2375"/>
    <cellStyle name="Normal 19 11" xfId="2376"/>
    <cellStyle name="Normal 19 11 2" xfId="2377"/>
    <cellStyle name="Normal 19 11 2 2" xfId="2378"/>
    <cellStyle name="Normal 19 11 3" xfId="2379"/>
    <cellStyle name="Normal 19 12" xfId="2380"/>
    <cellStyle name="Normal 19 12 2" xfId="2381"/>
    <cellStyle name="Normal 19 12 2 2" xfId="2382"/>
    <cellStyle name="Normal 19 12 3" xfId="2383"/>
    <cellStyle name="Normal 19 13" xfId="2384"/>
    <cellStyle name="Normal 19 13 2" xfId="2385"/>
    <cellStyle name="Normal 19 13 2 2" xfId="2386"/>
    <cellStyle name="Normal 19 13 3" xfId="2387"/>
    <cellStyle name="Normal 19 14" xfId="2388"/>
    <cellStyle name="Normal 19 14 2" xfId="2389"/>
    <cellStyle name="Normal 19 14 2 2" xfId="2390"/>
    <cellStyle name="Normal 19 14 3" xfId="2391"/>
    <cellStyle name="Normal 19 15" xfId="2392"/>
    <cellStyle name="Normal 19 15 2" xfId="2393"/>
    <cellStyle name="Normal 19 15 2 2" xfId="2394"/>
    <cellStyle name="Normal 19 15 3" xfId="2395"/>
    <cellStyle name="Normal 19 16" xfId="2396"/>
    <cellStyle name="Normal 19 16 2" xfId="2397"/>
    <cellStyle name="Normal 19 17" xfId="2398"/>
    <cellStyle name="Normal 19 17 2" xfId="2399"/>
    <cellStyle name="Normal 19 18" xfId="2400"/>
    <cellStyle name="Normal 19 18 2" xfId="2401"/>
    <cellStyle name="Normal 19 19" xfId="2402"/>
    <cellStyle name="Normal 19 19 2" xfId="2403"/>
    <cellStyle name="Normal 19 2" xfId="2404"/>
    <cellStyle name="Normal 19 2 2" xfId="2405"/>
    <cellStyle name="Normal 19 2 2 2" xfId="2406"/>
    <cellStyle name="Normal 19 2 3" xfId="2407"/>
    <cellStyle name="Normal 19 20" xfId="2408"/>
    <cellStyle name="Normal 19 20 2" xfId="2409"/>
    <cellStyle name="Normal 19 21" xfId="2410"/>
    <cellStyle name="Normal 19 21 2" xfId="2411"/>
    <cellStyle name="Normal 19 22" xfId="2412"/>
    <cellStyle name="Normal 19 3" xfId="2413"/>
    <cellStyle name="Normal 19 3 2" xfId="2414"/>
    <cellStyle name="Normal 19 3 2 2" xfId="2415"/>
    <cellStyle name="Normal 19 3 3" xfId="2416"/>
    <cellStyle name="Normal 19 4" xfId="2417"/>
    <cellStyle name="Normal 19 4 2" xfId="2418"/>
    <cellStyle name="Normal 19 4 2 2" xfId="2419"/>
    <cellStyle name="Normal 19 4 3" xfId="2420"/>
    <cellStyle name="Normal 19 5" xfId="2421"/>
    <cellStyle name="Normal 19 5 2" xfId="2422"/>
    <cellStyle name="Normal 19 5 2 2" xfId="2423"/>
    <cellStyle name="Normal 19 5 3" xfId="2424"/>
    <cellStyle name="Normal 19 6" xfId="2425"/>
    <cellStyle name="Normal 19 6 2" xfId="2426"/>
    <cellStyle name="Normal 19 6 2 2" xfId="2427"/>
    <cellStyle name="Normal 19 6 3" xfId="2428"/>
    <cellStyle name="Normal 19 7" xfId="2429"/>
    <cellStyle name="Normal 19 7 2" xfId="2430"/>
    <cellStyle name="Normal 19 7 2 2" xfId="2431"/>
    <cellStyle name="Normal 19 7 3" xfId="2432"/>
    <cellStyle name="Normal 19 8" xfId="2433"/>
    <cellStyle name="Normal 19 8 2" xfId="2434"/>
    <cellStyle name="Normal 19 8 2 2" xfId="2435"/>
    <cellStyle name="Normal 19 8 3" xfId="2436"/>
    <cellStyle name="Normal 19 9" xfId="2437"/>
    <cellStyle name="Normal 19 9 2" xfId="2438"/>
    <cellStyle name="Normal 19 9 2 2" xfId="2439"/>
    <cellStyle name="Normal 19 9 3" xfId="2440"/>
    <cellStyle name="Normal 2" xfId="121"/>
    <cellStyle name="Normal 2 10" xfId="2441"/>
    <cellStyle name="Normal 2 10 2" xfId="2442"/>
    <cellStyle name="Normal 2 10 2 2" xfId="2443"/>
    <cellStyle name="Normal 2 10 3" xfId="2444"/>
    <cellStyle name="Normal 2 11" xfId="2445"/>
    <cellStyle name="Normal 2 11 2" xfId="2446"/>
    <cellStyle name="Normal 2 11 2 2" xfId="2447"/>
    <cellStyle name="Normal 2 11 3" xfId="2448"/>
    <cellStyle name="Normal 2 12" xfId="2449"/>
    <cellStyle name="Normal 2 12 2" xfId="2450"/>
    <cellStyle name="Normal 2 12 2 2" xfId="2451"/>
    <cellStyle name="Normal 2 12 3" xfId="2452"/>
    <cellStyle name="Normal 2 13" xfId="2453"/>
    <cellStyle name="Normal 2 13 2" xfId="2454"/>
    <cellStyle name="Normal 2 13 2 2" xfId="2455"/>
    <cellStyle name="Normal 2 13 3" xfId="2456"/>
    <cellStyle name="Normal 2 14" xfId="2457"/>
    <cellStyle name="Normal 2 14 2" xfId="2458"/>
    <cellStyle name="Normal 2 14 2 2" xfId="2459"/>
    <cellStyle name="Normal 2 14 3" xfId="2460"/>
    <cellStyle name="Normal 2 15" xfId="2461"/>
    <cellStyle name="Normal 2 15 2" xfId="2462"/>
    <cellStyle name="Normal 2 15 2 2" xfId="2463"/>
    <cellStyle name="Normal 2 15 3" xfId="2464"/>
    <cellStyle name="Normal 2 16" xfId="2465"/>
    <cellStyle name="Normal 2 16 2" xfId="2466"/>
    <cellStyle name="Normal 2 17" xfId="2467"/>
    <cellStyle name="Normal 2 17 2" xfId="2468"/>
    <cellStyle name="Normal 2 18" xfId="2469"/>
    <cellStyle name="Normal 2 18 2" xfId="2470"/>
    <cellStyle name="Normal 2 19" xfId="2471"/>
    <cellStyle name="Normal 2 19 2" xfId="2472"/>
    <cellStyle name="Normal 2 19 2 2" xfId="2473"/>
    <cellStyle name="Normal 2 19 3" xfId="2474"/>
    <cellStyle name="Normal 2 2" xfId="122"/>
    <cellStyle name="Normal 2 2 10" xfId="2475"/>
    <cellStyle name="Normal 2 2 2" xfId="2476"/>
    <cellStyle name="Normal 2 2 2 2" xfId="2477"/>
    <cellStyle name="Normal 2 2 3" xfId="2478"/>
    <cellStyle name="Normal 2 2 3 2" xfId="2479"/>
    <cellStyle name="Normal 2 2 4" xfId="2480"/>
    <cellStyle name="Normal 2 2 4 2" xfId="2481"/>
    <cellStyle name="Normal 2 2 5" xfId="2482"/>
    <cellStyle name="Normal 2 2 5 2" xfId="2483"/>
    <cellStyle name="Normal 2 2 6" xfId="2484"/>
    <cellStyle name="Normal 2 2 6 2" xfId="2485"/>
    <cellStyle name="Normal 2 2 7" xfId="2486"/>
    <cellStyle name="Normal 2 2 7 2" xfId="2487"/>
    <cellStyle name="Normal 2 2 8" xfId="2488"/>
    <cellStyle name="Normal 2 2 8 2" xfId="2489"/>
    <cellStyle name="Normal 2 2 9" xfId="2490"/>
    <cellStyle name="Normal 2 20" xfId="2491"/>
    <cellStyle name="Normal 2 21" xfId="2492"/>
    <cellStyle name="Normal 2 22" xfId="2493"/>
    <cellStyle name="Normal 2 3" xfId="2494"/>
    <cellStyle name="Normal 2 3 2" xfId="2495"/>
    <cellStyle name="Normal 2 3 2 2" xfId="2496"/>
    <cellStyle name="Normal 2 3 3" xfId="2497"/>
    <cellStyle name="Normal 2 4" xfId="2498"/>
    <cellStyle name="Normal 2 4 2" xfId="2499"/>
    <cellStyle name="Normal 2 4 2 2" xfId="2500"/>
    <cellStyle name="Normal 2 4 3" xfId="2501"/>
    <cellStyle name="Normal 2 5" xfId="2502"/>
    <cellStyle name="Normal 2 5 2" xfId="2503"/>
    <cellStyle name="Normal 2 5 2 2" xfId="2504"/>
    <cellStyle name="Normal 2 5 3" xfId="2505"/>
    <cellStyle name="Normal 2 6" xfId="2506"/>
    <cellStyle name="Normal 2 6 2" xfId="2507"/>
    <cellStyle name="Normal 2 6 2 2" xfId="2508"/>
    <cellStyle name="Normal 2 6 3" xfId="2509"/>
    <cellStyle name="Normal 2 7" xfId="2510"/>
    <cellStyle name="Normal 2 7 2" xfId="2511"/>
    <cellStyle name="Normal 2 7 2 2" xfId="2512"/>
    <cellStyle name="Normal 2 7 3" xfId="2513"/>
    <cellStyle name="Normal 2 8" xfId="2514"/>
    <cellStyle name="Normal 2 8 2" xfId="2515"/>
    <cellStyle name="Normal 2 8 2 2" xfId="2516"/>
    <cellStyle name="Normal 2 8 3" xfId="2517"/>
    <cellStyle name="Normal 2 9" xfId="2518"/>
    <cellStyle name="Normal 2 9 2" xfId="2519"/>
    <cellStyle name="Normal 2 9 2 2" xfId="2520"/>
    <cellStyle name="Normal 2 9 3" xfId="2521"/>
    <cellStyle name="Normal 20" xfId="2522"/>
    <cellStyle name="Normal 20 10" xfId="2523"/>
    <cellStyle name="Normal 20 10 2" xfId="2524"/>
    <cellStyle name="Normal 20 10 2 2" xfId="2525"/>
    <cellStyle name="Normal 20 10 3" xfId="2526"/>
    <cellStyle name="Normal 20 10 3 2" xfId="2527"/>
    <cellStyle name="Normal 20 10 4" xfId="2528"/>
    <cellStyle name="Normal 20 11" xfId="2529"/>
    <cellStyle name="Normal 20 11 2" xfId="2530"/>
    <cellStyle name="Normal 20 11 2 2" xfId="2531"/>
    <cellStyle name="Normal 20 11 3" xfId="2532"/>
    <cellStyle name="Normal 20 12" xfId="2533"/>
    <cellStyle name="Normal 20 12 2" xfId="2534"/>
    <cellStyle name="Normal 20 12 2 2" xfId="2535"/>
    <cellStyle name="Normal 20 12 3" xfId="2536"/>
    <cellStyle name="Normal 20 13" xfId="2537"/>
    <cellStyle name="Normal 20 13 2" xfId="2538"/>
    <cellStyle name="Normal 20 13 2 2" xfId="2539"/>
    <cellStyle name="Normal 20 13 3" xfId="2540"/>
    <cellStyle name="Normal 20 14" xfId="2541"/>
    <cellStyle name="Normal 20 14 2" xfId="2542"/>
    <cellStyle name="Normal 20 14 2 2" xfId="2543"/>
    <cellStyle name="Normal 20 14 3" xfId="2544"/>
    <cellStyle name="Normal 20 15" xfId="2545"/>
    <cellStyle name="Normal 20 15 2" xfId="2546"/>
    <cellStyle name="Normal 20 15 2 2" xfId="2547"/>
    <cellStyle name="Normal 20 15 3" xfId="2548"/>
    <cellStyle name="Normal 20 16" xfId="2549"/>
    <cellStyle name="Normal 20 16 2" xfId="2550"/>
    <cellStyle name="Normal 20 17" xfId="2551"/>
    <cellStyle name="Normal 20 17 2" xfId="2552"/>
    <cellStyle name="Normal 20 18" xfId="2553"/>
    <cellStyle name="Normal 20 18 2" xfId="2554"/>
    <cellStyle name="Normal 20 19" xfId="2555"/>
    <cellStyle name="Normal 20 19 2" xfId="2556"/>
    <cellStyle name="Normal 20 2" xfId="2557"/>
    <cellStyle name="Normal 20 2 2" xfId="2558"/>
    <cellStyle name="Normal 20 2 2 2" xfId="2559"/>
    <cellStyle name="Normal 20 2 3" xfId="2560"/>
    <cellStyle name="Normal 20 20" xfId="2561"/>
    <cellStyle name="Normal 20 20 2" xfId="2562"/>
    <cellStyle name="Normal 20 21" xfId="2563"/>
    <cellStyle name="Normal 20 3" xfId="2564"/>
    <cellStyle name="Normal 20 3 2" xfId="2565"/>
    <cellStyle name="Normal 20 3 2 2" xfId="2566"/>
    <cellStyle name="Normal 20 3 3" xfId="2567"/>
    <cellStyle name="Normal 20 4" xfId="2568"/>
    <cellStyle name="Normal 20 4 2" xfId="2569"/>
    <cellStyle name="Normal 20 4 2 2" xfId="2570"/>
    <cellStyle name="Normal 20 4 3" xfId="2571"/>
    <cellStyle name="Normal 20 5" xfId="2572"/>
    <cellStyle name="Normal 20 5 2" xfId="2573"/>
    <cellStyle name="Normal 20 5 2 2" xfId="2574"/>
    <cellStyle name="Normal 20 5 3" xfId="2575"/>
    <cellStyle name="Normal 20 6" xfId="2576"/>
    <cellStyle name="Normal 20 6 2" xfId="2577"/>
    <cellStyle name="Normal 20 6 2 2" xfId="2578"/>
    <cellStyle name="Normal 20 6 3" xfId="2579"/>
    <cellStyle name="Normal 20 7" xfId="2580"/>
    <cellStyle name="Normal 20 7 2" xfId="2581"/>
    <cellStyle name="Normal 20 7 2 2" xfId="2582"/>
    <cellStyle name="Normal 20 7 3" xfId="2583"/>
    <cellStyle name="Normal 20 8" xfId="2584"/>
    <cellStyle name="Normal 20 8 2" xfId="2585"/>
    <cellStyle name="Normal 20 8 2 2" xfId="2586"/>
    <cellStyle name="Normal 20 8 3" xfId="2587"/>
    <cellStyle name="Normal 20 9" xfId="2588"/>
    <cellStyle name="Normal 20 9 2" xfId="2589"/>
    <cellStyle name="Normal 20 9 2 2" xfId="2590"/>
    <cellStyle name="Normal 20 9 3" xfId="2591"/>
    <cellStyle name="Normal 21" xfId="2592"/>
    <cellStyle name="Normal 21 10" xfId="2593"/>
    <cellStyle name="Normal 21 10 2" xfId="2594"/>
    <cellStyle name="Normal 21 10 2 2" xfId="2595"/>
    <cellStyle name="Normal 21 10 3" xfId="2596"/>
    <cellStyle name="Normal 21 11" xfId="2597"/>
    <cellStyle name="Normal 21 11 2" xfId="2598"/>
    <cellStyle name="Normal 21 11 2 2" xfId="2599"/>
    <cellStyle name="Normal 21 11 3" xfId="2600"/>
    <cellStyle name="Normal 21 12" xfId="2601"/>
    <cellStyle name="Normal 21 12 2" xfId="2602"/>
    <cellStyle name="Normal 21 12 2 2" xfId="2603"/>
    <cellStyle name="Normal 21 12 3" xfId="2604"/>
    <cellStyle name="Normal 21 13" xfId="2605"/>
    <cellStyle name="Normal 21 13 2" xfId="2606"/>
    <cellStyle name="Normal 21 13 2 2" xfId="2607"/>
    <cellStyle name="Normal 21 13 3" xfId="2608"/>
    <cellStyle name="Normal 21 14" xfId="2609"/>
    <cellStyle name="Normal 21 14 2" xfId="2610"/>
    <cellStyle name="Normal 21 14 2 2" xfId="2611"/>
    <cellStyle name="Normal 21 14 3" xfId="2612"/>
    <cellStyle name="Normal 21 15" xfId="2613"/>
    <cellStyle name="Normal 21 15 2" xfId="2614"/>
    <cellStyle name="Normal 21 15 2 2" xfId="2615"/>
    <cellStyle name="Normal 21 15 3" xfId="2616"/>
    <cellStyle name="Normal 21 16" xfId="2617"/>
    <cellStyle name="Normal 21 16 2" xfId="2618"/>
    <cellStyle name="Normal 21 17" xfId="2619"/>
    <cellStyle name="Normal 21 2" xfId="2620"/>
    <cellStyle name="Normal 21 2 2" xfId="2621"/>
    <cellStyle name="Normal 21 2 2 2" xfId="2622"/>
    <cellStyle name="Normal 21 2 3" xfId="2623"/>
    <cellStyle name="Normal 21 3" xfId="2624"/>
    <cellStyle name="Normal 21 3 2" xfId="2625"/>
    <cellStyle name="Normal 21 3 2 2" xfId="2626"/>
    <cellStyle name="Normal 21 3 3" xfId="2627"/>
    <cellStyle name="Normal 21 4" xfId="2628"/>
    <cellStyle name="Normal 21 4 2" xfId="2629"/>
    <cellStyle name="Normal 21 4 2 2" xfId="2630"/>
    <cellStyle name="Normal 21 4 3" xfId="2631"/>
    <cellStyle name="Normal 21 5" xfId="2632"/>
    <cellStyle name="Normal 21 5 2" xfId="2633"/>
    <cellStyle name="Normal 21 5 2 2" xfId="2634"/>
    <cellStyle name="Normal 21 5 3" xfId="2635"/>
    <cellStyle name="Normal 21 6" xfId="2636"/>
    <cellStyle name="Normal 21 6 2" xfId="2637"/>
    <cellStyle name="Normal 21 6 2 2" xfId="2638"/>
    <cellStyle name="Normal 21 6 3" xfId="2639"/>
    <cellStyle name="Normal 21 7" xfId="2640"/>
    <cellStyle name="Normal 21 7 2" xfId="2641"/>
    <cellStyle name="Normal 21 7 2 2" xfId="2642"/>
    <cellStyle name="Normal 21 7 3" xfId="2643"/>
    <cellStyle name="Normal 21 8" xfId="2644"/>
    <cellStyle name="Normal 21 8 2" xfId="2645"/>
    <cellStyle name="Normal 21 8 2 2" xfId="2646"/>
    <cellStyle name="Normal 21 8 3" xfId="2647"/>
    <cellStyle name="Normal 21 9" xfId="2648"/>
    <cellStyle name="Normal 21 9 2" xfId="2649"/>
    <cellStyle name="Normal 21 9 2 2" xfId="2650"/>
    <cellStyle name="Normal 21 9 3" xfId="2651"/>
    <cellStyle name="Normal 22" xfId="2652"/>
    <cellStyle name="Normal 22 10" xfId="2653"/>
    <cellStyle name="Normal 22 10 2" xfId="2654"/>
    <cellStyle name="Normal 22 10 2 2" xfId="2655"/>
    <cellStyle name="Normal 22 10 3" xfId="2656"/>
    <cellStyle name="Normal 22 11" xfId="2657"/>
    <cellStyle name="Normal 22 11 2" xfId="2658"/>
    <cellStyle name="Normal 22 11 2 2" xfId="2659"/>
    <cellStyle name="Normal 22 11 3" xfId="2660"/>
    <cellStyle name="Normal 22 12" xfId="2661"/>
    <cellStyle name="Normal 22 12 2" xfId="2662"/>
    <cellStyle name="Normal 22 12 2 2" xfId="2663"/>
    <cellStyle name="Normal 22 12 3" xfId="2664"/>
    <cellStyle name="Normal 22 13" xfId="2665"/>
    <cellStyle name="Normal 22 13 2" xfId="2666"/>
    <cellStyle name="Normal 22 13 2 2" xfId="2667"/>
    <cellStyle name="Normal 22 13 3" xfId="2668"/>
    <cellStyle name="Normal 22 14" xfId="2669"/>
    <cellStyle name="Normal 22 14 2" xfId="2670"/>
    <cellStyle name="Normal 22 14 2 2" xfId="2671"/>
    <cellStyle name="Normal 22 14 3" xfId="2672"/>
    <cellStyle name="Normal 22 15" xfId="2673"/>
    <cellStyle name="Normal 22 15 2" xfId="2674"/>
    <cellStyle name="Normal 22 15 2 2" xfId="2675"/>
    <cellStyle name="Normal 22 15 3" xfId="2676"/>
    <cellStyle name="Normal 22 16" xfId="2677"/>
    <cellStyle name="Normal 22 16 2" xfId="2678"/>
    <cellStyle name="Normal 22 17" xfId="2679"/>
    <cellStyle name="Normal 22 2" xfId="2680"/>
    <cellStyle name="Normal 22 2 2" xfId="2681"/>
    <cellStyle name="Normal 22 2 2 2" xfId="2682"/>
    <cellStyle name="Normal 22 2 3" xfId="2683"/>
    <cellStyle name="Normal 22 3" xfId="2684"/>
    <cellStyle name="Normal 22 3 2" xfId="2685"/>
    <cellStyle name="Normal 22 3 2 2" xfId="2686"/>
    <cellStyle name="Normal 22 3 3" xfId="2687"/>
    <cellStyle name="Normal 22 4" xfId="2688"/>
    <cellStyle name="Normal 22 4 2" xfId="2689"/>
    <cellStyle name="Normal 22 4 2 2" xfId="2690"/>
    <cellStyle name="Normal 22 4 3" xfId="2691"/>
    <cellStyle name="Normal 22 5" xfId="2692"/>
    <cellStyle name="Normal 22 5 2" xfId="2693"/>
    <cellStyle name="Normal 22 5 2 2" xfId="2694"/>
    <cellStyle name="Normal 22 5 3" xfId="2695"/>
    <cellStyle name="Normal 22 6" xfId="2696"/>
    <cellStyle name="Normal 22 6 2" xfId="2697"/>
    <cellStyle name="Normal 22 6 2 2" xfId="2698"/>
    <cellStyle name="Normal 22 6 3" xfId="2699"/>
    <cellStyle name="Normal 22 7" xfId="2700"/>
    <cellStyle name="Normal 22 7 2" xfId="2701"/>
    <cellStyle name="Normal 22 7 2 2" xfId="2702"/>
    <cellStyle name="Normal 22 7 3" xfId="2703"/>
    <cellStyle name="Normal 22 8" xfId="2704"/>
    <cellStyle name="Normal 22 8 2" xfId="2705"/>
    <cellStyle name="Normal 22 8 2 2" xfId="2706"/>
    <cellStyle name="Normal 22 8 3" xfId="2707"/>
    <cellStyle name="Normal 22 9" xfId="2708"/>
    <cellStyle name="Normal 22 9 2" xfId="2709"/>
    <cellStyle name="Normal 22 9 2 2" xfId="2710"/>
    <cellStyle name="Normal 22 9 3" xfId="2711"/>
    <cellStyle name="Normal 23" xfId="2712"/>
    <cellStyle name="Normal 23 10" xfId="2713"/>
    <cellStyle name="Normal 23 10 2" xfId="2714"/>
    <cellStyle name="Normal 23 10 2 2" xfId="2715"/>
    <cellStyle name="Normal 23 10 3" xfId="2716"/>
    <cellStyle name="Normal 23 11" xfId="2717"/>
    <cellStyle name="Normal 23 11 2" xfId="2718"/>
    <cellStyle name="Normal 23 11 2 2" xfId="2719"/>
    <cellStyle name="Normal 23 11 3" xfId="2720"/>
    <cellStyle name="Normal 23 12" xfId="2721"/>
    <cellStyle name="Normal 23 12 2" xfId="2722"/>
    <cellStyle name="Normal 23 12 2 2" xfId="2723"/>
    <cellStyle name="Normal 23 12 3" xfId="2724"/>
    <cellStyle name="Normal 23 13" xfId="2725"/>
    <cellStyle name="Normal 23 13 2" xfId="2726"/>
    <cellStyle name="Normal 23 13 2 2" xfId="2727"/>
    <cellStyle name="Normal 23 13 3" xfId="2728"/>
    <cellStyle name="Normal 23 14" xfId="2729"/>
    <cellStyle name="Normal 23 14 2" xfId="2730"/>
    <cellStyle name="Normal 23 14 2 2" xfId="2731"/>
    <cellStyle name="Normal 23 14 3" xfId="2732"/>
    <cellStyle name="Normal 23 15" xfId="2733"/>
    <cellStyle name="Normal 23 15 2" xfId="2734"/>
    <cellStyle name="Normal 23 15 2 2" xfId="2735"/>
    <cellStyle name="Normal 23 15 3" xfId="2736"/>
    <cellStyle name="Normal 23 16" xfId="2737"/>
    <cellStyle name="Normal 23 16 2" xfId="2738"/>
    <cellStyle name="Normal 23 17" xfId="2739"/>
    <cellStyle name="Normal 23 2" xfId="2740"/>
    <cellStyle name="Normal 23 2 2" xfId="2741"/>
    <cellStyle name="Normal 23 2 2 2" xfId="2742"/>
    <cellStyle name="Normal 23 2 3" xfId="2743"/>
    <cellStyle name="Normal 23 3" xfId="2744"/>
    <cellStyle name="Normal 23 3 2" xfId="2745"/>
    <cellStyle name="Normal 23 3 2 2" xfId="2746"/>
    <cellStyle name="Normal 23 3 3" xfId="2747"/>
    <cellStyle name="Normal 23 4" xfId="2748"/>
    <cellStyle name="Normal 23 4 2" xfId="2749"/>
    <cellStyle name="Normal 23 4 2 2" xfId="2750"/>
    <cellStyle name="Normal 23 4 3" xfId="2751"/>
    <cellStyle name="Normal 23 5" xfId="2752"/>
    <cellStyle name="Normal 23 5 2" xfId="2753"/>
    <cellStyle name="Normal 23 5 2 2" xfId="2754"/>
    <cellStyle name="Normal 23 5 3" xfId="2755"/>
    <cellStyle name="Normal 23 6" xfId="2756"/>
    <cellStyle name="Normal 23 6 2" xfId="2757"/>
    <cellStyle name="Normal 23 6 2 2" xfId="2758"/>
    <cellStyle name="Normal 23 6 3" xfId="2759"/>
    <cellStyle name="Normal 23 7" xfId="2760"/>
    <cellStyle name="Normal 23 7 2" xfId="2761"/>
    <cellStyle name="Normal 23 7 2 2" xfId="2762"/>
    <cellStyle name="Normal 23 7 3" xfId="2763"/>
    <cellStyle name="Normal 23 8" xfId="2764"/>
    <cellStyle name="Normal 23 8 2" xfId="2765"/>
    <cellStyle name="Normal 23 8 2 2" xfId="2766"/>
    <cellStyle name="Normal 23 8 3" xfId="2767"/>
    <cellStyle name="Normal 23 9" xfId="2768"/>
    <cellStyle name="Normal 23 9 2" xfId="2769"/>
    <cellStyle name="Normal 23 9 2 2" xfId="2770"/>
    <cellStyle name="Normal 23 9 3" xfId="2771"/>
    <cellStyle name="Normal 24" xfId="2772"/>
    <cellStyle name="Normal 24 10" xfId="2773"/>
    <cellStyle name="Normal 24 10 2" xfId="2774"/>
    <cellStyle name="Normal 24 10 2 2" xfId="2775"/>
    <cellStyle name="Normal 24 10 3" xfId="2776"/>
    <cellStyle name="Normal 24 11" xfId="2777"/>
    <cellStyle name="Normal 24 11 2" xfId="2778"/>
    <cellStyle name="Normal 24 11 2 2" xfId="2779"/>
    <cellStyle name="Normal 24 11 3" xfId="2780"/>
    <cellStyle name="Normal 24 12" xfId="2781"/>
    <cellStyle name="Normal 24 12 2" xfId="2782"/>
    <cellStyle name="Normal 24 12 2 2" xfId="2783"/>
    <cellStyle name="Normal 24 12 3" xfId="2784"/>
    <cellStyle name="Normal 24 13" xfId="2785"/>
    <cellStyle name="Normal 24 13 2" xfId="2786"/>
    <cellStyle name="Normal 24 13 2 2" xfId="2787"/>
    <cellStyle name="Normal 24 13 3" xfId="2788"/>
    <cellStyle name="Normal 24 14" xfId="2789"/>
    <cellStyle name="Normal 24 14 2" xfId="2790"/>
    <cellStyle name="Normal 24 14 2 2" xfId="2791"/>
    <cellStyle name="Normal 24 14 3" xfId="2792"/>
    <cellStyle name="Normal 24 15" xfId="2793"/>
    <cellStyle name="Normal 24 15 2" xfId="2794"/>
    <cellStyle name="Normal 24 15 2 2" xfId="2795"/>
    <cellStyle name="Normal 24 15 3" xfId="2796"/>
    <cellStyle name="Normal 24 16" xfId="2797"/>
    <cellStyle name="Normal 24 16 2" xfId="2798"/>
    <cellStyle name="Normal 24 17" xfId="2799"/>
    <cellStyle name="Normal 24 17 2" xfId="2800"/>
    <cellStyle name="Normal 24 18" xfId="2801"/>
    <cellStyle name="Normal 24 18 2" xfId="2802"/>
    <cellStyle name="Normal 24 19" xfId="2803"/>
    <cellStyle name="Normal 24 19 2" xfId="2804"/>
    <cellStyle name="Normal 24 2" xfId="2805"/>
    <cellStyle name="Normal 24 2 2" xfId="2806"/>
    <cellStyle name="Normal 24 2 2 2" xfId="2807"/>
    <cellStyle name="Normal 24 2 3" xfId="2808"/>
    <cellStyle name="Normal 24 20" xfId="2809"/>
    <cellStyle name="Normal 24 20 2" xfId="2810"/>
    <cellStyle name="Normal 24 21" xfId="2811"/>
    <cellStyle name="Normal 24 21 2" xfId="2812"/>
    <cellStyle name="Normal 24 22" xfId="2813"/>
    <cellStyle name="Normal 24 3" xfId="2814"/>
    <cellStyle name="Normal 24 3 2" xfId="2815"/>
    <cellStyle name="Normal 24 3 2 2" xfId="2816"/>
    <cellStyle name="Normal 24 3 3" xfId="2817"/>
    <cellStyle name="Normal 24 4" xfId="2818"/>
    <cellStyle name="Normal 24 4 2" xfId="2819"/>
    <cellStyle name="Normal 24 4 2 2" xfId="2820"/>
    <cellStyle name="Normal 24 4 3" xfId="2821"/>
    <cellStyle name="Normal 24 5" xfId="2822"/>
    <cellStyle name="Normal 24 5 2" xfId="2823"/>
    <cellStyle name="Normal 24 5 2 2" xfId="2824"/>
    <cellStyle name="Normal 24 5 3" xfId="2825"/>
    <cellStyle name="Normal 24 6" xfId="2826"/>
    <cellStyle name="Normal 24 6 2" xfId="2827"/>
    <cellStyle name="Normal 24 6 2 2" xfId="2828"/>
    <cellStyle name="Normal 24 6 3" xfId="2829"/>
    <cellStyle name="Normal 24 7" xfId="2830"/>
    <cellStyle name="Normal 24 7 2" xfId="2831"/>
    <cellStyle name="Normal 24 7 2 2" xfId="2832"/>
    <cellStyle name="Normal 24 7 3" xfId="2833"/>
    <cellStyle name="Normal 24 8" xfId="2834"/>
    <cellStyle name="Normal 24 8 2" xfId="2835"/>
    <cellStyle name="Normal 24 8 2 2" xfId="2836"/>
    <cellStyle name="Normal 24 8 3" xfId="2837"/>
    <cellStyle name="Normal 24 9" xfId="2838"/>
    <cellStyle name="Normal 24 9 2" xfId="2839"/>
    <cellStyle name="Normal 24 9 2 2" xfId="2840"/>
    <cellStyle name="Normal 24 9 3" xfId="2841"/>
    <cellStyle name="Normal 25" xfId="2842"/>
    <cellStyle name="Normal 25 10" xfId="2843"/>
    <cellStyle name="Normal 25 10 2" xfId="2844"/>
    <cellStyle name="Normal 25 10 2 2" xfId="2845"/>
    <cellStyle name="Normal 25 10 3" xfId="2846"/>
    <cellStyle name="Normal 25 11" xfId="2847"/>
    <cellStyle name="Normal 25 11 2" xfId="2848"/>
    <cellStyle name="Normal 25 11 2 2" xfId="2849"/>
    <cellStyle name="Normal 25 11 3" xfId="2850"/>
    <cellStyle name="Normal 25 12" xfId="2851"/>
    <cellStyle name="Normal 25 12 2" xfId="2852"/>
    <cellStyle name="Normal 25 12 2 2" xfId="2853"/>
    <cellStyle name="Normal 25 12 3" xfId="2854"/>
    <cellStyle name="Normal 25 13" xfId="2855"/>
    <cellStyle name="Normal 25 13 2" xfId="2856"/>
    <cellStyle name="Normal 25 13 2 2" xfId="2857"/>
    <cellStyle name="Normal 25 13 3" xfId="2858"/>
    <cellStyle name="Normal 25 14" xfId="2859"/>
    <cellStyle name="Normal 25 14 2" xfId="2860"/>
    <cellStyle name="Normal 25 14 2 2" xfId="2861"/>
    <cellStyle name="Normal 25 14 3" xfId="2862"/>
    <cellStyle name="Normal 25 15" xfId="2863"/>
    <cellStyle name="Normal 25 15 2" xfId="2864"/>
    <cellStyle name="Normal 25 15 2 2" xfId="2865"/>
    <cellStyle name="Normal 25 15 3" xfId="2866"/>
    <cellStyle name="Normal 25 16" xfId="2867"/>
    <cellStyle name="Normal 25 16 2" xfId="2868"/>
    <cellStyle name="Normal 25 17" xfId="2869"/>
    <cellStyle name="Normal 25 17 2" xfId="2870"/>
    <cellStyle name="Normal 25 18" xfId="2871"/>
    <cellStyle name="Normal 25 18 2" xfId="2872"/>
    <cellStyle name="Normal 25 19" xfId="2873"/>
    <cellStyle name="Normal 25 19 2" xfId="2874"/>
    <cellStyle name="Normal 25 2" xfId="2875"/>
    <cellStyle name="Normal 25 2 2" xfId="2876"/>
    <cellStyle name="Normal 25 2 2 2" xfId="2877"/>
    <cellStyle name="Normal 25 2 3" xfId="2878"/>
    <cellStyle name="Normal 25 20" xfId="2879"/>
    <cellStyle name="Normal 25 20 2" xfId="2880"/>
    <cellStyle name="Normal 25 21" xfId="2881"/>
    <cellStyle name="Normal 25 21 2" xfId="2882"/>
    <cellStyle name="Normal 25 22" xfId="2883"/>
    <cellStyle name="Normal 25 3" xfId="2884"/>
    <cellStyle name="Normal 25 3 2" xfId="2885"/>
    <cellStyle name="Normal 25 3 2 2" xfId="2886"/>
    <cellStyle name="Normal 25 3 3" xfId="2887"/>
    <cellStyle name="Normal 25 4" xfId="2888"/>
    <cellStyle name="Normal 25 4 2" xfId="2889"/>
    <cellStyle name="Normal 25 4 2 2" xfId="2890"/>
    <cellStyle name="Normal 25 4 3" xfId="2891"/>
    <cellStyle name="Normal 25 5" xfId="2892"/>
    <cellStyle name="Normal 25 5 2" xfId="2893"/>
    <cellStyle name="Normal 25 5 2 2" xfId="2894"/>
    <cellStyle name="Normal 25 5 3" xfId="2895"/>
    <cellStyle name="Normal 25 6" xfId="2896"/>
    <cellStyle name="Normal 25 6 2" xfId="2897"/>
    <cellStyle name="Normal 25 6 2 2" xfId="2898"/>
    <cellStyle name="Normal 25 6 3" xfId="2899"/>
    <cellStyle name="Normal 25 7" xfId="2900"/>
    <cellStyle name="Normal 25 7 2" xfId="2901"/>
    <cellStyle name="Normal 25 7 2 2" xfId="2902"/>
    <cellStyle name="Normal 25 7 3" xfId="2903"/>
    <cellStyle name="Normal 25 8" xfId="2904"/>
    <cellStyle name="Normal 25 8 2" xfId="2905"/>
    <cellStyle name="Normal 25 8 2 2" xfId="2906"/>
    <cellStyle name="Normal 25 8 3" xfId="2907"/>
    <cellStyle name="Normal 25 9" xfId="2908"/>
    <cellStyle name="Normal 25 9 2" xfId="2909"/>
    <cellStyle name="Normal 25 9 2 2" xfId="2910"/>
    <cellStyle name="Normal 25 9 3" xfId="2911"/>
    <cellStyle name="Normal 26" xfId="2912"/>
    <cellStyle name="Normal 26 10" xfId="2913"/>
    <cellStyle name="Normal 26 10 2" xfId="2914"/>
    <cellStyle name="Normal 26 10 2 2" xfId="2915"/>
    <cellStyle name="Normal 26 10 3" xfId="2916"/>
    <cellStyle name="Normal 26 11" xfId="2917"/>
    <cellStyle name="Normal 26 11 2" xfId="2918"/>
    <cellStyle name="Normal 26 11 2 2" xfId="2919"/>
    <cellStyle name="Normal 26 11 3" xfId="2920"/>
    <cellStyle name="Normal 26 12" xfId="2921"/>
    <cellStyle name="Normal 26 12 2" xfId="2922"/>
    <cellStyle name="Normal 26 12 2 2" xfId="2923"/>
    <cellStyle name="Normal 26 12 3" xfId="2924"/>
    <cellStyle name="Normal 26 13" xfId="2925"/>
    <cellStyle name="Normal 26 13 2" xfId="2926"/>
    <cellStyle name="Normal 26 13 2 2" xfId="2927"/>
    <cellStyle name="Normal 26 13 3" xfId="2928"/>
    <cellStyle name="Normal 26 14" xfId="2929"/>
    <cellStyle name="Normal 26 14 2" xfId="2930"/>
    <cellStyle name="Normal 26 14 2 2" xfId="2931"/>
    <cellStyle name="Normal 26 14 3" xfId="2932"/>
    <cellStyle name="Normal 26 15" xfId="2933"/>
    <cellStyle name="Normal 26 15 2" xfId="2934"/>
    <cellStyle name="Normal 26 15 2 2" xfId="2935"/>
    <cellStyle name="Normal 26 15 3" xfId="2936"/>
    <cellStyle name="Normal 26 16" xfId="2937"/>
    <cellStyle name="Normal 26 16 2" xfId="2938"/>
    <cellStyle name="Normal 26 17" xfId="2939"/>
    <cellStyle name="Normal 26 2" xfId="2940"/>
    <cellStyle name="Normal 26 2 2" xfId="2941"/>
    <cellStyle name="Normal 26 2 2 2" xfId="2942"/>
    <cellStyle name="Normal 26 2 3" xfId="2943"/>
    <cellStyle name="Normal 26 3" xfId="2944"/>
    <cellStyle name="Normal 26 3 2" xfId="2945"/>
    <cellStyle name="Normal 26 3 2 2" xfId="2946"/>
    <cellStyle name="Normal 26 3 3" xfId="2947"/>
    <cellStyle name="Normal 26 4" xfId="2948"/>
    <cellStyle name="Normal 26 4 2" xfId="2949"/>
    <cellStyle name="Normal 26 4 2 2" xfId="2950"/>
    <cellStyle name="Normal 26 4 3" xfId="2951"/>
    <cellStyle name="Normal 26 5" xfId="2952"/>
    <cellStyle name="Normal 26 5 2" xfId="2953"/>
    <cellStyle name="Normal 26 5 2 2" xfId="2954"/>
    <cellStyle name="Normal 26 5 3" xfId="2955"/>
    <cellStyle name="Normal 26 6" xfId="2956"/>
    <cellStyle name="Normal 26 6 2" xfId="2957"/>
    <cellStyle name="Normal 26 6 2 2" xfId="2958"/>
    <cellStyle name="Normal 26 6 3" xfId="2959"/>
    <cellStyle name="Normal 26 7" xfId="2960"/>
    <cellStyle name="Normal 26 7 2" xfId="2961"/>
    <cellStyle name="Normal 26 7 2 2" xfId="2962"/>
    <cellStyle name="Normal 26 7 3" xfId="2963"/>
    <cellStyle name="Normal 26 8" xfId="2964"/>
    <cellStyle name="Normal 26 8 2" xfId="2965"/>
    <cellStyle name="Normal 26 8 2 2" xfId="2966"/>
    <cellStyle name="Normal 26 8 3" xfId="2967"/>
    <cellStyle name="Normal 26 9" xfId="2968"/>
    <cellStyle name="Normal 26 9 2" xfId="2969"/>
    <cellStyle name="Normal 26 9 2 2" xfId="2970"/>
    <cellStyle name="Normal 26 9 3" xfId="2971"/>
    <cellStyle name="Normal 27" xfId="2972"/>
    <cellStyle name="Normal 27 10" xfId="2973"/>
    <cellStyle name="Normal 27 10 2" xfId="2974"/>
    <cellStyle name="Normal 27 10 2 2" xfId="2975"/>
    <cellStyle name="Normal 27 10 3" xfId="2976"/>
    <cellStyle name="Normal 27 11" xfId="2977"/>
    <cellStyle name="Normal 27 11 2" xfId="2978"/>
    <cellStyle name="Normal 27 11 2 2" xfId="2979"/>
    <cellStyle name="Normal 27 11 3" xfId="2980"/>
    <cellStyle name="Normal 27 12" xfId="2981"/>
    <cellStyle name="Normal 27 12 2" xfId="2982"/>
    <cellStyle name="Normal 27 12 2 2" xfId="2983"/>
    <cellStyle name="Normal 27 12 3" xfId="2984"/>
    <cellStyle name="Normal 27 13" xfId="2985"/>
    <cellStyle name="Normal 27 13 2" xfId="2986"/>
    <cellStyle name="Normal 27 13 2 2" xfId="2987"/>
    <cellStyle name="Normal 27 13 3" xfId="2988"/>
    <cellStyle name="Normal 27 14" xfId="2989"/>
    <cellStyle name="Normal 27 14 2" xfId="2990"/>
    <cellStyle name="Normal 27 14 2 2" xfId="2991"/>
    <cellStyle name="Normal 27 14 3" xfId="2992"/>
    <cellStyle name="Normal 27 15" xfId="2993"/>
    <cellStyle name="Normal 27 15 2" xfId="2994"/>
    <cellStyle name="Normal 27 15 2 2" xfId="2995"/>
    <cellStyle name="Normal 27 15 3" xfId="2996"/>
    <cellStyle name="Normal 27 16" xfId="2997"/>
    <cellStyle name="Normal 27 16 2" xfId="2998"/>
    <cellStyle name="Normal 27 17" xfId="2999"/>
    <cellStyle name="Normal 27 17 2" xfId="3000"/>
    <cellStyle name="Normal 27 18" xfId="3001"/>
    <cellStyle name="Normal 27 18 2" xfId="3002"/>
    <cellStyle name="Normal 27 19" xfId="3003"/>
    <cellStyle name="Normal 27 19 2" xfId="3004"/>
    <cellStyle name="Normal 27 2" xfId="3005"/>
    <cellStyle name="Normal 27 2 2" xfId="3006"/>
    <cellStyle name="Normal 27 2 2 2" xfId="3007"/>
    <cellStyle name="Normal 27 2 3" xfId="3008"/>
    <cellStyle name="Normal 27 20" xfId="3009"/>
    <cellStyle name="Normal 27 20 2" xfId="3010"/>
    <cellStyle name="Normal 27 21" xfId="3011"/>
    <cellStyle name="Normal 27 21 2" xfId="3012"/>
    <cellStyle name="Normal 27 22" xfId="3013"/>
    <cellStyle name="Normal 27 3" xfId="3014"/>
    <cellStyle name="Normal 27 3 2" xfId="3015"/>
    <cellStyle name="Normal 27 3 2 2" xfId="3016"/>
    <cellStyle name="Normal 27 3 3" xfId="3017"/>
    <cellStyle name="Normal 27 4" xfId="3018"/>
    <cellStyle name="Normal 27 4 2" xfId="3019"/>
    <cellStyle name="Normal 27 4 2 2" xfId="3020"/>
    <cellStyle name="Normal 27 4 3" xfId="3021"/>
    <cellStyle name="Normal 27 5" xfId="3022"/>
    <cellStyle name="Normal 27 5 2" xfId="3023"/>
    <cellStyle name="Normal 27 5 2 2" xfId="3024"/>
    <cellStyle name="Normal 27 5 3" xfId="3025"/>
    <cellStyle name="Normal 27 6" xfId="3026"/>
    <cellStyle name="Normal 27 6 2" xfId="3027"/>
    <cellStyle name="Normal 27 6 2 2" xfId="3028"/>
    <cellStyle name="Normal 27 6 3" xfId="3029"/>
    <cellStyle name="Normal 27 7" xfId="3030"/>
    <cellStyle name="Normal 27 7 2" xfId="3031"/>
    <cellStyle name="Normal 27 7 2 2" xfId="3032"/>
    <cellStyle name="Normal 27 7 3" xfId="3033"/>
    <cellStyle name="Normal 27 8" xfId="3034"/>
    <cellStyle name="Normal 27 8 2" xfId="3035"/>
    <cellStyle name="Normal 27 8 2 2" xfId="3036"/>
    <cellStyle name="Normal 27 8 3" xfId="3037"/>
    <cellStyle name="Normal 27 9" xfId="3038"/>
    <cellStyle name="Normal 27 9 2" xfId="3039"/>
    <cellStyle name="Normal 27 9 2 2" xfId="3040"/>
    <cellStyle name="Normal 27 9 3" xfId="3041"/>
    <cellStyle name="Normal 28" xfId="3042"/>
    <cellStyle name="Normal 28 10" xfId="3043"/>
    <cellStyle name="Normal 28 10 2" xfId="3044"/>
    <cellStyle name="Normal 28 10 2 2" xfId="3045"/>
    <cellStyle name="Normal 28 10 3" xfId="3046"/>
    <cellStyle name="Normal 28 11" xfId="3047"/>
    <cellStyle name="Normal 28 11 2" xfId="3048"/>
    <cellStyle name="Normal 28 11 2 2" xfId="3049"/>
    <cellStyle name="Normal 28 11 3" xfId="3050"/>
    <cellStyle name="Normal 28 12" xfId="3051"/>
    <cellStyle name="Normal 28 12 2" xfId="3052"/>
    <cellStyle name="Normal 28 12 2 2" xfId="3053"/>
    <cellStyle name="Normal 28 12 3" xfId="3054"/>
    <cellStyle name="Normal 28 13" xfId="3055"/>
    <cellStyle name="Normal 28 13 2" xfId="3056"/>
    <cellStyle name="Normal 28 13 2 2" xfId="3057"/>
    <cellStyle name="Normal 28 13 3" xfId="3058"/>
    <cellStyle name="Normal 28 14" xfId="3059"/>
    <cellStyle name="Normal 28 14 2" xfId="3060"/>
    <cellStyle name="Normal 28 14 2 2" xfId="3061"/>
    <cellStyle name="Normal 28 14 3" xfId="3062"/>
    <cellStyle name="Normal 28 15" xfId="3063"/>
    <cellStyle name="Normal 28 15 2" xfId="3064"/>
    <cellStyle name="Normal 28 15 2 2" xfId="3065"/>
    <cellStyle name="Normal 28 15 3" xfId="3066"/>
    <cellStyle name="Normal 28 16" xfId="3067"/>
    <cellStyle name="Normal 28 16 2" xfId="3068"/>
    <cellStyle name="Normal 28 17" xfId="3069"/>
    <cellStyle name="Normal 28 2" xfId="3070"/>
    <cellStyle name="Normal 28 2 2" xfId="3071"/>
    <cellStyle name="Normal 28 2 2 2" xfId="3072"/>
    <cellStyle name="Normal 28 2 3" xfId="3073"/>
    <cellStyle name="Normal 28 3" xfId="3074"/>
    <cellStyle name="Normal 28 3 2" xfId="3075"/>
    <cellStyle name="Normal 28 3 2 2" xfId="3076"/>
    <cellStyle name="Normal 28 3 3" xfId="3077"/>
    <cellStyle name="Normal 28 4" xfId="3078"/>
    <cellStyle name="Normal 28 4 2" xfId="3079"/>
    <cellStyle name="Normal 28 4 2 2" xfId="3080"/>
    <cellStyle name="Normal 28 4 3" xfId="3081"/>
    <cellStyle name="Normal 28 5" xfId="3082"/>
    <cellStyle name="Normal 28 5 2" xfId="3083"/>
    <cellStyle name="Normal 28 5 2 2" xfId="3084"/>
    <cellStyle name="Normal 28 5 3" xfId="3085"/>
    <cellStyle name="Normal 28 6" xfId="3086"/>
    <cellStyle name="Normal 28 6 2" xfId="3087"/>
    <cellStyle name="Normal 28 6 2 2" xfId="3088"/>
    <cellStyle name="Normal 28 6 3" xfId="3089"/>
    <cellStyle name="Normal 28 7" xfId="3090"/>
    <cellStyle name="Normal 28 7 2" xfId="3091"/>
    <cellStyle name="Normal 28 7 2 2" xfId="3092"/>
    <cellStyle name="Normal 28 7 3" xfId="3093"/>
    <cellStyle name="Normal 28 8" xfId="3094"/>
    <cellStyle name="Normal 28 8 2" xfId="3095"/>
    <cellStyle name="Normal 28 8 2 2" xfId="3096"/>
    <cellStyle name="Normal 28 8 3" xfId="3097"/>
    <cellStyle name="Normal 28 9" xfId="3098"/>
    <cellStyle name="Normal 28 9 2" xfId="3099"/>
    <cellStyle name="Normal 28 9 2 2" xfId="3100"/>
    <cellStyle name="Normal 28 9 3" xfId="3101"/>
    <cellStyle name="Normal 29" xfId="3102"/>
    <cellStyle name="Normal 29 10" xfId="3103"/>
    <cellStyle name="Normal 29 10 2" xfId="3104"/>
    <cellStyle name="Normal 29 10 2 2" xfId="3105"/>
    <cellStyle name="Normal 29 10 3" xfId="3106"/>
    <cellStyle name="Normal 29 11" xfId="3107"/>
    <cellStyle name="Normal 29 11 2" xfId="3108"/>
    <cellStyle name="Normal 29 11 2 2" xfId="3109"/>
    <cellStyle name="Normal 29 11 3" xfId="3110"/>
    <cellStyle name="Normal 29 12" xfId="3111"/>
    <cellStyle name="Normal 29 12 2" xfId="3112"/>
    <cellStyle name="Normal 29 12 2 2" xfId="3113"/>
    <cellStyle name="Normal 29 12 3" xfId="3114"/>
    <cellStyle name="Normal 29 13" xfId="3115"/>
    <cellStyle name="Normal 29 13 2" xfId="3116"/>
    <cellStyle name="Normal 29 13 2 2" xfId="3117"/>
    <cellStyle name="Normal 29 13 3" xfId="3118"/>
    <cellStyle name="Normal 29 14" xfId="3119"/>
    <cellStyle name="Normal 29 14 2" xfId="3120"/>
    <cellStyle name="Normal 29 14 2 2" xfId="3121"/>
    <cellStyle name="Normal 29 14 3" xfId="3122"/>
    <cellStyle name="Normal 29 15" xfId="3123"/>
    <cellStyle name="Normal 29 15 2" xfId="3124"/>
    <cellStyle name="Normal 29 15 2 2" xfId="3125"/>
    <cellStyle name="Normal 29 15 3" xfId="3126"/>
    <cellStyle name="Normal 29 16" xfId="3127"/>
    <cellStyle name="Normal 29 16 2" xfId="3128"/>
    <cellStyle name="Normal 29 17" xfId="3129"/>
    <cellStyle name="Normal 29 2" xfId="3130"/>
    <cellStyle name="Normal 29 2 2" xfId="3131"/>
    <cellStyle name="Normal 29 2 2 2" xfId="3132"/>
    <cellStyle name="Normal 29 2 3" xfId="3133"/>
    <cellStyle name="Normal 29 3" xfId="3134"/>
    <cellStyle name="Normal 29 3 2" xfId="3135"/>
    <cellStyle name="Normal 29 3 2 2" xfId="3136"/>
    <cellStyle name="Normal 29 3 3" xfId="3137"/>
    <cellStyle name="Normal 29 4" xfId="3138"/>
    <cellStyle name="Normal 29 4 2" xfId="3139"/>
    <cellStyle name="Normal 29 4 2 2" xfId="3140"/>
    <cellStyle name="Normal 29 4 3" xfId="3141"/>
    <cellStyle name="Normal 29 5" xfId="3142"/>
    <cellStyle name="Normal 29 5 2" xfId="3143"/>
    <cellStyle name="Normal 29 5 2 2" xfId="3144"/>
    <cellStyle name="Normal 29 5 3" xfId="3145"/>
    <cellStyle name="Normal 29 6" xfId="3146"/>
    <cellStyle name="Normal 29 6 2" xfId="3147"/>
    <cellStyle name="Normal 29 6 2 2" xfId="3148"/>
    <cellStyle name="Normal 29 6 3" xfId="3149"/>
    <cellStyle name="Normal 29 7" xfId="3150"/>
    <cellStyle name="Normal 29 7 2" xfId="3151"/>
    <cellStyle name="Normal 29 7 2 2" xfId="3152"/>
    <cellStyle name="Normal 29 7 3" xfId="3153"/>
    <cellStyle name="Normal 29 8" xfId="3154"/>
    <cellStyle name="Normal 29 8 2" xfId="3155"/>
    <cellStyle name="Normal 29 8 2 2" xfId="3156"/>
    <cellStyle name="Normal 29 8 3" xfId="3157"/>
    <cellStyle name="Normal 29 9" xfId="3158"/>
    <cellStyle name="Normal 29 9 2" xfId="3159"/>
    <cellStyle name="Normal 29 9 2 2" xfId="3160"/>
    <cellStyle name="Normal 29 9 3" xfId="3161"/>
    <cellStyle name="Normal 3" xfId="123"/>
    <cellStyle name="Normal 3 2" xfId="124"/>
    <cellStyle name="Normal 3 2 2" xfId="3162"/>
    <cellStyle name="Normal 3 2 3" xfId="3163"/>
    <cellStyle name="Normal 3 2 4" xfId="4157"/>
    <cellStyle name="Normal 3 3" xfId="3164"/>
    <cellStyle name="Normal 3 3 2" xfId="3165"/>
    <cellStyle name="Normal 3 4" xfId="3166"/>
    <cellStyle name="Normal 3 4 2" xfId="3167"/>
    <cellStyle name="Normal 3 5" xfId="3168"/>
    <cellStyle name="Normal 3 5 2" xfId="3169"/>
    <cellStyle name="Normal 3 6" xfId="3170"/>
    <cellStyle name="Normal 3 6 2" xfId="3171"/>
    <cellStyle name="Normal 3 7" xfId="3172"/>
    <cellStyle name="Normal 3_Attach O, GG, Support -New Method 2-14-11" xfId="4228"/>
    <cellStyle name="Normal 30" xfId="3173"/>
    <cellStyle name="Normal 30 10" xfId="3174"/>
    <cellStyle name="Normal 30 10 2" xfId="3175"/>
    <cellStyle name="Normal 30 10 2 2" xfId="3176"/>
    <cellStyle name="Normal 30 10 3" xfId="3177"/>
    <cellStyle name="Normal 30 11" xfId="3178"/>
    <cellStyle name="Normal 30 11 2" xfId="3179"/>
    <cellStyle name="Normal 30 11 2 2" xfId="3180"/>
    <cellStyle name="Normal 30 11 3" xfId="3181"/>
    <cellStyle name="Normal 30 12" xfId="3182"/>
    <cellStyle name="Normal 30 12 2" xfId="3183"/>
    <cellStyle name="Normal 30 12 2 2" xfId="3184"/>
    <cellStyle name="Normal 30 12 3" xfId="3185"/>
    <cellStyle name="Normal 30 13" xfId="3186"/>
    <cellStyle name="Normal 30 13 2" xfId="3187"/>
    <cellStyle name="Normal 30 13 2 2" xfId="3188"/>
    <cellStyle name="Normal 30 13 3" xfId="3189"/>
    <cellStyle name="Normal 30 14" xfId="3190"/>
    <cellStyle name="Normal 30 14 2" xfId="3191"/>
    <cellStyle name="Normal 30 14 2 2" xfId="3192"/>
    <cellStyle name="Normal 30 14 3" xfId="3193"/>
    <cellStyle name="Normal 30 15" xfId="3194"/>
    <cellStyle name="Normal 30 15 2" xfId="3195"/>
    <cellStyle name="Normal 30 15 2 2" xfId="3196"/>
    <cellStyle name="Normal 30 15 3" xfId="3197"/>
    <cellStyle name="Normal 30 16" xfId="3198"/>
    <cellStyle name="Normal 30 16 2" xfId="3199"/>
    <cellStyle name="Normal 30 17" xfId="3200"/>
    <cellStyle name="Normal 30 17 2" xfId="3201"/>
    <cellStyle name="Normal 30 18" xfId="3202"/>
    <cellStyle name="Normal 30 18 2" xfId="3203"/>
    <cellStyle name="Normal 30 19" xfId="3204"/>
    <cellStyle name="Normal 30 19 2" xfId="3205"/>
    <cellStyle name="Normal 30 2" xfId="3206"/>
    <cellStyle name="Normal 30 2 2" xfId="3207"/>
    <cellStyle name="Normal 30 2 2 2" xfId="3208"/>
    <cellStyle name="Normal 30 2 3" xfId="3209"/>
    <cellStyle name="Normal 30 20" xfId="3210"/>
    <cellStyle name="Normal 30 20 2" xfId="3211"/>
    <cellStyle name="Normal 30 21" xfId="3212"/>
    <cellStyle name="Normal 30 21 2" xfId="3213"/>
    <cellStyle name="Normal 30 22" xfId="3214"/>
    <cellStyle name="Normal 30 3" xfId="3215"/>
    <cellStyle name="Normal 30 3 2" xfId="3216"/>
    <cellStyle name="Normal 30 3 2 2" xfId="3217"/>
    <cellStyle name="Normal 30 3 3" xfId="3218"/>
    <cellStyle name="Normal 30 4" xfId="3219"/>
    <cellStyle name="Normal 30 4 2" xfId="3220"/>
    <cellStyle name="Normal 30 4 2 2" xfId="3221"/>
    <cellStyle name="Normal 30 4 3" xfId="3222"/>
    <cellStyle name="Normal 30 5" xfId="3223"/>
    <cellStyle name="Normal 30 5 2" xfId="3224"/>
    <cellStyle name="Normal 30 5 2 2" xfId="3225"/>
    <cellStyle name="Normal 30 5 3" xfId="3226"/>
    <cellStyle name="Normal 30 6" xfId="3227"/>
    <cellStyle name="Normal 30 6 2" xfId="3228"/>
    <cellStyle name="Normal 30 6 2 2" xfId="3229"/>
    <cellStyle name="Normal 30 6 3" xfId="3230"/>
    <cellStyle name="Normal 30 7" xfId="3231"/>
    <cellStyle name="Normal 30 7 2" xfId="3232"/>
    <cellStyle name="Normal 30 7 2 2" xfId="3233"/>
    <cellStyle name="Normal 30 7 3" xfId="3234"/>
    <cellStyle name="Normal 30 8" xfId="3235"/>
    <cellStyle name="Normal 30 8 2" xfId="3236"/>
    <cellStyle name="Normal 30 8 2 2" xfId="3237"/>
    <cellStyle name="Normal 30 8 3" xfId="3238"/>
    <cellStyle name="Normal 30 9" xfId="3239"/>
    <cellStyle name="Normal 30 9 2" xfId="3240"/>
    <cellStyle name="Normal 30 9 2 2" xfId="3241"/>
    <cellStyle name="Normal 30 9 3" xfId="3242"/>
    <cellStyle name="Normal 31" xfId="3243"/>
    <cellStyle name="Normal 31 10" xfId="3244"/>
    <cellStyle name="Normal 31 10 2" xfId="3245"/>
    <cellStyle name="Normal 31 10 2 2" xfId="3246"/>
    <cellStyle name="Normal 31 10 3" xfId="3247"/>
    <cellStyle name="Normal 31 10 3 2" xfId="3248"/>
    <cellStyle name="Normal 31 10 4" xfId="3249"/>
    <cellStyle name="Normal 31 11" xfId="3250"/>
    <cellStyle name="Normal 31 11 2" xfId="3251"/>
    <cellStyle name="Normal 31 11 2 2" xfId="3252"/>
    <cellStyle name="Normal 31 11 3" xfId="3253"/>
    <cellStyle name="Normal 31 12" xfId="3254"/>
    <cellStyle name="Normal 31 12 2" xfId="3255"/>
    <cellStyle name="Normal 31 12 2 2" xfId="3256"/>
    <cellStyle name="Normal 31 12 3" xfId="3257"/>
    <cellStyle name="Normal 31 13" xfId="3258"/>
    <cellStyle name="Normal 31 13 2" xfId="3259"/>
    <cellStyle name="Normal 31 13 2 2" xfId="3260"/>
    <cellStyle name="Normal 31 13 3" xfId="3261"/>
    <cellStyle name="Normal 31 14" xfId="3262"/>
    <cellStyle name="Normal 31 14 2" xfId="3263"/>
    <cellStyle name="Normal 31 14 2 2" xfId="3264"/>
    <cellStyle name="Normal 31 14 3" xfId="3265"/>
    <cellStyle name="Normal 31 15" xfId="3266"/>
    <cellStyle name="Normal 31 15 2" xfId="3267"/>
    <cellStyle name="Normal 31 15 2 2" xfId="3268"/>
    <cellStyle name="Normal 31 15 3" xfId="3269"/>
    <cellStyle name="Normal 31 16" xfId="3270"/>
    <cellStyle name="Normal 31 16 2" xfId="3271"/>
    <cellStyle name="Normal 31 17" xfId="3272"/>
    <cellStyle name="Normal 31 17 2" xfId="3273"/>
    <cellStyle name="Normal 31 2" xfId="3274"/>
    <cellStyle name="Normal 31 2 2" xfId="3275"/>
    <cellStyle name="Normal 31 2 2 2" xfId="3276"/>
    <cellStyle name="Normal 31 2 3" xfId="3277"/>
    <cellStyle name="Normal 31 3" xfId="3278"/>
    <cellStyle name="Normal 31 3 2" xfId="3279"/>
    <cellStyle name="Normal 31 3 2 2" xfId="3280"/>
    <cellStyle name="Normal 31 3 3" xfId="3281"/>
    <cellStyle name="Normal 31 4" xfId="3282"/>
    <cellStyle name="Normal 31 4 2" xfId="3283"/>
    <cellStyle name="Normal 31 4 2 2" xfId="3284"/>
    <cellStyle name="Normal 31 4 3" xfId="3285"/>
    <cellStyle name="Normal 31 5" xfId="3286"/>
    <cellStyle name="Normal 31 5 2" xfId="3287"/>
    <cellStyle name="Normal 31 5 2 2" xfId="3288"/>
    <cellStyle name="Normal 31 5 3" xfId="3289"/>
    <cellStyle name="Normal 31 6" xfId="3290"/>
    <cellStyle name="Normal 31 6 2" xfId="3291"/>
    <cellStyle name="Normal 31 6 2 2" xfId="3292"/>
    <cellStyle name="Normal 31 6 3" xfId="3293"/>
    <cellStyle name="Normal 31 7" xfId="3294"/>
    <cellStyle name="Normal 31 7 2" xfId="3295"/>
    <cellStyle name="Normal 31 7 2 2" xfId="3296"/>
    <cellStyle name="Normal 31 7 3" xfId="3297"/>
    <cellStyle name="Normal 31 8" xfId="3298"/>
    <cellStyle name="Normal 31 8 2" xfId="3299"/>
    <cellStyle name="Normal 31 8 2 2" xfId="3300"/>
    <cellStyle name="Normal 31 8 3" xfId="3301"/>
    <cellStyle name="Normal 31 9" xfId="3302"/>
    <cellStyle name="Normal 31 9 2" xfId="3303"/>
    <cellStyle name="Normal 31 9 2 2" xfId="3304"/>
    <cellStyle name="Normal 31 9 3" xfId="3305"/>
    <cellStyle name="Normal 32" xfId="3306"/>
    <cellStyle name="Normal 32 10" xfId="3307"/>
    <cellStyle name="Normal 32 10 2" xfId="3308"/>
    <cellStyle name="Normal 32 10 2 2" xfId="3309"/>
    <cellStyle name="Normal 32 10 3" xfId="3310"/>
    <cellStyle name="Normal 32 10 3 2" xfId="3311"/>
    <cellStyle name="Normal 32 10 4" xfId="3312"/>
    <cellStyle name="Normal 32 11" xfId="3313"/>
    <cellStyle name="Normal 32 11 2" xfId="3314"/>
    <cellStyle name="Normal 32 11 2 2" xfId="3315"/>
    <cellStyle name="Normal 32 11 3" xfId="3316"/>
    <cellStyle name="Normal 32 12" xfId="3317"/>
    <cellStyle name="Normal 32 12 2" xfId="3318"/>
    <cellStyle name="Normal 32 12 2 2" xfId="3319"/>
    <cellStyle name="Normal 32 12 3" xfId="3320"/>
    <cellStyle name="Normal 32 13" xfId="3321"/>
    <cellStyle name="Normal 32 13 2" xfId="3322"/>
    <cellStyle name="Normal 32 13 2 2" xfId="3323"/>
    <cellStyle name="Normal 32 13 3" xfId="3324"/>
    <cellStyle name="Normal 32 14" xfId="3325"/>
    <cellStyle name="Normal 32 14 2" xfId="3326"/>
    <cellStyle name="Normal 32 14 2 2" xfId="3327"/>
    <cellStyle name="Normal 32 14 3" xfId="3328"/>
    <cellStyle name="Normal 32 15" xfId="3329"/>
    <cellStyle name="Normal 32 15 2" xfId="3330"/>
    <cellStyle name="Normal 32 15 2 2" xfId="3331"/>
    <cellStyle name="Normal 32 15 3" xfId="3332"/>
    <cellStyle name="Normal 32 16" xfId="3333"/>
    <cellStyle name="Normal 32 16 2" xfId="3334"/>
    <cellStyle name="Normal 32 2" xfId="3335"/>
    <cellStyle name="Normal 32 2 2" xfId="3336"/>
    <cellStyle name="Normal 32 2 2 2" xfId="3337"/>
    <cellStyle name="Normal 32 2 3" xfId="3338"/>
    <cellStyle name="Normal 32 3" xfId="3339"/>
    <cellStyle name="Normal 32 3 2" xfId="3340"/>
    <cellStyle name="Normal 32 3 2 2" xfId="3341"/>
    <cellStyle name="Normal 32 3 3" xfId="3342"/>
    <cellStyle name="Normal 32 4" xfId="3343"/>
    <cellStyle name="Normal 32 4 2" xfId="3344"/>
    <cellStyle name="Normal 32 4 2 2" xfId="3345"/>
    <cellStyle name="Normal 32 4 3" xfId="3346"/>
    <cellStyle name="Normal 32 5" xfId="3347"/>
    <cellStyle name="Normal 32 5 2" xfId="3348"/>
    <cellStyle name="Normal 32 5 2 2" xfId="3349"/>
    <cellStyle name="Normal 32 5 3" xfId="3350"/>
    <cellStyle name="Normal 32 6" xfId="3351"/>
    <cellStyle name="Normal 32 6 2" xfId="3352"/>
    <cellStyle name="Normal 32 6 2 2" xfId="3353"/>
    <cellStyle name="Normal 32 6 3" xfId="3354"/>
    <cellStyle name="Normal 32 7" xfId="3355"/>
    <cellStyle name="Normal 32 7 2" xfId="3356"/>
    <cellStyle name="Normal 32 7 2 2" xfId="3357"/>
    <cellStyle name="Normal 32 7 3" xfId="3358"/>
    <cellStyle name="Normal 32 8" xfId="3359"/>
    <cellStyle name="Normal 32 8 2" xfId="3360"/>
    <cellStyle name="Normal 32 8 2 2" xfId="3361"/>
    <cellStyle name="Normal 32 8 3" xfId="3362"/>
    <cellStyle name="Normal 32 9" xfId="3363"/>
    <cellStyle name="Normal 32 9 2" xfId="3364"/>
    <cellStyle name="Normal 32 9 2 2" xfId="3365"/>
    <cellStyle name="Normal 32 9 3" xfId="3366"/>
    <cellStyle name="Normal 33" xfId="3367"/>
    <cellStyle name="Normal 33 2" xfId="3368"/>
    <cellStyle name="Normal 33 2 2" xfId="3369"/>
    <cellStyle name="Normal 33 3" xfId="3370"/>
    <cellStyle name="Normal 33 3 2" xfId="3371"/>
    <cellStyle name="Normal 33 4" xfId="3372"/>
    <cellStyle name="Normal 33 4 2" xfId="3373"/>
    <cellStyle name="Normal 33 5" xfId="3374"/>
    <cellStyle name="Normal 33 5 2" xfId="3375"/>
    <cellStyle name="Normal 33 6" xfId="3376"/>
    <cellStyle name="Normal 33 6 2" xfId="3377"/>
    <cellStyle name="Normal 33 7" xfId="3378"/>
    <cellStyle name="Normal 33 7 2" xfId="3379"/>
    <cellStyle name="Normal 33 8" xfId="3380"/>
    <cellStyle name="Normal 34" xfId="3381"/>
    <cellStyle name="Normal 34 2" xfId="3382"/>
    <cellStyle name="Normal 34 2 2" xfId="3383"/>
    <cellStyle name="Normal 34 3" xfId="3384"/>
    <cellStyle name="Normal 34 3 2" xfId="3385"/>
    <cellStyle name="Normal 34 4" xfId="3386"/>
    <cellStyle name="Normal 34 4 2" xfId="3387"/>
    <cellStyle name="Normal 34 5" xfId="3388"/>
    <cellStyle name="Normal 34 5 2" xfId="3389"/>
    <cellStyle name="Normal 34 6" xfId="3390"/>
    <cellStyle name="Normal 34 6 2" xfId="3391"/>
    <cellStyle name="Normal 34 7" xfId="3392"/>
    <cellStyle name="Normal 34 7 2" xfId="3393"/>
    <cellStyle name="Normal 34 8" xfId="3394"/>
    <cellStyle name="Normal 35" xfId="3395"/>
    <cellStyle name="Normal 35 2" xfId="3396"/>
    <cellStyle name="Normal 35 2 2" xfId="3397"/>
    <cellStyle name="Normal 35 3" xfId="3398"/>
    <cellStyle name="Normal 35 3 2" xfId="3399"/>
    <cellStyle name="Normal 35 4" xfId="3400"/>
    <cellStyle name="Normal 36" xfId="3401"/>
    <cellStyle name="Normal 36 2" xfId="3402"/>
    <cellStyle name="Normal 36 2 2" xfId="3403"/>
    <cellStyle name="Normal 36 3" xfId="3404"/>
    <cellStyle name="Normal 37" xfId="3405"/>
    <cellStyle name="Normal 37 2" xfId="3406"/>
    <cellStyle name="Normal 37 2 2" xfId="3407"/>
    <cellStyle name="Normal 37 3" xfId="3408"/>
    <cellStyle name="Normal 37 3 2" xfId="3409"/>
    <cellStyle name="Normal 37 4" xfId="3410"/>
    <cellStyle name="Normal 37 4 2" xfId="3411"/>
    <cellStyle name="Normal 37 5" xfId="3412"/>
    <cellStyle name="Normal 37 5 2" xfId="3413"/>
    <cellStyle name="Normal 37 6" xfId="3414"/>
    <cellStyle name="Normal 37 6 2" xfId="3415"/>
    <cellStyle name="Normal 37 7" xfId="3416"/>
    <cellStyle name="Normal 37 7 2" xfId="3417"/>
    <cellStyle name="Normal 37 8" xfId="3418"/>
    <cellStyle name="Normal 38" xfId="3419"/>
    <cellStyle name="Normal 38 2" xfId="3420"/>
    <cellStyle name="Normal 38 2 2" xfId="3421"/>
    <cellStyle name="Normal 38 3" xfId="3422"/>
    <cellStyle name="Normal 38 3 2" xfId="3423"/>
    <cellStyle name="Normal 39" xfId="3424"/>
    <cellStyle name="Normal 39 2" xfId="3425"/>
    <cellStyle name="Normal 39 2 2" xfId="3426"/>
    <cellStyle name="Normal 39 3" xfId="3427"/>
    <cellStyle name="Normal 39 3 2" xfId="3428"/>
    <cellStyle name="Normal 39 4" xfId="3429"/>
    <cellStyle name="Normal 39 4 2" xfId="3430"/>
    <cellStyle name="Normal 39 5" xfId="3431"/>
    <cellStyle name="Normal 39 5 2" xfId="3432"/>
    <cellStyle name="Normal 39 6" xfId="3433"/>
    <cellStyle name="Normal 39 6 2" xfId="3434"/>
    <cellStyle name="Normal 39 7" xfId="3435"/>
    <cellStyle name="Normal 39 7 2" xfId="3436"/>
    <cellStyle name="Normal 39 8" xfId="3437"/>
    <cellStyle name="Normal 4" xfId="3438"/>
    <cellStyle name="Normal 4 10" xfId="3439"/>
    <cellStyle name="Normal 4 10 2" xfId="3440"/>
    <cellStyle name="Normal 4 10 2 2" xfId="3441"/>
    <cellStyle name="Normal 4 10 3" xfId="3442"/>
    <cellStyle name="Normal 4 11" xfId="3443"/>
    <cellStyle name="Normal 4 11 2" xfId="3444"/>
    <cellStyle name="Normal 4 11 2 2" xfId="3445"/>
    <cellStyle name="Normal 4 11 3" xfId="3446"/>
    <cellStyle name="Normal 4 12" xfId="3447"/>
    <cellStyle name="Normal 4 12 2" xfId="3448"/>
    <cellStyle name="Normal 4 12 2 2" xfId="3449"/>
    <cellStyle name="Normal 4 12 3" xfId="3450"/>
    <cellStyle name="Normal 4 13" xfId="3451"/>
    <cellStyle name="Normal 4 13 2" xfId="3452"/>
    <cellStyle name="Normal 4 13 2 2" xfId="3453"/>
    <cellStyle name="Normal 4 13 3" xfId="3454"/>
    <cellStyle name="Normal 4 14" xfId="3455"/>
    <cellStyle name="Normal 4 14 2" xfId="3456"/>
    <cellStyle name="Normal 4 14 2 2" xfId="3457"/>
    <cellStyle name="Normal 4 14 3" xfId="3458"/>
    <cellStyle name="Normal 4 15" xfId="3459"/>
    <cellStyle name="Normal 4 15 2" xfId="3460"/>
    <cellStyle name="Normal 4 15 2 2" xfId="3461"/>
    <cellStyle name="Normal 4 15 3" xfId="3462"/>
    <cellStyle name="Normal 4 16" xfId="3463"/>
    <cellStyle name="Normal 4 16 2" xfId="3464"/>
    <cellStyle name="Normal 4 17" xfId="3465"/>
    <cellStyle name="Normal 4 17 2" xfId="3466"/>
    <cellStyle name="Normal 4 18" xfId="3467"/>
    <cellStyle name="Normal 4 19" xfId="3468"/>
    <cellStyle name="Normal 4 2" xfId="3469"/>
    <cellStyle name="Normal 4 2 2" xfId="3470"/>
    <cellStyle name="Normal 4 2 2 2" xfId="3471"/>
    <cellStyle name="Normal 4 2 3" xfId="3472"/>
    <cellStyle name="Normal 4 2 4" xfId="3473"/>
    <cellStyle name="Normal 4 3" xfId="3474"/>
    <cellStyle name="Normal 4 3 2" xfId="3475"/>
    <cellStyle name="Normal 4 3 2 2" xfId="3476"/>
    <cellStyle name="Normal 4 3 3" xfId="3477"/>
    <cellStyle name="Normal 4 4" xfId="3478"/>
    <cellStyle name="Normal 4 4 2" xfId="3479"/>
    <cellStyle name="Normal 4 4 2 2" xfId="3480"/>
    <cellStyle name="Normal 4 4 3" xfId="3481"/>
    <cellStyle name="Normal 4 5" xfId="3482"/>
    <cellStyle name="Normal 4 5 2" xfId="3483"/>
    <cellStyle name="Normal 4 5 2 2" xfId="3484"/>
    <cellStyle name="Normal 4 5 3" xfId="3485"/>
    <cellStyle name="Normal 4 6" xfId="3486"/>
    <cellStyle name="Normal 4 6 2" xfId="3487"/>
    <cellStyle name="Normal 4 6 2 2" xfId="3488"/>
    <cellStyle name="Normal 4 6 3" xfId="3489"/>
    <cellStyle name="Normal 4 7" xfId="3490"/>
    <cellStyle name="Normal 4 7 2" xfId="3491"/>
    <cellStyle name="Normal 4 7 2 2" xfId="3492"/>
    <cellStyle name="Normal 4 7 3" xfId="3493"/>
    <cellStyle name="Normal 4 8" xfId="3494"/>
    <cellStyle name="Normal 4 8 2" xfId="3495"/>
    <cellStyle name="Normal 4 8 2 2" xfId="3496"/>
    <cellStyle name="Normal 4 8 3" xfId="3497"/>
    <cellStyle name="Normal 4 9" xfId="3498"/>
    <cellStyle name="Normal 4 9 2" xfId="3499"/>
    <cellStyle name="Normal 4 9 2 2" xfId="3500"/>
    <cellStyle name="Normal 4 9 3" xfId="3501"/>
    <cellStyle name="Normal 4_Attach O, GG, Support -New Method 2-14-11" xfId="4529"/>
    <cellStyle name="Normal 40" xfId="3502"/>
    <cellStyle name="Normal 40 2" xfId="3503"/>
    <cellStyle name="Normal 40 2 2" xfId="3504"/>
    <cellStyle name="Normal 40 3" xfId="3505"/>
    <cellStyle name="Normal 41" xfId="3506"/>
    <cellStyle name="Normal 41 2" xfId="3507"/>
    <cellStyle name="Normal 41 2 2" xfId="3508"/>
    <cellStyle name="Normal 41 3" xfId="3509"/>
    <cellStyle name="Normal 41 3 2" xfId="3510"/>
    <cellStyle name="Normal 41 4" xfId="3511"/>
    <cellStyle name="Normal 42" xfId="3512"/>
    <cellStyle name="Normal 42 2" xfId="3513"/>
    <cellStyle name="Normal 42 2 2" xfId="3514"/>
    <cellStyle name="Normal 42 3" xfId="3515"/>
    <cellStyle name="Normal 42 3 2" xfId="3516"/>
    <cellStyle name="Normal 43" xfId="3517"/>
    <cellStyle name="Normal 43 2" xfId="3518"/>
    <cellStyle name="Normal 43 2 2" xfId="3519"/>
    <cellStyle name="Normal 43 3" xfId="3520"/>
    <cellStyle name="Normal 43 3 2" xfId="3521"/>
    <cellStyle name="Normal 43 4" xfId="3522"/>
    <cellStyle name="Normal 43 4 2" xfId="3523"/>
    <cellStyle name="Normal 43 5" xfId="3524"/>
    <cellStyle name="Normal 43 5 2" xfId="3525"/>
    <cellStyle name="Normal 43 6" xfId="3526"/>
    <cellStyle name="Normal 44" xfId="3527"/>
    <cellStyle name="Normal 44 2" xfId="3528"/>
    <cellStyle name="Normal 45" xfId="3529"/>
    <cellStyle name="Normal 45 2" xfId="3530"/>
    <cellStyle name="Normal 46" xfId="3531"/>
    <cellStyle name="Normal 47" xfId="3532"/>
    <cellStyle name="Normal 47 2" xfId="3533"/>
    <cellStyle name="Normal 47 2 2" xfId="3534"/>
    <cellStyle name="Normal 47 3" xfId="3535"/>
    <cellStyle name="Normal 47 3 2" xfId="3536"/>
    <cellStyle name="Normal 47 4" xfId="3537"/>
    <cellStyle name="Normal 47 4 2" xfId="3538"/>
    <cellStyle name="Normal 47 5" xfId="3539"/>
    <cellStyle name="Normal 47 5 2" xfId="3540"/>
    <cellStyle name="Normal 47 6" xfId="3541"/>
    <cellStyle name="Normal 48" xfId="3542"/>
    <cellStyle name="Normal 48 2" xfId="3543"/>
    <cellStyle name="Normal 48 2 2" xfId="3544"/>
    <cellStyle name="Normal 48 3" xfId="3545"/>
    <cellStyle name="Normal 48 3 2" xfId="3546"/>
    <cellStyle name="Normal 48 4" xfId="3547"/>
    <cellStyle name="Normal 48 4 2" xfId="3548"/>
    <cellStyle name="Normal 48 5" xfId="3549"/>
    <cellStyle name="Normal 48 5 2" xfId="3550"/>
    <cellStyle name="Normal 48 6" xfId="3551"/>
    <cellStyle name="Normal 49" xfId="4326"/>
    <cellStyle name="Normal 5" xfId="3552"/>
    <cellStyle name="Normal 5 10" xfId="3553"/>
    <cellStyle name="Normal 5 10 2" xfId="3554"/>
    <cellStyle name="Normal 5 10 2 2" xfId="3555"/>
    <cellStyle name="Normal 5 10 3" xfId="3556"/>
    <cellStyle name="Normal 5 11" xfId="3557"/>
    <cellStyle name="Normal 5 11 2" xfId="3558"/>
    <cellStyle name="Normal 5 11 2 2" xfId="3559"/>
    <cellStyle name="Normal 5 11 3" xfId="3560"/>
    <cellStyle name="Normal 5 12" xfId="3561"/>
    <cellStyle name="Normal 5 12 2" xfId="3562"/>
    <cellStyle name="Normal 5 12 2 2" xfId="3563"/>
    <cellStyle name="Normal 5 12 3" xfId="3564"/>
    <cellStyle name="Normal 5 13" xfId="3565"/>
    <cellStyle name="Normal 5 13 2" xfId="3566"/>
    <cellStyle name="Normal 5 13 2 2" xfId="3567"/>
    <cellStyle name="Normal 5 13 3" xfId="3568"/>
    <cellStyle name="Normal 5 14" xfId="3569"/>
    <cellStyle name="Normal 5 14 2" xfId="3570"/>
    <cellStyle name="Normal 5 14 2 2" xfId="3571"/>
    <cellStyle name="Normal 5 14 3" xfId="3572"/>
    <cellStyle name="Normal 5 15" xfId="3573"/>
    <cellStyle name="Normal 5 15 2" xfId="3574"/>
    <cellStyle name="Normal 5 15 2 2" xfId="3575"/>
    <cellStyle name="Normal 5 15 3" xfId="3576"/>
    <cellStyle name="Normal 5 16" xfId="3577"/>
    <cellStyle name="Normal 5 16 2" xfId="3578"/>
    <cellStyle name="Normal 5 17" xfId="3579"/>
    <cellStyle name="Normal 5 17 2" xfId="3580"/>
    <cellStyle name="Normal 5 18" xfId="3581"/>
    <cellStyle name="Normal 5 19" xfId="3582"/>
    <cellStyle name="Normal 5 2" xfId="3583"/>
    <cellStyle name="Normal 5 2 2" xfId="3584"/>
    <cellStyle name="Normal 5 2 2 2" xfId="3585"/>
    <cellStyle name="Normal 5 2 3" xfId="3586"/>
    <cellStyle name="Normal 5 2 4" xfId="3587"/>
    <cellStyle name="Normal 5 2 5" xfId="4156"/>
    <cellStyle name="Normal 5 3" xfId="3588"/>
    <cellStyle name="Normal 5 3 2" xfId="3589"/>
    <cellStyle name="Normal 5 3 2 2" xfId="3590"/>
    <cellStyle name="Normal 5 3 3" xfId="3591"/>
    <cellStyle name="Normal 5 4" xfId="3592"/>
    <cellStyle name="Normal 5 4 2" xfId="3593"/>
    <cellStyle name="Normal 5 4 2 2" xfId="3594"/>
    <cellStyle name="Normal 5 4 3" xfId="3595"/>
    <cellStyle name="Normal 5 5" xfId="3596"/>
    <cellStyle name="Normal 5 5 2" xfId="3597"/>
    <cellStyle name="Normal 5 5 2 2" xfId="3598"/>
    <cellStyle name="Normal 5 5 3" xfId="3599"/>
    <cellStyle name="Normal 5 6" xfId="3600"/>
    <cellStyle name="Normal 5 6 2" xfId="3601"/>
    <cellStyle name="Normal 5 6 2 2" xfId="3602"/>
    <cellStyle name="Normal 5 6 3" xfId="3603"/>
    <cellStyle name="Normal 5 7" xfId="3604"/>
    <cellStyle name="Normal 5 7 2" xfId="3605"/>
    <cellStyle name="Normal 5 7 2 2" xfId="3606"/>
    <cellStyle name="Normal 5 7 3" xfId="3607"/>
    <cellStyle name="Normal 5 8" xfId="3608"/>
    <cellStyle name="Normal 5 8 2" xfId="3609"/>
    <cellStyle name="Normal 5 8 2 2" xfId="3610"/>
    <cellStyle name="Normal 5 8 3" xfId="3611"/>
    <cellStyle name="Normal 5 9" xfId="3612"/>
    <cellStyle name="Normal 5 9 2" xfId="3613"/>
    <cellStyle name="Normal 5 9 2 2" xfId="3614"/>
    <cellStyle name="Normal 5 9 3" xfId="3615"/>
    <cellStyle name="Normal 50" xfId="4327"/>
    <cellStyle name="Normal 51" xfId="4328"/>
    <cellStyle name="Normal 52" xfId="4329"/>
    <cellStyle name="Normal 53" xfId="4330"/>
    <cellStyle name="Normal 54" xfId="4331"/>
    <cellStyle name="Normal 54 2" xfId="4332"/>
    <cellStyle name="Normal 55" xfId="4333"/>
    <cellStyle name="Normal 55 2" xfId="4334"/>
    <cellStyle name="Normal 56" xfId="4335"/>
    <cellStyle name="Normal 57" xfId="4336"/>
    <cellStyle name="Normal 58" xfId="4337"/>
    <cellStyle name="Normal 59" xfId="4338"/>
    <cellStyle name="Normal 6" xfId="3616"/>
    <cellStyle name="Normal 6 2" xfId="3617"/>
    <cellStyle name="Normal 6 2 2" xfId="3618"/>
    <cellStyle name="Normal 6 2 2 2" xfId="4530"/>
    <cellStyle name="Normal 6 2 2 2 2" xfId="4531"/>
    <cellStyle name="Normal 6 2 2 2 2 2" xfId="4532"/>
    <cellStyle name="Normal 6 2 2 2 2 3" xfId="4533"/>
    <cellStyle name="Normal 6 2 2 2 2 4" xfId="4534"/>
    <cellStyle name="Normal 6 2 2 2 3" xfId="4535"/>
    <cellStyle name="Normal 6 2 2 2 4" xfId="4536"/>
    <cellStyle name="Normal 6 2 2 2 5" xfId="4537"/>
    <cellStyle name="Normal 6 2 2 3" xfId="4538"/>
    <cellStyle name="Normal 6 2 2 3 2" xfId="4539"/>
    <cellStyle name="Normal 6 2 2 3 3" xfId="4540"/>
    <cellStyle name="Normal 6 2 2 3 4" xfId="4541"/>
    <cellStyle name="Normal 6 2 2 4" xfId="4542"/>
    <cellStyle name="Normal 6 2 2 5" xfId="4543"/>
    <cellStyle name="Normal 6 2 2 6" xfId="4544"/>
    <cellStyle name="Normal 6 2 3" xfId="4545"/>
    <cellStyle name="Normal 6 2 3 2" xfId="4546"/>
    <cellStyle name="Normal 6 2 3 2 2" xfId="4547"/>
    <cellStyle name="Normal 6 2 3 2 3" xfId="4548"/>
    <cellStyle name="Normal 6 2 3 2 4" xfId="4549"/>
    <cellStyle name="Normal 6 2 3 3" xfId="4550"/>
    <cellStyle name="Normal 6 2 3 4" xfId="4551"/>
    <cellStyle name="Normal 6 2 3 5" xfId="4552"/>
    <cellStyle name="Normal 6 2 4" xfId="4553"/>
    <cellStyle name="Normal 6 2 4 2" xfId="4554"/>
    <cellStyle name="Normal 6 2 4 3" xfId="4555"/>
    <cellStyle name="Normal 6 2 4 4" xfId="4556"/>
    <cellStyle name="Normal 6 2 5" xfId="4557"/>
    <cellStyle name="Normal 6 2 6" xfId="4558"/>
    <cellStyle name="Normal 6 2 7" xfId="4559"/>
    <cellStyle name="Normal 6 3" xfId="3619"/>
    <cellStyle name="Normal 6 3 2" xfId="3620"/>
    <cellStyle name="Normal 6 3 2 2" xfId="4560"/>
    <cellStyle name="Normal 6 3 2 2 2" xfId="4561"/>
    <cellStyle name="Normal 6 3 2 2 3" xfId="4562"/>
    <cellStyle name="Normal 6 3 2 2 4" xfId="4563"/>
    <cellStyle name="Normal 6 3 2 3" xfId="4564"/>
    <cellStyle name="Normal 6 3 2 4" xfId="4565"/>
    <cellStyle name="Normal 6 3 2 5" xfId="4566"/>
    <cellStyle name="Normal 6 3 3" xfId="4567"/>
    <cellStyle name="Normal 6 3 3 2" xfId="4568"/>
    <cellStyle name="Normal 6 3 3 3" xfId="4569"/>
    <cellStyle name="Normal 6 3 3 4" xfId="4570"/>
    <cellStyle name="Normal 6 3 4" xfId="4571"/>
    <cellStyle name="Normal 6 3 5" xfId="4572"/>
    <cellStyle name="Normal 6 3 6" xfId="4573"/>
    <cellStyle name="Normal 6 4" xfId="3621"/>
    <cellStyle name="Normal 6 4 2" xfId="3622"/>
    <cellStyle name="Normal 6 4 2 2" xfId="4574"/>
    <cellStyle name="Normal 6 4 2 3" xfId="4575"/>
    <cellStyle name="Normal 6 4 2 4" xfId="4576"/>
    <cellStyle name="Normal 6 4 3" xfId="4577"/>
    <cellStyle name="Normal 6 4 4" xfId="4578"/>
    <cellStyle name="Normal 6 4 5" xfId="4579"/>
    <cellStyle name="Normal 6 5" xfId="3623"/>
    <cellStyle name="Normal 6 5 2" xfId="3624"/>
    <cellStyle name="Normal 6 5 3" xfId="4580"/>
    <cellStyle name="Normal 6 5 4" xfId="4581"/>
    <cellStyle name="Normal 6 6" xfId="3625"/>
    <cellStyle name="Normal 6 7" xfId="3626"/>
    <cellStyle name="Normal 6 8" xfId="3627"/>
    <cellStyle name="Normal 6 9" xfId="4682"/>
    <cellStyle name="Normal 60" xfId="4339"/>
    <cellStyle name="Normal 61" xfId="4340"/>
    <cellStyle name="Normal 62" xfId="4341"/>
    <cellStyle name="Normal 63" xfId="4342"/>
    <cellStyle name="Normal 64" xfId="4343"/>
    <cellStyle name="Normal 65" xfId="4470"/>
    <cellStyle name="Normal 66" xfId="4667"/>
    <cellStyle name="Normal 67" xfId="4671"/>
    <cellStyle name="Normal 69" xfId="4344"/>
    <cellStyle name="Normal 69 3" xfId="4345"/>
    <cellStyle name="Normal 7" xfId="3628"/>
    <cellStyle name="Normal 7 2" xfId="3629"/>
    <cellStyle name="Normal 7 2 2" xfId="3630"/>
    <cellStyle name="Normal 7 3" xfId="3631"/>
    <cellStyle name="Normal 7 3 2" xfId="3632"/>
    <cellStyle name="Normal 7 4" xfId="3633"/>
    <cellStyle name="Normal 7 4 2" xfId="3634"/>
    <cellStyle name="Normal 7 5" xfId="3635"/>
    <cellStyle name="Normal 7 5 2" xfId="3636"/>
    <cellStyle name="Normal 7 6" xfId="3637"/>
    <cellStyle name="Normal 7 7" xfId="4155"/>
    <cellStyle name="Normal 72" xfId="4346"/>
    <cellStyle name="Normal 8" xfId="3638"/>
    <cellStyle name="Normal 8 14" xfId="4673"/>
    <cellStyle name="Normal 8 2" xfId="3639"/>
    <cellStyle name="Normal 8 2 2" xfId="3640"/>
    <cellStyle name="Normal 8 2 2 2" xfId="4582"/>
    <cellStyle name="Normal 8 2 2 3" xfId="4583"/>
    <cellStyle name="Normal 8 2 2 4" xfId="4584"/>
    <cellStyle name="Normal 8 2 3" xfId="4585"/>
    <cellStyle name="Normal 8 2 4" xfId="4586"/>
    <cellStyle name="Normal 8 2 5" xfId="4587"/>
    <cellStyle name="Normal 8 3" xfId="3641"/>
    <cellStyle name="Normal 8 3 2" xfId="3642"/>
    <cellStyle name="Normal 8 3 3" xfId="4588"/>
    <cellStyle name="Normal 8 3 4" xfId="4589"/>
    <cellStyle name="Normal 8 4" xfId="3643"/>
    <cellStyle name="Normal 8 4 2" xfId="3644"/>
    <cellStyle name="Normal 8 5" xfId="3645"/>
    <cellStyle name="Normal 8 5 2" xfId="3646"/>
    <cellStyle name="Normal 8 6" xfId="3647"/>
    <cellStyle name="Normal 9" xfId="3648"/>
    <cellStyle name="Normal 9 10" xfId="3649"/>
    <cellStyle name="Normal 9 10 2" xfId="3650"/>
    <cellStyle name="Normal 9 10 2 2" xfId="3651"/>
    <cellStyle name="Normal 9 10 3" xfId="3652"/>
    <cellStyle name="Normal 9 11" xfId="3653"/>
    <cellStyle name="Normal 9 11 2" xfId="3654"/>
    <cellStyle name="Normal 9 11 2 2" xfId="3655"/>
    <cellStyle name="Normal 9 11 3" xfId="3656"/>
    <cellStyle name="Normal 9 12" xfId="3657"/>
    <cellStyle name="Normal 9 12 2" xfId="3658"/>
    <cellStyle name="Normal 9 12 2 2" xfId="3659"/>
    <cellStyle name="Normal 9 12 3" xfId="3660"/>
    <cellStyle name="Normal 9 13" xfId="3661"/>
    <cellStyle name="Normal 9 13 2" xfId="3662"/>
    <cellStyle name="Normal 9 13 2 2" xfId="3663"/>
    <cellStyle name="Normal 9 13 3" xfId="3664"/>
    <cellStyle name="Normal 9 14" xfId="3665"/>
    <cellStyle name="Normal 9 14 2" xfId="3666"/>
    <cellStyle name="Normal 9 14 2 2" xfId="3667"/>
    <cellStyle name="Normal 9 14 3" xfId="3668"/>
    <cellStyle name="Normal 9 15" xfId="3669"/>
    <cellStyle name="Normal 9 15 2" xfId="3670"/>
    <cellStyle name="Normal 9 15 2 2" xfId="3671"/>
    <cellStyle name="Normal 9 15 3" xfId="3672"/>
    <cellStyle name="Normal 9 16" xfId="3673"/>
    <cellStyle name="Normal 9 16 2" xfId="3674"/>
    <cellStyle name="Normal 9 17" xfId="3675"/>
    <cellStyle name="Normal 9 2" xfId="3676"/>
    <cellStyle name="Normal 9 2 2" xfId="3677"/>
    <cellStyle name="Normal 9 2 2 2" xfId="3678"/>
    <cellStyle name="Normal 9 2 2 3" xfId="4590"/>
    <cellStyle name="Normal 9 2 2 4" xfId="4591"/>
    <cellStyle name="Normal 9 2 3" xfId="3679"/>
    <cellStyle name="Normal 9 2 4" xfId="4592"/>
    <cellStyle name="Normal 9 2 5" xfId="4593"/>
    <cellStyle name="Normal 9 3" xfId="3680"/>
    <cellStyle name="Normal 9 3 2" xfId="3681"/>
    <cellStyle name="Normal 9 3 2 2" xfId="3682"/>
    <cellStyle name="Normal 9 3 3" xfId="3683"/>
    <cellStyle name="Normal 9 3 4" xfId="4594"/>
    <cellStyle name="Normal 9 4" xfId="3684"/>
    <cellStyle name="Normal 9 4 2" xfId="3685"/>
    <cellStyle name="Normal 9 4 2 2" xfId="3686"/>
    <cellStyle name="Normal 9 4 3" xfId="3687"/>
    <cellStyle name="Normal 9 5" xfId="3688"/>
    <cellStyle name="Normal 9 5 2" xfId="3689"/>
    <cellStyle name="Normal 9 5 2 2" xfId="3690"/>
    <cellStyle name="Normal 9 5 3" xfId="3691"/>
    <cellStyle name="Normal 9 6" xfId="3692"/>
    <cellStyle name="Normal 9 6 2" xfId="3693"/>
    <cellStyle name="Normal 9 6 2 2" xfId="3694"/>
    <cellStyle name="Normal 9 6 3" xfId="3695"/>
    <cellStyle name="Normal 9 7" xfId="3696"/>
    <cellStyle name="Normal 9 7 2" xfId="3697"/>
    <cellStyle name="Normal 9 7 2 2" xfId="3698"/>
    <cellStyle name="Normal 9 7 3" xfId="3699"/>
    <cellStyle name="Normal 9 8" xfId="3700"/>
    <cellStyle name="Normal 9 8 2" xfId="3701"/>
    <cellStyle name="Normal 9 8 2 2" xfId="3702"/>
    <cellStyle name="Normal 9 8 3" xfId="3703"/>
    <cellStyle name="Normal 9 9" xfId="3704"/>
    <cellStyle name="Normal 9 9 2" xfId="3705"/>
    <cellStyle name="Normal 9 9 2 2" xfId="3706"/>
    <cellStyle name="Normal 9 9 3" xfId="3707"/>
    <cellStyle name="Normal 96" xfId="3708"/>
    <cellStyle name="Normal 96 2" xfId="3709"/>
    <cellStyle name="Normal CEN" xfId="125"/>
    <cellStyle name="Normal Centered" xfId="126"/>
    <cellStyle name="NORMAL CTR" xfId="127"/>
    <cellStyle name="Normal_0112 No Link Exp" xfId="4473"/>
    <cellStyle name="Normal_21 Exh B" xfId="4595"/>
    <cellStyle name="Normal_ADITAnalysisID090805" xfId="4670"/>
    <cellStyle name="Normal_ATC Projected 2008 Monthly Plant Balances for Attachment O 2 (2)" xfId="4596"/>
    <cellStyle name="Normal_Attachment O &amp; GG Final 11_11_09" xfId="4664"/>
    <cellStyle name="Normal_Attachment Os for 2002 True-up" xfId="4597"/>
    <cellStyle name="Normal_Duquesne Settled Fromula 10-3-07" xfId="4476"/>
    <cellStyle name="Normal_FN1 Ratebase Draft SPP template (6-11-04) v2" xfId="4668"/>
    <cellStyle name="Normal_KCPL Transmission  Formula Rate 9-11-09ach" xfId="4669"/>
    <cellStyle name="Normal_PRECorp2002HeintzResponse 8-21-03" xfId="4"/>
    <cellStyle name="Normal_Revised Table 8 &amp; 22" xfId="4471"/>
    <cellStyle name="Normal_Schedule O Info for Mike" xfId="4598"/>
    <cellStyle name="Note 10" xfId="3710"/>
    <cellStyle name="Note 10 2" xfId="3711"/>
    <cellStyle name="Note 10 2 2" xfId="3712"/>
    <cellStyle name="Note 10 3" xfId="3713"/>
    <cellStyle name="Note 11" xfId="3714"/>
    <cellStyle name="Note 11 2" xfId="3715"/>
    <cellStyle name="Note 11 2 2" xfId="3716"/>
    <cellStyle name="Note 11 3" xfId="3717"/>
    <cellStyle name="Note 12" xfId="3718"/>
    <cellStyle name="Note 12 2" xfId="3719"/>
    <cellStyle name="Note 12 2 2" xfId="3720"/>
    <cellStyle name="Note 12 3" xfId="3721"/>
    <cellStyle name="Note 13" xfId="3722"/>
    <cellStyle name="Note 13 2" xfId="3723"/>
    <cellStyle name="Note 13 2 2" xfId="3724"/>
    <cellStyle name="Note 13 3" xfId="3725"/>
    <cellStyle name="Note 14" xfId="3726"/>
    <cellStyle name="Note 14 2" xfId="3727"/>
    <cellStyle name="Note 14 2 2" xfId="3728"/>
    <cellStyle name="Note 14 3" xfId="3729"/>
    <cellStyle name="Note 15" xfId="3730"/>
    <cellStyle name="Note 15 2" xfId="3731"/>
    <cellStyle name="Note 15 2 2" xfId="3732"/>
    <cellStyle name="Note 15 3" xfId="3733"/>
    <cellStyle name="Note 15 3 2" xfId="3734"/>
    <cellStyle name="Note 15 4" xfId="3735"/>
    <cellStyle name="Note 15 4 2" xfId="3736"/>
    <cellStyle name="Note 15 5" xfId="3737"/>
    <cellStyle name="Note 15 5 2" xfId="3738"/>
    <cellStyle name="Note 15 6" xfId="3739"/>
    <cellStyle name="Note 16" xfId="3740"/>
    <cellStyle name="Note 16 2" xfId="3741"/>
    <cellStyle name="Note 16 2 2" xfId="3742"/>
    <cellStyle name="Note 16 3" xfId="3743"/>
    <cellStyle name="Note 16 3 2" xfId="3744"/>
    <cellStyle name="Note 16 4" xfId="3745"/>
    <cellStyle name="Note 16 4 2" xfId="3746"/>
    <cellStyle name="Note 16 5" xfId="3747"/>
    <cellStyle name="Note 16 5 2" xfId="3748"/>
    <cellStyle name="Note 16 6" xfId="3749"/>
    <cellStyle name="Note 17" xfId="3750"/>
    <cellStyle name="Note 17 2" xfId="3751"/>
    <cellStyle name="Note 17 2 2" xfId="3752"/>
    <cellStyle name="Note 17 3" xfId="3753"/>
    <cellStyle name="Note 17 3 2" xfId="3754"/>
    <cellStyle name="Note 17 4" xfId="3755"/>
    <cellStyle name="Note 17 4 2" xfId="3756"/>
    <cellStyle name="Note 17 5" xfId="3757"/>
    <cellStyle name="Note 17 5 2" xfId="3758"/>
    <cellStyle name="Note 17 6" xfId="3759"/>
    <cellStyle name="Note 18" xfId="3760"/>
    <cellStyle name="Note 18 2" xfId="3761"/>
    <cellStyle name="Note 18 2 2" xfId="3762"/>
    <cellStyle name="Note 18 3" xfId="3763"/>
    <cellStyle name="Note 18 3 2" xfId="3764"/>
    <cellStyle name="Note 18 4" xfId="3765"/>
    <cellStyle name="Note 18 4 2" xfId="3766"/>
    <cellStyle name="Note 18 5" xfId="3767"/>
    <cellStyle name="Note 18 5 2" xfId="3768"/>
    <cellStyle name="Note 18 6" xfId="3769"/>
    <cellStyle name="Note 19" xfId="3770"/>
    <cellStyle name="Note 19 2" xfId="3771"/>
    <cellStyle name="Note 19 2 2" xfId="3772"/>
    <cellStyle name="Note 19 3" xfId="3773"/>
    <cellStyle name="Note 19 3 2" xfId="3774"/>
    <cellStyle name="Note 19 4" xfId="3775"/>
    <cellStyle name="Note 19 4 2" xfId="3776"/>
    <cellStyle name="Note 19 5" xfId="3777"/>
    <cellStyle name="Note 19 5 2" xfId="3778"/>
    <cellStyle name="Note 19 6" xfId="3779"/>
    <cellStyle name="Note 2" xfId="128"/>
    <cellStyle name="Note 2 2" xfId="3780"/>
    <cellStyle name="Note 2 2 2" xfId="3781"/>
    <cellStyle name="Note 2 3" xfId="3782"/>
    <cellStyle name="Note 20" xfId="3783"/>
    <cellStyle name="Note 20 2" xfId="3784"/>
    <cellStyle name="Note 20 2 2" xfId="3785"/>
    <cellStyle name="Note 20 3" xfId="3786"/>
    <cellStyle name="Note 20 3 2" xfId="3787"/>
    <cellStyle name="Note 20 4" xfId="3788"/>
    <cellStyle name="Note 20 4 2" xfId="3789"/>
    <cellStyle name="Note 20 5" xfId="3790"/>
    <cellStyle name="Note 20 5 2" xfId="3791"/>
    <cellStyle name="Note 20 6" xfId="3792"/>
    <cellStyle name="Note 21" xfId="3793"/>
    <cellStyle name="Note 21 2" xfId="3794"/>
    <cellStyle name="Note 21 2 2" xfId="3795"/>
    <cellStyle name="Note 21 3" xfId="3796"/>
    <cellStyle name="Note 21 3 2" xfId="3797"/>
    <cellStyle name="Note 21 4" xfId="3798"/>
    <cellStyle name="Note 21 4 2" xfId="3799"/>
    <cellStyle name="Note 21 5" xfId="3800"/>
    <cellStyle name="Note 21 5 2" xfId="3801"/>
    <cellStyle name="Note 21 6" xfId="3802"/>
    <cellStyle name="Note 21 6 2" xfId="3803"/>
    <cellStyle name="Note 21 7" xfId="3804"/>
    <cellStyle name="Note 21 7 2" xfId="3805"/>
    <cellStyle name="Note 21 8" xfId="3806"/>
    <cellStyle name="Note 22" xfId="3807"/>
    <cellStyle name="Note 22 2" xfId="3808"/>
    <cellStyle name="Note 22 2 2" xfId="3809"/>
    <cellStyle name="Note 22 3" xfId="3810"/>
    <cellStyle name="Note 22 3 2" xfId="3811"/>
    <cellStyle name="Note 22 4" xfId="3812"/>
    <cellStyle name="Note 22 4 2" xfId="3813"/>
    <cellStyle name="Note 22 5" xfId="3814"/>
    <cellStyle name="Note 22 5 2" xfId="3815"/>
    <cellStyle name="Note 22 6" xfId="3816"/>
    <cellStyle name="Note 22 6 2" xfId="3817"/>
    <cellStyle name="Note 22 7" xfId="3818"/>
    <cellStyle name="Note 22 7 2" xfId="3819"/>
    <cellStyle name="Note 22 8" xfId="3820"/>
    <cellStyle name="Note 23" xfId="3821"/>
    <cellStyle name="Note 23 2" xfId="3822"/>
    <cellStyle name="Note 23 2 2" xfId="3823"/>
    <cellStyle name="Note 23 3" xfId="3824"/>
    <cellStyle name="Note 23 3 2" xfId="3825"/>
    <cellStyle name="Note 23 4" xfId="3826"/>
    <cellStyle name="Note 23 4 2" xfId="3827"/>
    <cellStyle name="Note 23 5" xfId="3828"/>
    <cellStyle name="Note 23 5 2" xfId="3829"/>
    <cellStyle name="Note 23 6" xfId="3830"/>
    <cellStyle name="Note 23 6 2" xfId="3831"/>
    <cellStyle name="Note 23 7" xfId="3832"/>
    <cellStyle name="Note 23 7 2" xfId="3833"/>
    <cellStyle name="Note 23 8" xfId="3834"/>
    <cellStyle name="Note 24" xfId="3835"/>
    <cellStyle name="Note 24 2" xfId="3836"/>
    <cellStyle name="Note 24 2 2" xfId="3837"/>
    <cellStyle name="Note 24 3" xfId="3838"/>
    <cellStyle name="Note 24 3 2" xfId="3839"/>
    <cellStyle name="Note 24 4" xfId="3840"/>
    <cellStyle name="Note 24 4 2" xfId="3841"/>
    <cellStyle name="Note 24 5" xfId="3842"/>
    <cellStyle name="Note 24 5 2" xfId="3843"/>
    <cellStyle name="Note 24 6" xfId="3844"/>
    <cellStyle name="Note 24 6 2" xfId="3845"/>
    <cellStyle name="Note 24 7" xfId="3846"/>
    <cellStyle name="Note 24 7 2" xfId="3847"/>
    <cellStyle name="Note 24 8" xfId="3848"/>
    <cellStyle name="Note 25" xfId="3849"/>
    <cellStyle name="Note 25 2" xfId="3850"/>
    <cellStyle name="Note 25 2 2" xfId="3851"/>
    <cellStyle name="Note 25 3" xfId="3852"/>
    <cellStyle name="Note 25 3 2" xfId="3853"/>
    <cellStyle name="Note 25 4" xfId="3854"/>
    <cellStyle name="Note 25 4 2" xfId="3855"/>
    <cellStyle name="Note 25 5" xfId="3856"/>
    <cellStyle name="Note 25 5 2" xfId="3857"/>
    <cellStyle name="Note 25 6" xfId="3858"/>
    <cellStyle name="Note 26" xfId="3859"/>
    <cellStyle name="Note 26 2" xfId="3860"/>
    <cellStyle name="Note 26 2 2" xfId="3861"/>
    <cellStyle name="Note 26 3" xfId="3862"/>
    <cellStyle name="Note 26 3 2" xfId="3863"/>
    <cellStyle name="Note 26 4" xfId="3864"/>
    <cellStyle name="Note 26 4 2" xfId="3865"/>
    <cellStyle name="Note 26 5" xfId="3866"/>
    <cellStyle name="Note 26 5 2" xfId="3867"/>
    <cellStyle name="Note 26 6" xfId="3868"/>
    <cellStyle name="Note 27" xfId="3869"/>
    <cellStyle name="Note 27 2" xfId="3870"/>
    <cellStyle name="Note 27 2 2" xfId="3871"/>
    <cellStyle name="Note 27 3" xfId="3872"/>
    <cellStyle name="Note 27 3 2" xfId="3873"/>
    <cellStyle name="Note 27 4" xfId="3874"/>
    <cellStyle name="Note 27 4 2" xfId="3875"/>
    <cellStyle name="Note 27 5" xfId="3876"/>
    <cellStyle name="Note 27 5 2" xfId="3877"/>
    <cellStyle name="Note 27 6" xfId="3878"/>
    <cellStyle name="Note 28" xfId="3879"/>
    <cellStyle name="Note 28 2" xfId="3880"/>
    <cellStyle name="Note 28 2 2" xfId="3881"/>
    <cellStyle name="Note 28 3" xfId="3882"/>
    <cellStyle name="Note 28 3 2" xfId="3883"/>
    <cellStyle name="Note 28 4" xfId="3884"/>
    <cellStyle name="Note 28 4 2" xfId="3885"/>
    <cellStyle name="Note 28 5" xfId="3886"/>
    <cellStyle name="Note 28 5 2" xfId="3887"/>
    <cellStyle name="Note 28 6" xfId="3888"/>
    <cellStyle name="Note 29" xfId="3889"/>
    <cellStyle name="Note 29 2" xfId="3890"/>
    <cellStyle name="Note 29 2 2" xfId="3891"/>
    <cellStyle name="Note 29 3" xfId="3892"/>
    <cellStyle name="Note 29 3 2" xfId="3893"/>
    <cellStyle name="Note 29 4" xfId="3894"/>
    <cellStyle name="Note 29 4 2" xfId="3895"/>
    <cellStyle name="Note 29 5" xfId="3896"/>
    <cellStyle name="Note 29 5 2" xfId="3897"/>
    <cellStyle name="Note 29 6" xfId="3898"/>
    <cellStyle name="Note 3" xfId="3899"/>
    <cellStyle name="Note 3 2" xfId="3900"/>
    <cellStyle name="Note 3 2 2" xfId="3901"/>
    <cellStyle name="Note 3 3" xfId="3902"/>
    <cellStyle name="Note 30" xfId="3903"/>
    <cellStyle name="Note 30 2" xfId="3904"/>
    <cellStyle name="Note 30 2 2" xfId="3905"/>
    <cellStyle name="Note 30 3" xfId="3906"/>
    <cellStyle name="Note 30 3 2" xfId="3907"/>
    <cellStyle name="Note 30 4" xfId="3908"/>
    <cellStyle name="Note 30 4 2" xfId="3909"/>
    <cellStyle name="Note 30 5" xfId="3910"/>
    <cellStyle name="Note 30 5 2" xfId="3911"/>
    <cellStyle name="Note 30 6" xfId="3912"/>
    <cellStyle name="Note 31" xfId="3913"/>
    <cellStyle name="Note 31 2" xfId="3914"/>
    <cellStyle name="Note 31 2 2" xfId="3915"/>
    <cellStyle name="Note 31 3" xfId="3916"/>
    <cellStyle name="Note 31 3 2" xfId="3917"/>
    <cellStyle name="Note 31 4" xfId="3918"/>
    <cellStyle name="Note 31 4 2" xfId="3919"/>
    <cellStyle name="Note 31 5" xfId="3920"/>
    <cellStyle name="Note 31 5 2" xfId="3921"/>
    <cellStyle name="Note 31 6" xfId="3922"/>
    <cellStyle name="Note 31 6 2" xfId="3923"/>
    <cellStyle name="Note 31 7" xfId="3924"/>
    <cellStyle name="Note 31 7 2" xfId="3925"/>
    <cellStyle name="Note 31 8" xfId="3926"/>
    <cellStyle name="Note 32" xfId="3927"/>
    <cellStyle name="Note 32 2" xfId="3928"/>
    <cellStyle name="Note 32 2 2" xfId="3929"/>
    <cellStyle name="Note 32 3" xfId="3930"/>
    <cellStyle name="Note 32 3 2" xfId="3931"/>
    <cellStyle name="Note 32 4" xfId="3932"/>
    <cellStyle name="Note 32 4 2" xfId="3933"/>
    <cellStyle name="Note 32 5" xfId="3934"/>
    <cellStyle name="Note 32 5 2" xfId="3935"/>
    <cellStyle name="Note 32 6" xfId="3936"/>
    <cellStyle name="Note 32 6 2" xfId="3937"/>
    <cellStyle name="Note 32 7" xfId="3938"/>
    <cellStyle name="Note 32 7 2" xfId="3939"/>
    <cellStyle name="Note 32 8" xfId="3940"/>
    <cellStyle name="Note 33" xfId="3941"/>
    <cellStyle name="Note 33 2" xfId="3942"/>
    <cellStyle name="Note 33 2 2" xfId="3943"/>
    <cellStyle name="Note 33 3" xfId="3944"/>
    <cellStyle name="Note 33 3 2" xfId="3945"/>
    <cellStyle name="Note 33 4" xfId="3946"/>
    <cellStyle name="Note 33 4 2" xfId="3947"/>
    <cellStyle name="Note 33 5" xfId="3948"/>
    <cellStyle name="Note 33 5 2" xfId="3949"/>
    <cellStyle name="Note 33 6" xfId="3950"/>
    <cellStyle name="Note 33 6 2" xfId="3951"/>
    <cellStyle name="Note 33 7" xfId="3952"/>
    <cellStyle name="Note 33 7 2" xfId="3953"/>
    <cellStyle name="Note 33 8" xfId="3954"/>
    <cellStyle name="Note 34" xfId="3955"/>
    <cellStyle name="Note 34 2" xfId="3956"/>
    <cellStyle name="Note 34 2 2" xfId="3957"/>
    <cellStyle name="Note 34 3" xfId="3958"/>
    <cellStyle name="Note 34 3 2" xfId="3959"/>
    <cellStyle name="Note 34 4" xfId="3960"/>
    <cellStyle name="Note 34 4 2" xfId="3961"/>
    <cellStyle name="Note 34 5" xfId="3962"/>
    <cellStyle name="Note 34 5 2" xfId="3963"/>
    <cellStyle name="Note 34 6" xfId="3964"/>
    <cellStyle name="Note 34 6 2" xfId="3965"/>
    <cellStyle name="Note 34 7" xfId="3966"/>
    <cellStyle name="Note 34 7 2" xfId="3967"/>
    <cellStyle name="Note 34 8" xfId="3968"/>
    <cellStyle name="Note 35" xfId="3969"/>
    <cellStyle name="Note 35 2" xfId="3970"/>
    <cellStyle name="Note 35 2 2" xfId="3971"/>
    <cellStyle name="Note 35 3" xfId="3972"/>
    <cellStyle name="Note 35 3 2" xfId="3973"/>
    <cellStyle name="Note 35 4" xfId="3974"/>
    <cellStyle name="Note 35 4 2" xfId="3975"/>
    <cellStyle name="Note 35 5" xfId="3976"/>
    <cellStyle name="Note 35 5 2" xfId="3977"/>
    <cellStyle name="Note 35 6" xfId="3978"/>
    <cellStyle name="Note 35 6 2" xfId="3979"/>
    <cellStyle name="Note 35 7" xfId="3980"/>
    <cellStyle name="Note 35 7 2" xfId="3981"/>
    <cellStyle name="Note 35 8" xfId="3982"/>
    <cellStyle name="Note 36" xfId="3983"/>
    <cellStyle name="Note 36 2" xfId="3984"/>
    <cellStyle name="Note 36 2 2" xfId="3985"/>
    <cellStyle name="Note 36 3" xfId="3986"/>
    <cellStyle name="Note 36 3 2" xfId="3987"/>
    <cellStyle name="Note 36 4" xfId="3988"/>
    <cellStyle name="Note 36 4 2" xfId="3989"/>
    <cellStyle name="Note 36 5" xfId="3990"/>
    <cellStyle name="Note 36 5 2" xfId="3991"/>
    <cellStyle name="Note 36 6" xfId="3992"/>
    <cellStyle name="Note 36 6 2" xfId="3993"/>
    <cellStyle name="Note 36 7" xfId="3994"/>
    <cellStyle name="Note 36 7 2" xfId="3995"/>
    <cellStyle name="Note 36 8" xfId="3996"/>
    <cellStyle name="Note 37" xfId="3997"/>
    <cellStyle name="Note 37 2" xfId="3998"/>
    <cellStyle name="Note 37 2 2" xfId="3999"/>
    <cellStyle name="Note 37 3" xfId="4000"/>
    <cellStyle name="Note 37 3 2" xfId="4001"/>
    <cellStyle name="Note 37 4" xfId="4002"/>
    <cellStyle name="Note 37 4 2" xfId="4003"/>
    <cellStyle name="Note 37 5" xfId="4004"/>
    <cellStyle name="Note 37 5 2" xfId="4005"/>
    <cellStyle name="Note 37 6" xfId="4006"/>
    <cellStyle name="Note 37 6 2" xfId="4007"/>
    <cellStyle name="Note 37 7" xfId="4008"/>
    <cellStyle name="Note 37 7 2" xfId="4009"/>
    <cellStyle name="Note 37 8" xfId="4010"/>
    <cellStyle name="Note 38" xfId="4011"/>
    <cellStyle name="Note 38 2" xfId="4012"/>
    <cellStyle name="Note 38 2 2" xfId="4013"/>
    <cellStyle name="Note 38 3" xfId="4014"/>
    <cellStyle name="Note 38 3 2" xfId="4015"/>
    <cellStyle name="Note 38 4" xfId="4016"/>
    <cellStyle name="Note 38 4 2" xfId="4017"/>
    <cellStyle name="Note 38 5" xfId="4018"/>
    <cellStyle name="Note 38 5 2" xfId="4019"/>
    <cellStyle name="Note 38 6" xfId="4020"/>
    <cellStyle name="Note 38 6 2" xfId="4021"/>
    <cellStyle name="Note 38 7" xfId="4022"/>
    <cellStyle name="Note 38 7 2" xfId="4023"/>
    <cellStyle name="Note 38 8" xfId="4024"/>
    <cellStyle name="Note 39" xfId="4025"/>
    <cellStyle name="Note 39 2" xfId="4026"/>
    <cellStyle name="Note 4" xfId="4027"/>
    <cellStyle name="Note 4 2" xfId="4028"/>
    <cellStyle name="Note 4 2 2" xfId="4029"/>
    <cellStyle name="Note 4 3" xfId="4030"/>
    <cellStyle name="Note 40" xfId="4031"/>
    <cellStyle name="Note 40 2" xfId="4032"/>
    <cellStyle name="Note 41" xfId="4033"/>
    <cellStyle name="Note 41 2" xfId="4034"/>
    <cellStyle name="Note 42" xfId="4035"/>
    <cellStyle name="Note 42 2" xfId="4036"/>
    <cellStyle name="Note 43" xfId="4037"/>
    <cellStyle name="Note 43 2" xfId="4038"/>
    <cellStyle name="Note 44" xfId="4039"/>
    <cellStyle name="Note 5" xfId="4040"/>
    <cellStyle name="Note 5 2" xfId="4041"/>
    <cellStyle name="Note 5 2 2" xfId="4042"/>
    <cellStyle name="Note 5 3" xfId="4043"/>
    <cellStyle name="Note 6" xfId="4044"/>
    <cellStyle name="Note 6 2" xfId="4045"/>
    <cellStyle name="Note 6 2 2" xfId="4046"/>
    <cellStyle name="Note 6 3" xfId="4047"/>
    <cellStyle name="Note 7" xfId="4048"/>
    <cellStyle name="Note 7 2" xfId="4049"/>
    <cellStyle name="Note 8" xfId="4050"/>
    <cellStyle name="Note 8 2" xfId="4051"/>
    <cellStyle name="Note 9" xfId="4052"/>
    <cellStyle name="Note 9 2" xfId="4053"/>
    <cellStyle name="nozero" xfId="4347"/>
    <cellStyle name="nozero 2" xfId="4348"/>
    <cellStyle name="nUMBER" xfId="129"/>
    <cellStyle name="Output 10" xfId="4054"/>
    <cellStyle name="Output 11" xfId="4055"/>
    <cellStyle name="Output 12" xfId="4056"/>
    <cellStyle name="Output 13" xfId="4057"/>
    <cellStyle name="Output 14" xfId="4058"/>
    <cellStyle name="Output 15" xfId="4059"/>
    <cellStyle name="Output 16" xfId="4060"/>
    <cellStyle name="Output 17" xfId="4061"/>
    <cellStyle name="Output 18" xfId="4062"/>
    <cellStyle name="Output 2" xfId="130"/>
    <cellStyle name="Output 2 2" xfId="4063"/>
    <cellStyle name="Output 2 3" xfId="4064"/>
    <cellStyle name="Output 2 4" xfId="4065"/>
    <cellStyle name="Output 2 5" xfId="4066"/>
    <cellStyle name="Output 3" xfId="4067"/>
    <cellStyle name="Output 4" xfId="4068"/>
    <cellStyle name="Output 5" xfId="4069"/>
    <cellStyle name="Output 6" xfId="4070"/>
    <cellStyle name="Output 7" xfId="4071"/>
    <cellStyle name="Output 8" xfId="4072"/>
    <cellStyle name="Output 9" xfId="4073"/>
    <cellStyle name="Output1_Back" xfId="4599"/>
    <cellStyle name="p" xfId="4229"/>
    <cellStyle name="p_2010 Attachment O  GG_082709" xfId="4600"/>
    <cellStyle name="p_2010 Attachment O Template Supporting Work Papers_ITC Midwest" xfId="4601"/>
    <cellStyle name="p_2010 Attachment O Template Supporting Work Papers_ITCTransmission" xfId="4602"/>
    <cellStyle name="p_2010 Attachment O Template Supporting Work Papers_METC" xfId="4603"/>
    <cellStyle name="p_2Mod11" xfId="4604"/>
    <cellStyle name="p_aavidmod11.xls Chart 1" xfId="4605"/>
    <cellStyle name="p_aavidmod11.xls Chart 2" xfId="4606"/>
    <cellStyle name="p_Attachment O &amp; GG" xfId="4607"/>
    <cellStyle name="p_charts for capm" xfId="4608"/>
    <cellStyle name="p_DCF" xfId="4609"/>
    <cellStyle name="p_DCF_2Mod11" xfId="4610"/>
    <cellStyle name="p_DCF_aavidmod11.xls Chart 1" xfId="4611"/>
    <cellStyle name="p_DCF_aavidmod11.xls Chart 2" xfId="4612"/>
    <cellStyle name="p_DCF_charts for capm" xfId="4613"/>
    <cellStyle name="p_DCF_DCF5" xfId="4614"/>
    <cellStyle name="p_DCF_Template2" xfId="4615"/>
    <cellStyle name="p_DCF_Template2_1" xfId="4616"/>
    <cellStyle name="p_DCF_VERA" xfId="4617"/>
    <cellStyle name="p_DCF_VERA_1" xfId="4618"/>
    <cellStyle name="p_DCF_VERA_1_Template2" xfId="4619"/>
    <cellStyle name="p_DCF_VERA_aavidmod11.xls Chart 2" xfId="4620"/>
    <cellStyle name="p_DCF_VERA_Model02" xfId="4621"/>
    <cellStyle name="p_DCF_VERA_Template2" xfId="4622"/>
    <cellStyle name="p_DCF_VERA_VERA" xfId="4623"/>
    <cellStyle name="p_DCF_VERA_VERA_1" xfId="4624"/>
    <cellStyle name="p_DCF_VERA_VERA_2" xfId="4625"/>
    <cellStyle name="p_DCF_VERA_VERA_Template2" xfId="4626"/>
    <cellStyle name="p_DCF5" xfId="4627"/>
    <cellStyle name="p_ITC Great Plains Formula 1-12-09a" xfId="4628"/>
    <cellStyle name="p_ITCM 2010 Template" xfId="4629"/>
    <cellStyle name="p_ITCMW 2009 Rate" xfId="4630"/>
    <cellStyle name="p_ITCMW 2010 Rate_083109" xfId="4631"/>
    <cellStyle name="p_ITCOP 2010 Rate_083109" xfId="4632"/>
    <cellStyle name="p_ITCT 2009 Rate" xfId="4633"/>
    <cellStyle name="p_ITCT New 2010 Attachment O &amp; GG_111209NL" xfId="4634"/>
    <cellStyle name="p_METC 2010 Rate_083109" xfId="4635"/>
    <cellStyle name="p_Template2" xfId="4636"/>
    <cellStyle name="p_Template2_1" xfId="4637"/>
    <cellStyle name="p_VERA" xfId="4638"/>
    <cellStyle name="p_VERA_1" xfId="4639"/>
    <cellStyle name="p_VERA_1_Template2" xfId="4640"/>
    <cellStyle name="p_VERA_aavidmod11.xls Chart 2" xfId="4641"/>
    <cellStyle name="p_VERA_Model02" xfId="4642"/>
    <cellStyle name="p_VERA_Template2" xfId="4643"/>
    <cellStyle name="p_VERA_VERA" xfId="4644"/>
    <cellStyle name="p_VERA_VERA_1" xfId="4645"/>
    <cellStyle name="p_VERA_VERA_2" xfId="4646"/>
    <cellStyle name="p_VERA_VERA_Template2" xfId="4647"/>
    <cellStyle name="p1" xfId="4230"/>
    <cellStyle name="p2" xfId="4231"/>
    <cellStyle name="p3" xfId="4232"/>
    <cellStyle name="Percent" xfId="4666" builtinId="5"/>
    <cellStyle name="Percent %" xfId="4233"/>
    <cellStyle name="Percent % Long Underline" xfId="4234"/>
    <cellStyle name="Percent (0)" xfId="4235"/>
    <cellStyle name="Percent [0]" xfId="4349"/>
    <cellStyle name="Percent [1]" xfId="4648"/>
    <cellStyle name="Percent [2]" xfId="131"/>
    <cellStyle name="Percent [2] 2" xfId="4350"/>
    <cellStyle name="Percent [2] 3" xfId="4351"/>
    <cellStyle name="Percent [3]" xfId="4649"/>
    <cellStyle name="Percent 0.0%" xfId="4236"/>
    <cellStyle name="Percent 0.0% Long Underline" xfId="4237"/>
    <cellStyle name="Percent 0.00%" xfId="4238"/>
    <cellStyle name="Percent 0.00% Long Underline" xfId="4239"/>
    <cellStyle name="Percent 0.000%" xfId="4240"/>
    <cellStyle name="Percent 0.000% Long Underline" xfId="4241"/>
    <cellStyle name="Percent 0.0000%" xfId="4242"/>
    <cellStyle name="Percent 0.0000% Long Underline" xfId="4243"/>
    <cellStyle name="Percent 10" xfId="4352"/>
    <cellStyle name="Percent 11" xfId="4353"/>
    <cellStyle name="Percent 12" xfId="4354"/>
    <cellStyle name="Percent 13" xfId="4355"/>
    <cellStyle name="Percent 14" xfId="4356"/>
    <cellStyle name="Percent 15" xfId="4357"/>
    <cellStyle name="Percent 16" xfId="4358"/>
    <cellStyle name="Percent 17" xfId="4359"/>
    <cellStyle name="Percent 18" xfId="4360"/>
    <cellStyle name="Percent 19" xfId="4361"/>
    <cellStyle name="Percent 2" xfId="3"/>
    <cellStyle name="Percent 2 2" xfId="4074"/>
    <cellStyle name="Percent 2 2 2" xfId="4075"/>
    <cellStyle name="Percent 2 2 3" xfId="4076"/>
    <cellStyle name="Percent 2 3" xfId="4077"/>
    <cellStyle name="Percent 2 3 2" xfId="4078"/>
    <cellStyle name="Percent 2 4" xfId="4079"/>
    <cellStyle name="Percent 20" xfId="4362"/>
    <cellStyle name="Percent 21" xfId="4363"/>
    <cellStyle name="Percent 22" xfId="4364"/>
    <cellStyle name="Percent 23" xfId="4365"/>
    <cellStyle name="Percent 24" xfId="4366"/>
    <cellStyle name="Percent 25" xfId="4367"/>
    <cellStyle name="Percent 26" xfId="4368"/>
    <cellStyle name="Percent 27" xfId="4369"/>
    <cellStyle name="Percent 28" xfId="4370"/>
    <cellStyle name="Percent 29" xfId="4371"/>
    <cellStyle name="Percent 3" xfId="4080"/>
    <cellStyle name="Percent 3 2" xfId="4081"/>
    <cellStyle name="Percent 3 3" xfId="4082"/>
    <cellStyle name="Percent 30" xfId="4372"/>
    <cellStyle name="Percent 31" xfId="4373"/>
    <cellStyle name="Percent 32" xfId="4374"/>
    <cellStyle name="Percent 33" xfId="4375"/>
    <cellStyle name="Percent 34" xfId="4376"/>
    <cellStyle name="Percent 35" xfId="4377"/>
    <cellStyle name="Percent 36" xfId="4378"/>
    <cellStyle name="Percent 37" xfId="4379"/>
    <cellStyle name="Percent 38" xfId="4380"/>
    <cellStyle name="Percent 39" xfId="4381"/>
    <cellStyle name="Percent 4" xfId="4244"/>
    <cellStyle name="Percent 4 2" xfId="4382"/>
    <cellStyle name="Percent 40" xfId="4383"/>
    <cellStyle name="Percent 41" xfId="4384"/>
    <cellStyle name="Percent 42" xfId="4385"/>
    <cellStyle name="Percent 43" xfId="4386"/>
    <cellStyle name="Percent 44" xfId="4387"/>
    <cellStyle name="Percent 45" xfId="4388"/>
    <cellStyle name="Percent 46" xfId="4389"/>
    <cellStyle name="Percent 47" xfId="4390"/>
    <cellStyle name="Percent 48" xfId="4391"/>
    <cellStyle name="Percent 49" xfId="4392"/>
    <cellStyle name="Percent 5" xfId="4245"/>
    <cellStyle name="Percent 50" xfId="4393"/>
    <cellStyle name="Percent 50 2" xfId="4394"/>
    <cellStyle name="Percent 51" xfId="4395"/>
    <cellStyle name="Percent 51 2" xfId="4396"/>
    <cellStyle name="Percent 52" xfId="4397"/>
    <cellStyle name="Percent 53" xfId="4398"/>
    <cellStyle name="Percent 54" xfId="4399"/>
    <cellStyle name="Percent 55" xfId="4400"/>
    <cellStyle name="Percent 56" xfId="4401"/>
    <cellStyle name="Percent 57" xfId="4402"/>
    <cellStyle name="Percent 58" xfId="4403"/>
    <cellStyle name="Percent 59" xfId="4404"/>
    <cellStyle name="Percent 6" xfId="4246"/>
    <cellStyle name="Percent 6 2" xfId="4650"/>
    <cellStyle name="Percent 6 3" xfId="4651"/>
    <cellStyle name="Percent 6 4" xfId="4652"/>
    <cellStyle name="Percent 6 5" xfId="4653"/>
    <cellStyle name="Percent 60" xfId="4405"/>
    <cellStyle name="Percent 60 2" xfId="4475"/>
    <cellStyle name="Percent 61" xfId="4406"/>
    <cellStyle name="Percent 62" xfId="4407"/>
    <cellStyle name="Percent 7" xfId="4247"/>
    <cellStyle name="Percent 7 2" xfId="4654"/>
    <cellStyle name="Percent 70" xfId="4408"/>
    <cellStyle name="Percent 8" xfId="4409"/>
    <cellStyle name="Percent 9" xfId="4410"/>
    <cellStyle name="Percent 9 2" xfId="4688"/>
    <cellStyle name="Percent 9 2 2" xfId="4677"/>
    <cellStyle name="Percent 9 3" xfId="4689"/>
    <cellStyle name="Percent Input" xfId="4655"/>
    <cellStyle name="Percent0" xfId="4248"/>
    <cellStyle name="Percent1" xfId="4249"/>
    <cellStyle name="Percent2" xfId="4250"/>
    <cellStyle name="PSChar" xfId="132"/>
    <cellStyle name="PSDate" xfId="133"/>
    <cellStyle name="PSDec" xfId="134"/>
    <cellStyle name="PSdesc" xfId="4251"/>
    <cellStyle name="PSHeading" xfId="135"/>
    <cellStyle name="PSInt" xfId="136"/>
    <cellStyle name="PSSpacer" xfId="137"/>
    <cellStyle name="PStest" xfId="4252"/>
    <cellStyle name="R00A" xfId="138"/>
    <cellStyle name="R00B" xfId="139"/>
    <cellStyle name="R00L" xfId="140"/>
    <cellStyle name="R01A" xfId="141"/>
    <cellStyle name="R01B" xfId="142"/>
    <cellStyle name="R01H" xfId="143"/>
    <cellStyle name="R01L" xfId="144"/>
    <cellStyle name="R02A" xfId="145"/>
    <cellStyle name="R02B" xfId="146"/>
    <cellStyle name="R02H" xfId="147"/>
    <cellStyle name="R02L" xfId="148"/>
    <cellStyle name="R03A" xfId="149"/>
    <cellStyle name="R03B" xfId="150"/>
    <cellStyle name="R03H" xfId="151"/>
    <cellStyle name="R03L" xfId="152"/>
    <cellStyle name="R04A" xfId="153"/>
    <cellStyle name="R04B" xfId="154"/>
    <cellStyle name="R04H" xfId="155"/>
    <cellStyle name="R04L" xfId="156"/>
    <cellStyle name="R05A" xfId="157"/>
    <cellStyle name="R05B" xfId="158"/>
    <cellStyle name="R05H" xfId="159"/>
    <cellStyle name="R05L" xfId="160"/>
    <cellStyle name="R05L 2" xfId="4253"/>
    <cellStyle name="R06A" xfId="161"/>
    <cellStyle name="R06B" xfId="162"/>
    <cellStyle name="R06H" xfId="163"/>
    <cellStyle name="R06L" xfId="164"/>
    <cellStyle name="R07A" xfId="165"/>
    <cellStyle name="R07B" xfId="166"/>
    <cellStyle name="R07H" xfId="167"/>
    <cellStyle name="R07L" xfId="168"/>
    <cellStyle name="RangeBelow" xfId="4411"/>
    <cellStyle name="rborder" xfId="4254"/>
    <cellStyle name="red" xfId="4255"/>
    <cellStyle name="Reports" xfId="4412"/>
    <cellStyle name="Reports-0" xfId="4413"/>
    <cellStyle name="Reports-2" xfId="4414"/>
    <cellStyle name="Resource Detail" xfId="169"/>
    <cellStyle name="s_HardInc " xfId="4256"/>
    <cellStyle name="s_HardInc _ITC Great Plains Formula 1-12-09a" xfId="4656"/>
    <cellStyle name="SAPBEXchaText" xfId="4415"/>
    <cellStyle name="SAPBEXstdData" xfId="4416"/>
    <cellStyle name="SAPBEXstdItem" xfId="4417"/>
    <cellStyle name="SAPBEXstdItemX" xfId="4418"/>
    <cellStyle name="scenario" xfId="4657"/>
    <cellStyle name="SECTION" xfId="4257"/>
    <cellStyle name="Shade" xfId="170"/>
    <cellStyle name="Shading - Heavy" xfId="4419"/>
    <cellStyle name="Shading - Light" xfId="4420"/>
    <cellStyle name="Shading - Medium" xfId="4421"/>
    <cellStyle name="Sheetmult" xfId="4658"/>
    <cellStyle name="Shtmultx" xfId="4659"/>
    <cellStyle name="single acct" xfId="171"/>
    <cellStyle name="Single Border" xfId="172"/>
    <cellStyle name="Small Page Heading" xfId="173"/>
    <cellStyle name="Spaces-2" xfId="4422"/>
    <cellStyle name="Spaces-4" xfId="4423"/>
    <cellStyle name="Spaces-6" xfId="4424"/>
    <cellStyle name="ssn" xfId="174"/>
    <cellStyle name="Style 1" xfId="175"/>
    <cellStyle name="Style 1 2" xfId="4083"/>
    <cellStyle name="Style 1 2 2" xfId="4084"/>
    <cellStyle name="Style 1 3" xfId="4085"/>
    <cellStyle name="Style 1 3 2" xfId="4086"/>
    <cellStyle name="Style 1 4" xfId="4087"/>
    <cellStyle name="Style 1 4 2" xfId="4088"/>
    <cellStyle name="Style 1 5" xfId="4089"/>
    <cellStyle name="Style 1 5 2" xfId="4090"/>
    <cellStyle name="Style 1 6" xfId="4091"/>
    <cellStyle name="Style 1 6 2" xfId="4092"/>
    <cellStyle name="Style 1 7" xfId="4093"/>
    <cellStyle name="Style 1 7 2" xfId="4094"/>
    <cellStyle name="Style 1 8" xfId="4095"/>
    <cellStyle name="Style 2" xfId="176"/>
    <cellStyle name="Style 21" xfId="4425"/>
    <cellStyle name="Style 21 2" xfId="4426"/>
    <cellStyle name="Style 22" xfId="4427"/>
    <cellStyle name="Style 22 2" xfId="4428"/>
    <cellStyle name="Style 23" xfId="4429"/>
    <cellStyle name="Style 23 2" xfId="4430"/>
    <cellStyle name="Style 24" xfId="4431"/>
    <cellStyle name="Style 24 2" xfId="4432"/>
    <cellStyle name="Style 25" xfId="4433"/>
    <cellStyle name="Style 25 2" xfId="4434"/>
    <cellStyle name="Style 26" xfId="4435"/>
    <cellStyle name="Style 26 2" xfId="4436"/>
    <cellStyle name="Style 27" xfId="177"/>
    <cellStyle name="Style 27 2" xfId="4437"/>
    <cellStyle name="Style 28" xfId="178"/>
    <cellStyle name="Style 28 2" xfId="4438"/>
    <cellStyle name="Style 29" xfId="4439"/>
    <cellStyle name="Style 29 2" xfId="4440"/>
    <cellStyle name="Style 30" xfId="4441"/>
    <cellStyle name="Style 30 2" xfId="4442"/>
    <cellStyle name="Style 31" xfId="4443"/>
    <cellStyle name="Style 31 2" xfId="4444"/>
    <cellStyle name="Style 32" xfId="4445"/>
    <cellStyle name="Style 32 2" xfId="4446"/>
    <cellStyle name="Style 33" xfId="4447"/>
    <cellStyle name="Style 33 2" xfId="4448"/>
    <cellStyle name="Style 34" xfId="4449"/>
    <cellStyle name="Style 34 2" xfId="4450"/>
    <cellStyle name="Style 35" xfId="4451"/>
    <cellStyle name="Style 35 2" xfId="4452"/>
    <cellStyle name="STYLE1" xfId="4660"/>
    <cellStyle name="STYLE2" xfId="4661"/>
    <cellStyle name="SubRoutine" xfId="4453"/>
    <cellStyle name="System Defined" xfId="4258"/>
    <cellStyle name="Table Sub Heading" xfId="179"/>
    <cellStyle name="Table Title" xfId="180"/>
    <cellStyle name="Table Units" xfId="181"/>
    <cellStyle name="TableHeading" xfId="4259"/>
    <cellStyle name="Tabs" xfId="4454"/>
    <cellStyle name="tb" xfId="4260"/>
    <cellStyle name="Text Wrap" xfId="4455"/>
    <cellStyle name="Text Wrap Across Cells" xfId="4456"/>
    <cellStyle name="þ(Î'_x000c_ïþ÷_x000c_âþÖ_x0006__x0002_Þ”_x0013__x0007__x0001__x0001_" xfId="4457"/>
    <cellStyle name="þ(Î'_x000c_ïþ÷_x000c_âþÖ_x0006__x0002_Þ”_x0013__x0007__x0001__x0001_ 2" xfId="4458"/>
    <cellStyle name="Theirs" xfId="182"/>
    <cellStyle name="Thousands" xfId="4459"/>
    <cellStyle name="Thousands 2" xfId="4460"/>
    <cellStyle name="Thousands1" xfId="4461"/>
    <cellStyle name="Thousands1 2" xfId="4462"/>
    <cellStyle name="Tickmark" xfId="4261"/>
    <cellStyle name="Times New Roman" xfId="183"/>
    <cellStyle name="Title 10" xfId="4096"/>
    <cellStyle name="Title 11" xfId="4097"/>
    <cellStyle name="Title 12" xfId="4098"/>
    <cellStyle name="Title 13" xfId="4099"/>
    <cellStyle name="Title 14" xfId="4100"/>
    <cellStyle name="Title 15" xfId="4101"/>
    <cellStyle name="Title 16" xfId="4102"/>
    <cellStyle name="Title 17" xfId="4103"/>
    <cellStyle name="Title 2" xfId="184"/>
    <cellStyle name="Title 2 2" xfId="4104"/>
    <cellStyle name="Title 2 3" xfId="4105"/>
    <cellStyle name="Title 2 4" xfId="4106"/>
    <cellStyle name="Title 2 5" xfId="4107"/>
    <cellStyle name="Title 3" xfId="4108"/>
    <cellStyle name="Title 4" xfId="4109"/>
    <cellStyle name="Title 5" xfId="4110"/>
    <cellStyle name="Title 6" xfId="4111"/>
    <cellStyle name="Title 7" xfId="4112"/>
    <cellStyle name="Title 8" xfId="4113"/>
    <cellStyle name="Title 9" xfId="4114"/>
    <cellStyle name="Title1" xfId="4662"/>
    <cellStyle name="top" xfId="4262"/>
    <cellStyle name="Total 10" xfId="4115"/>
    <cellStyle name="Total 11" xfId="4116"/>
    <cellStyle name="Total 12" xfId="4117"/>
    <cellStyle name="Total 13" xfId="4118"/>
    <cellStyle name="Total 14" xfId="4119"/>
    <cellStyle name="Total 15" xfId="4120"/>
    <cellStyle name="Total 16" xfId="4121"/>
    <cellStyle name="Total 17" xfId="4122"/>
    <cellStyle name="Total 18" xfId="4123"/>
    <cellStyle name="Total 2" xfId="185"/>
    <cellStyle name="Total 2 2" xfId="4124"/>
    <cellStyle name="Total 2 3" xfId="4125"/>
    <cellStyle name="Total 2 4" xfId="4126"/>
    <cellStyle name="Total 2 5" xfId="4127"/>
    <cellStyle name="Total 3" xfId="4128"/>
    <cellStyle name="Total 4" xfId="4129"/>
    <cellStyle name="Total 5" xfId="4130"/>
    <cellStyle name="Total 6" xfId="4131"/>
    <cellStyle name="Total 7" xfId="4132"/>
    <cellStyle name="Total 8" xfId="4133"/>
    <cellStyle name="Total 9" xfId="4134"/>
    <cellStyle name="Unprot" xfId="186"/>
    <cellStyle name="Unprot 2" xfId="4463"/>
    <cellStyle name="Unprot$" xfId="187"/>
    <cellStyle name="Unprot$ 2" xfId="4464"/>
    <cellStyle name="Unprotect" xfId="188"/>
    <cellStyle name="User_Defined_A" xfId="4465"/>
    <cellStyle name="Valign-bottom" xfId="4466"/>
    <cellStyle name="Valign-centre" xfId="4467"/>
    <cellStyle name="Valign-top" xfId="4468"/>
    <cellStyle name="w" xfId="4263"/>
    <cellStyle name="Warning Text 10" xfId="4135"/>
    <cellStyle name="Warning Text 11" xfId="4136"/>
    <cellStyle name="Warning Text 12" xfId="4137"/>
    <cellStyle name="Warning Text 13" xfId="4138"/>
    <cellStyle name="Warning Text 14" xfId="4139"/>
    <cellStyle name="Warning Text 15" xfId="4140"/>
    <cellStyle name="Warning Text 16" xfId="4141"/>
    <cellStyle name="Warning Text 17" xfId="4142"/>
    <cellStyle name="Warning Text 18" xfId="4143"/>
    <cellStyle name="Warning Text 2" xfId="189"/>
    <cellStyle name="Warning Text 2 2" xfId="4144"/>
    <cellStyle name="Warning Text 2 3" xfId="4145"/>
    <cellStyle name="Warning Text 2 4" xfId="4146"/>
    <cellStyle name="Warning Text 2 5" xfId="4147"/>
    <cellStyle name="Warning Text 3" xfId="4148"/>
    <cellStyle name="Warning Text 4" xfId="4149"/>
    <cellStyle name="Warning Text 5" xfId="4150"/>
    <cellStyle name="Warning Text 6" xfId="4151"/>
    <cellStyle name="Warning Text 7" xfId="4152"/>
    <cellStyle name="Warning Text 8" xfId="4153"/>
    <cellStyle name="Warning Text 9" xfId="4154"/>
    <cellStyle name="Wrap Text" xfId="4469"/>
    <cellStyle name="XComma" xfId="4264"/>
    <cellStyle name="XComma 0.0" xfId="4265"/>
    <cellStyle name="XComma 0.00" xfId="4266"/>
    <cellStyle name="XComma 0.000" xfId="4267"/>
    <cellStyle name="XCurrency" xfId="4268"/>
    <cellStyle name="XCurrency 0.0" xfId="4269"/>
    <cellStyle name="XCurrency 0.00" xfId="4270"/>
    <cellStyle name="XCurrency 0.000" xfId="4271"/>
    <cellStyle name="yra" xfId="4272"/>
    <cellStyle name="yrActual" xfId="4273"/>
    <cellStyle name="yre" xfId="4274"/>
    <cellStyle name="yrExpect" xfId="427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99"/>
      <color rgb="FF80008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ATES\BRAD\S_Glaser\Revenue%20Requirement%20Analysis%203-Tr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Black%20Hills\Sample%20TFRs\Westar_TFR_Project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Black%20Hills\Sample%20TFRs\Kanstar%20TF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Black%20Hills\Sample%20TFRs\KCPL%20TFR%20Project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nancing%20Plan\2009\Capital%20Financing%20Model%20Slower%20Pace03-03-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LANTACC\UPR\1999\UPR-698-Ol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ATES\Rate%20Case%202004\Schedules\2004%20Schedule%20F.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ATES\Rate%20Case%202003%20(mock)\RB_COS_RR\2003%20Forecast%20%20Includ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ua00955\Local%20Settings\Temporary%20Internet%20Files\OLK142\SGS3_Model\SGS_10_14_03_Revised-by-DW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Gdh7164\Formula%20Rate%20-like%20AEP\FY%202008%20Rate%20Case\Formula%20Versions\KCPL%20Formula%20Rate%207-28-08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uslpna01\corpdata\RATES\TEP%20OATT\OATT\TEP%202015\Support\Acct%20String%20by%20FERC%20-%20Revenue_FERC%2045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ATE%20STUDY_1\Worthington%20-%202013%20Electric\Wgton%20File\Brewster\Brewster%202013%2006_includes%202012%20wapa%20mres%20split%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ptop\AppData\Local\Microsoft\Windows\Temporary%20Internet%20Files\Content.Outlook\PDWZMCHK\PacifiCorp\Post%20settlement%20Formula%20runs\Copy%20of%202013%20Annual%20Update%2020130506%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ACCTSVCS\Board%20Report\2001\Tep\Financial%20Statements\Income%20Statement\052001%20TEP%20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Westar%20Energy\TFR-Westar\June%202018\TFR%20True%20Up%20DRAFT%20(2017%20Actuals)%2020180615%20201806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Black%20Hills\Sample%20TFRs\PSCo_TFR_Projec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Westar%20Energy\TFR-Westar\Oct%202017%20Annual%20Projection%20Posting\TransmissionFormulaRate(TFR)20171015_Projection%20(2018%20Rate%20Year)%20Updated%202017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Req Notes"/>
      <sheetName val="Leland-Tran"/>
      <sheetName val="Rate Base"/>
      <sheetName val="Inc Stmt"/>
      <sheetName val="O&amp;M Allocations"/>
      <sheetName val="T&amp;D Rev"/>
      <sheetName val="Rev Sum"/>
      <sheetName val="Adj"/>
      <sheetName val="Depr Exp"/>
      <sheetName val="PR Tax %"/>
      <sheetName val="Work Cap"/>
      <sheetName val="Cash WC 1994"/>
      <sheetName val="COC 01"/>
      <sheetName val="COC 00"/>
      <sheetName val="Plant Sum"/>
      <sheetName val="Acc Dep Sum"/>
      <sheetName val="Plant"/>
      <sheetName val="DT Build"/>
      <sheetName val="Accum Depr"/>
      <sheetName val="Orig"/>
      <sheetName val="101Sum"/>
      <sheetName val="101AZ"/>
      <sheetName val="101NM"/>
      <sheetName val="1081"/>
      <sheetName val="108"/>
      <sheetName val="106"/>
      <sheetName val="Depr-106"/>
      <sheetName val="105"/>
      <sheetName val="114"/>
      <sheetName val="121"/>
      <sheetName val="1011"/>
      <sheetName val="Margins"/>
      <sheetName val="Flo-thru vs Normalized"/>
      <sheetName val="2000 Treasury Yield"/>
      <sheetName val="Cost of Capi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ctual Net Rev Req"/>
      <sheetName val="Actual Gross Rev"/>
      <sheetName val="ARO Adj"/>
      <sheetName val="A-1 (Rev. Credit)"/>
      <sheetName val="A-2 (Divisor)"/>
      <sheetName val="A-3 (Retail Adder)"/>
      <sheetName val="A-4 (WEN O&amp;M Exclusions)"/>
      <sheetName val="A-5 (WEN ADIT)"/>
      <sheetName val="A-6 (WES O&amp;M Exclusions)"/>
      <sheetName val="A-7 (WES ADIT)"/>
      <sheetName val="A-8 (Depr Calc-Opt.)"/>
      <sheetName val="A-9 (Act. BPF Projects)"/>
      <sheetName val="A-10 (Wages &amp; Salaries)"/>
      <sheetName val="A-11 (Incentive Plant)"/>
      <sheetName val="A-12 (Act. Econ Projects)"/>
      <sheetName val="TU (True-up)"/>
      <sheetName val="BPF (BPF Summary)"/>
      <sheetName val="EPP (Econ Proj Sum)"/>
      <sheetName val="Projected Net Rev Req"/>
      <sheetName val="Projected Gross Rev Req"/>
      <sheetName val="P-1 (Trans Plant)"/>
      <sheetName val="P-2 (Exp. &amp; Rev. Credits)"/>
      <sheetName val="P-3 (Trans. Network Load)"/>
      <sheetName val="P-4 (BPF Projects)"/>
      <sheetName val="P-5 (Econ. Projects)"/>
    </sheetNames>
    <sheetDataSet>
      <sheetData sheetId="0"/>
      <sheetData sheetId="1"/>
      <sheetData sheetId="2">
        <row r="43">
          <cell r="J43">
            <v>1</v>
          </cell>
        </row>
        <row r="158">
          <cell r="L158">
            <v>1</v>
          </cell>
        </row>
        <row r="159">
          <cell r="L159">
            <v>0.91254584084493884</v>
          </cell>
        </row>
        <row r="169">
          <cell r="J169">
            <v>0.18563253356925025</v>
          </cell>
        </row>
        <row r="185">
          <cell r="J185">
            <v>0.20420112903346602</v>
          </cell>
        </row>
        <row r="207">
          <cell r="L207">
            <v>4.3443187396295171E-2</v>
          </cell>
        </row>
        <row r="213">
          <cell r="N213">
            <v>4.3443187396295171E-2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For the 12 months ended - December 31, 2018</v>
          </cell>
        </row>
      </sheetData>
      <sheetData sheetId="20">
        <row r="228">
          <cell r="L228">
            <v>7.5379421882894052E-2</v>
          </cell>
        </row>
      </sheetData>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H"/>
      <sheetName val="1-RevReqWorksht"/>
      <sheetName val="2-IncentiveROE"/>
      <sheetName val="3-True-Up"/>
      <sheetName val="4-RateBase"/>
      <sheetName val="5-AttachHWorksheet"/>
      <sheetName val="6-TrueUp Interest"/>
      <sheetName val="7-PBOPs"/>
      <sheetName val="8-IRR"/>
      <sheetName val="9-Const Loan True-up"/>
      <sheetName val="10-Deprec Rates"/>
    </sheetNames>
    <sheetDataSet>
      <sheetData sheetId="0">
        <row r="189">
          <cell r="J189">
            <v>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sheetData sheetId="1"/>
      <sheetData sheetId="2"/>
      <sheetData sheetId="3"/>
      <sheetData sheetId="4">
        <row r="25">
          <cell r="M25">
            <v>201472881</v>
          </cell>
        </row>
        <row r="26">
          <cell r="M26">
            <v>34208694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Electric Fund Historical"/>
      <sheetName val="Electric Fund"/>
      <sheetName val="Water Fund Historical"/>
      <sheetName val="Water Fund"/>
      <sheetName val="Combined Utility"/>
      <sheetName val="Investments-Electric"/>
      <sheetName val="Investments-Water"/>
      <sheetName val="New Electric CIP Debt"/>
      <sheetName val="New Water CIP Debt"/>
      <sheetName val="Reserve Fund Estimate"/>
      <sheetName val="Existing Debt Service Schedule"/>
      <sheetName val="CIP Link"/>
      <sheetName val="CIPInput"/>
      <sheetName val="Year 1"/>
      <sheetName val="Year 2"/>
      <sheetName val="Year 3"/>
      <sheetName val="Year 4"/>
      <sheetName val="Year 5"/>
      <sheetName val="Year 6"/>
      <sheetName val="Year 7"/>
      <sheetName val="Year 8"/>
      <sheetName val="Year 9"/>
      <sheetName val="Year 10"/>
      <sheetName val="Year 11"/>
      <sheetName val="Year 12"/>
      <sheetName val="Year 13"/>
      <sheetName val="Year 14"/>
      <sheetName val="Year 15"/>
      <sheetName val="Electric Depreciation"/>
      <sheetName val="Water Depreciation"/>
      <sheetName val="Elec Exp"/>
      <sheetName val="Elec Rev"/>
      <sheetName val="Water Exp"/>
      <sheetName val="Water Rev"/>
    </sheetNames>
    <sheetDataSet>
      <sheetData sheetId="0" refreshError="1"/>
      <sheetData sheetId="1" refreshError="1"/>
      <sheetData sheetId="2" refreshError="1">
        <row r="1">
          <cell r="D1">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92"/>
      <sheetName val="GEN'L"/>
      <sheetName val="Navajo"/>
      <sheetName val="San Juan"/>
      <sheetName val="Spvl"/>
      <sheetName val="Irvington"/>
      <sheetName val="111"/>
      <sheetName val="111 Monthly"/>
      <sheetName val="Tran"/>
      <sheetName val="Dist"/>
      <sheetName val="REPORT"/>
      <sheetName val="DEP-1"/>
      <sheetName val="DEP108 - CR"/>
      <sheetName val="DEP303"/>
      <sheetName val="DEPDist"/>
      <sheetName val="Backup-105-97"/>
      <sheetName val="Surcharge Summary"/>
      <sheetName val="Summary"/>
      <sheetName val="Rate Design Details"/>
      <sheetName val="Accounting Data"/>
      <sheetName val="Worksheet"/>
      <sheetName val="Citizens Electric Tariffs"/>
      <sheetName val="PPFAC"/>
      <sheetName val="San_Juan"/>
      <sheetName val="111_Monthly"/>
      <sheetName val="DEP108_-_CR"/>
      <sheetName val="Surcharge_Summary"/>
      <sheetName val="Rate_Design_Details"/>
      <sheetName val="Accounting_Data"/>
      <sheetName val="Citizens_Electric_Tariff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A16" t="str">
            <v>310 LAND &amp; LAND RIGHTS</v>
          </cell>
        </row>
        <row r="17">
          <cell r="A17">
            <v>310</v>
          </cell>
          <cell r="B17" t="str">
            <v>NV</v>
          </cell>
          <cell r="F17">
            <v>-10542</v>
          </cell>
        </row>
        <row r="18">
          <cell r="A18">
            <v>310</v>
          </cell>
          <cell r="B18" t="str">
            <v>SC1</v>
          </cell>
          <cell r="F18">
            <v>-700036</v>
          </cell>
        </row>
        <row r="19">
          <cell r="A19">
            <v>310</v>
          </cell>
          <cell r="B19" t="str">
            <v>SP</v>
          </cell>
          <cell r="F19">
            <v>-467130</v>
          </cell>
        </row>
        <row r="20">
          <cell r="A20" t="str">
            <v>*TOTAL**</v>
          </cell>
          <cell r="F20">
            <v>-1177708</v>
          </cell>
        </row>
        <row r="22">
          <cell r="A22" t="str">
            <v xml:space="preserve"> </v>
          </cell>
        </row>
        <row r="23">
          <cell r="A23" t="str">
            <v>DEMOSS PETRIE UNIT 1</v>
          </cell>
        </row>
        <row r="24">
          <cell r="A24">
            <v>311</v>
          </cell>
          <cell r="B24" t="str">
            <v>DM1</v>
          </cell>
          <cell r="C24" t="str">
            <v>UTIL</v>
          </cell>
          <cell r="F24">
            <v>104312.65</v>
          </cell>
        </row>
        <row r="25">
          <cell r="A25">
            <v>312</v>
          </cell>
          <cell r="B25" t="str">
            <v>DM1</v>
          </cell>
          <cell r="C25" t="str">
            <v>UTIL</v>
          </cell>
          <cell r="F25">
            <v>-59177.19</v>
          </cell>
        </row>
        <row r="26">
          <cell r="A26">
            <v>314</v>
          </cell>
          <cell r="B26" t="str">
            <v>DM1</v>
          </cell>
          <cell r="C26" t="str">
            <v>UTIL</v>
          </cell>
          <cell r="F26">
            <v>82740.14</v>
          </cell>
        </row>
        <row r="27">
          <cell r="A27">
            <v>315</v>
          </cell>
          <cell r="B27" t="str">
            <v>DM1</v>
          </cell>
          <cell r="C27" t="str">
            <v>UTIL</v>
          </cell>
          <cell r="F27">
            <v>-49554.8</v>
          </cell>
        </row>
        <row r="28">
          <cell r="A28">
            <v>316</v>
          </cell>
          <cell r="B28" t="str">
            <v>DM1</v>
          </cell>
          <cell r="C28" t="str">
            <v>UTIL</v>
          </cell>
          <cell r="F28">
            <v>-3446.99</v>
          </cell>
        </row>
        <row r="29">
          <cell r="A29" t="str">
            <v>*TOTAL**</v>
          </cell>
          <cell r="F29">
            <v>74873.809999999983</v>
          </cell>
        </row>
        <row r="32">
          <cell r="A32" t="str">
            <v>DEMOSS PETRIE UNIT 2</v>
          </cell>
        </row>
        <row r="33">
          <cell r="A33">
            <v>311</v>
          </cell>
          <cell r="B33" t="str">
            <v>DM2</v>
          </cell>
          <cell r="C33" t="str">
            <v>UTIL</v>
          </cell>
          <cell r="F33">
            <v>133677.1</v>
          </cell>
        </row>
        <row r="34">
          <cell r="A34">
            <v>312</v>
          </cell>
          <cell r="B34" t="str">
            <v>DM2</v>
          </cell>
          <cell r="C34" t="str">
            <v>UTIL</v>
          </cell>
          <cell r="F34">
            <v>-59631.99</v>
          </cell>
        </row>
        <row r="35">
          <cell r="A35">
            <v>314</v>
          </cell>
          <cell r="B35" t="str">
            <v>DM2</v>
          </cell>
          <cell r="C35" t="str">
            <v>UTIL</v>
          </cell>
          <cell r="F35">
            <v>28803.34</v>
          </cell>
        </row>
        <row r="36">
          <cell r="A36">
            <v>315</v>
          </cell>
          <cell r="B36" t="str">
            <v>DM2</v>
          </cell>
          <cell r="C36" t="str">
            <v>UTIL</v>
          </cell>
          <cell r="F36">
            <v>-50722.8</v>
          </cell>
        </row>
        <row r="37">
          <cell r="A37">
            <v>316</v>
          </cell>
          <cell r="B37" t="str">
            <v>DM2</v>
          </cell>
          <cell r="C37" t="str">
            <v>UTIL</v>
          </cell>
          <cell r="F37">
            <v>-3535.45</v>
          </cell>
        </row>
        <row r="38">
          <cell r="A38" t="str">
            <v>**TOTAL**</v>
          </cell>
          <cell r="F38">
            <v>48590.200000000012</v>
          </cell>
        </row>
        <row r="41">
          <cell r="A41" t="str">
            <v>DEMOSS PETRIE UNIT 3</v>
          </cell>
        </row>
        <row r="42">
          <cell r="A42">
            <v>311</v>
          </cell>
          <cell r="B42" t="str">
            <v>DM3</v>
          </cell>
          <cell r="C42" t="str">
            <v>UTIL</v>
          </cell>
          <cell r="F42">
            <v>129824.42</v>
          </cell>
        </row>
        <row r="43">
          <cell r="A43">
            <v>312</v>
          </cell>
          <cell r="B43" t="str">
            <v>DM3</v>
          </cell>
          <cell r="C43" t="str">
            <v>UTIL</v>
          </cell>
          <cell r="F43">
            <v>-178340.1</v>
          </cell>
        </row>
        <row r="44">
          <cell r="A44">
            <v>314</v>
          </cell>
          <cell r="B44" t="str">
            <v>DM3</v>
          </cell>
          <cell r="C44" t="str">
            <v>UTIL</v>
          </cell>
          <cell r="F44">
            <v>65456.04</v>
          </cell>
        </row>
        <row r="45">
          <cell r="A45">
            <v>315</v>
          </cell>
          <cell r="B45" t="str">
            <v>DM3</v>
          </cell>
          <cell r="C45" t="str">
            <v>UTIL</v>
          </cell>
          <cell r="F45">
            <v>-52018.33</v>
          </cell>
        </row>
        <row r="46">
          <cell r="A46">
            <v>316</v>
          </cell>
          <cell r="B46" t="str">
            <v>DM3</v>
          </cell>
          <cell r="C46" t="str">
            <v>UTIL</v>
          </cell>
          <cell r="F46">
            <v>-6447.63</v>
          </cell>
        </row>
        <row r="47">
          <cell r="F47">
            <v>-41525.600000000006</v>
          </cell>
        </row>
        <row r="50">
          <cell r="A50" t="str">
            <v>DEMOSS PETRIE UNIT 4</v>
          </cell>
        </row>
        <row r="51">
          <cell r="A51">
            <v>311</v>
          </cell>
          <cell r="B51" t="str">
            <v>DM4</v>
          </cell>
          <cell r="C51" t="str">
            <v>UTIL</v>
          </cell>
          <cell r="F51">
            <v>56536.65</v>
          </cell>
        </row>
        <row r="52">
          <cell r="A52">
            <v>312</v>
          </cell>
          <cell r="B52" t="str">
            <v>DM4</v>
          </cell>
          <cell r="C52" t="str">
            <v>UTIL</v>
          </cell>
          <cell r="F52">
            <v>-493993.79</v>
          </cell>
        </row>
        <row r="53">
          <cell r="A53">
            <v>314</v>
          </cell>
          <cell r="B53" t="str">
            <v>DM4</v>
          </cell>
          <cell r="C53" t="str">
            <v>UTIL</v>
          </cell>
          <cell r="F53">
            <v>-1044401.09</v>
          </cell>
        </row>
        <row r="54">
          <cell r="A54">
            <v>315</v>
          </cell>
          <cell r="B54" t="str">
            <v>DM4</v>
          </cell>
          <cell r="C54" t="str">
            <v>UTIL</v>
          </cell>
          <cell r="F54">
            <v>-131354.92000000001</v>
          </cell>
        </row>
        <row r="55">
          <cell r="A55">
            <v>316</v>
          </cell>
          <cell r="B55" t="str">
            <v>DM4</v>
          </cell>
          <cell r="C55" t="str">
            <v>UTIL</v>
          </cell>
          <cell r="F55">
            <v>-6285.71</v>
          </cell>
        </row>
        <row r="56">
          <cell r="A56" t="str">
            <v>**TOTAL**</v>
          </cell>
          <cell r="F56">
            <v>-1619498.8599999999</v>
          </cell>
        </row>
        <row r="58">
          <cell r="A58" t="str">
            <v>TOTAL DEMOSS PETRIE</v>
          </cell>
          <cell r="F58">
            <v>-1537560.45</v>
          </cell>
        </row>
        <row r="60">
          <cell r="A60" t="str">
            <v>FOUR CORNERS UNIT 4</v>
          </cell>
        </row>
        <row r="61">
          <cell r="A61">
            <v>311</v>
          </cell>
          <cell r="B61" t="str">
            <v>FC4</v>
          </cell>
          <cell r="C61" t="str">
            <v>UTIL</v>
          </cell>
          <cell r="F61">
            <v>-582216</v>
          </cell>
        </row>
        <row r="62">
          <cell r="A62">
            <v>312</v>
          </cell>
          <cell r="B62" t="str">
            <v>FC4</v>
          </cell>
          <cell r="C62" t="str">
            <v>PART</v>
          </cell>
          <cell r="F62">
            <v>-18784119.120000001</v>
          </cell>
        </row>
        <row r="63">
          <cell r="A63">
            <v>312</v>
          </cell>
          <cell r="B63" t="str">
            <v>FC4</v>
          </cell>
          <cell r="C63" t="str">
            <v>UTIL</v>
          </cell>
          <cell r="D63" t="str">
            <v xml:space="preserve"> </v>
          </cell>
          <cell r="F63">
            <v>-7680985</v>
          </cell>
        </row>
        <row r="64">
          <cell r="A64">
            <v>314</v>
          </cell>
          <cell r="B64" t="str">
            <v>FC4</v>
          </cell>
          <cell r="C64" t="str">
            <v>UTIL</v>
          </cell>
          <cell r="F64">
            <v>-3293676</v>
          </cell>
        </row>
        <row r="65">
          <cell r="A65">
            <v>315</v>
          </cell>
          <cell r="B65" t="str">
            <v>FC4</v>
          </cell>
          <cell r="C65" t="str">
            <v>UTIL</v>
          </cell>
          <cell r="F65">
            <v>-436116</v>
          </cell>
        </row>
        <row r="66">
          <cell r="A66">
            <v>316</v>
          </cell>
          <cell r="B66" t="str">
            <v>FC4</v>
          </cell>
          <cell r="C66" t="str">
            <v>UTIL</v>
          </cell>
          <cell r="F66">
            <v>-509627.38</v>
          </cell>
        </row>
        <row r="67">
          <cell r="A67" t="str">
            <v>**TOTAL**</v>
          </cell>
          <cell r="F67">
            <v>-31286739.5</v>
          </cell>
        </row>
        <row r="70">
          <cell r="A70" t="str">
            <v>FOUR CORNERS UNIT 5</v>
          </cell>
        </row>
        <row r="71">
          <cell r="A71">
            <v>311</v>
          </cell>
          <cell r="B71" t="str">
            <v>FC5</v>
          </cell>
          <cell r="C71" t="str">
            <v>UTIL</v>
          </cell>
          <cell r="F71">
            <v>-545758</v>
          </cell>
        </row>
        <row r="72">
          <cell r="A72">
            <v>312</v>
          </cell>
          <cell r="B72" t="str">
            <v>FC5</v>
          </cell>
          <cell r="C72" t="str">
            <v>PART</v>
          </cell>
          <cell r="F72">
            <v>-17416374.109999999</v>
          </cell>
        </row>
        <row r="73">
          <cell r="A73">
            <v>312</v>
          </cell>
          <cell r="B73" t="str">
            <v>FC5</v>
          </cell>
          <cell r="C73" t="str">
            <v>UTIL</v>
          </cell>
          <cell r="D73" t="str">
            <v xml:space="preserve"> </v>
          </cell>
          <cell r="F73">
            <v>-5983338.1699999999</v>
          </cell>
        </row>
        <row r="74">
          <cell r="A74">
            <v>314</v>
          </cell>
          <cell r="B74" t="str">
            <v>FC5</v>
          </cell>
          <cell r="C74" t="str">
            <v>UTIL</v>
          </cell>
          <cell r="F74">
            <v>-2531524.58</v>
          </cell>
        </row>
        <row r="75">
          <cell r="A75">
            <v>315</v>
          </cell>
          <cell r="B75" t="str">
            <v>FC5</v>
          </cell>
          <cell r="C75" t="str">
            <v>UTIL</v>
          </cell>
          <cell r="F75">
            <v>-391391</v>
          </cell>
        </row>
        <row r="76">
          <cell r="A76">
            <v>316</v>
          </cell>
          <cell r="B76" t="str">
            <v>FC5</v>
          </cell>
          <cell r="C76" t="str">
            <v>UTIL</v>
          </cell>
          <cell r="F76">
            <v>-506357.72</v>
          </cell>
        </row>
        <row r="77">
          <cell r="A77" t="str">
            <v>**TOTAL**</v>
          </cell>
          <cell r="F77">
            <v>-27374743.579999998</v>
          </cell>
        </row>
        <row r="79">
          <cell r="A79" t="str">
            <v>TOTAL FOUR CORNERS</v>
          </cell>
          <cell r="F79">
            <v>-58661483.079999998</v>
          </cell>
        </row>
        <row r="81">
          <cell r="A81" t="str">
            <v>IRVINGTON UNIT 1</v>
          </cell>
        </row>
        <row r="82">
          <cell r="A82">
            <v>311</v>
          </cell>
          <cell r="B82" t="str">
            <v>IV1</v>
          </cell>
          <cell r="C82" t="str">
            <v>UTIL</v>
          </cell>
          <cell r="F82">
            <v>-1777921.93</v>
          </cell>
        </row>
        <row r="83">
          <cell r="A83">
            <v>312</v>
          </cell>
          <cell r="B83" t="str">
            <v>IV1</v>
          </cell>
          <cell r="C83" t="str">
            <v>UTIL</v>
          </cell>
          <cell r="D83" t="str">
            <v xml:space="preserve"> </v>
          </cell>
          <cell r="F83">
            <v>-6193357.5300000003</v>
          </cell>
        </row>
        <row r="84">
          <cell r="A84">
            <v>314</v>
          </cell>
          <cell r="B84" t="str">
            <v>IV1</v>
          </cell>
          <cell r="C84" t="str">
            <v>UTIL</v>
          </cell>
          <cell r="F84">
            <v>-4313878</v>
          </cell>
        </row>
        <row r="85">
          <cell r="A85">
            <v>315</v>
          </cell>
          <cell r="B85" t="str">
            <v>IV1</v>
          </cell>
          <cell r="C85" t="str">
            <v>UTIL</v>
          </cell>
          <cell r="F85">
            <v>-955693.19</v>
          </cell>
        </row>
        <row r="86">
          <cell r="A86">
            <v>316</v>
          </cell>
          <cell r="B86" t="str">
            <v>IV1</v>
          </cell>
          <cell r="C86" t="str">
            <v>UTIL</v>
          </cell>
          <cell r="F86">
            <v>-114018.39</v>
          </cell>
        </row>
        <row r="87">
          <cell r="A87" t="str">
            <v>**TOTAL**</v>
          </cell>
          <cell r="F87">
            <v>-13354869.040000001</v>
          </cell>
        </row>
        <row r="90">
          <cell r="A90" t="str">
            <v>IRVINGTON UNIT 2</v>
          </cell>
        </row>
        <row r="91">
          <cell r="A91">
            <v>311</v>
          </cell>
          <cell r="B91" t="str">
            <v>IV2</v>
          </cell>
          <cell r="C91" t="str">
            <v>UTIL</v>
          </cell>
          <cell r="F91">
            <v>-930145.98</v>
          </cell>
        </row>
        <row r="92">
          <cell r="A92">
            <v>312</v>
          </cell>
          <cell r="B92" t="str">
            <v>IV2</v>
          </cell>
          <cell r="C92" t="str">
            <v>UTIL</v>
          </cell>
          <cell r="D92" t="str">
            <v xml:space="preserve"> </v>
          </cell>
          <cell r="F92">
            <v>-5106513.6399999997</v>
          </cell>
        </row>
        <row r="93">
          <cell r="A93">
            <v>314</v>
          </cell>
          <cell r="B93" t="str">
            <v>IV2</v>
          </cell>
          <cell r="C93" t="str">
            <v>UTIL</v>
          </cell>
          <cell r="F93">
            <v>-4556726.62</v>
          </cell>
        </row>
        <row r="94">
          <cell r="A94">
            <v>315</v>
          </cell>
          <cell r="B94" t="str">
            <v>IV2</v>
          </cell>
          <cell r="C94" t="str">
            <v>UTIL</v>
          </cell>
          <cell r="F94">
            <v>-844648.19</v>
          </cell>
        </row>
        <row r="95">
          <cell r="A95">
            <v>316</v>
          </cell>
          <cell r="B95" t="str">
            <v>IV2</v>
          </cell>
          <cell r="C95" t="str">
            <v>UTIL</v>
          </cell>
          <cell r="F95">
            <v>-83746.41</v>
          </cell>
        </row>
        <row r="96">
          <cell r="A96" t="str">
            <v>**TOTAL**</v>
          </cell>
          <cell r="F96">
            <v>-11521780.839999998</v>
          </cell>
        </row>
        <row r="99">
          <cell r="A99" t="str">
            <v>IRVINGTON UNIT 3</v>
          </cell>
        </row>
        <row r="100">
          <cell r="A100">
            <v>311</v>
          </cell>
          <cell r="B100" t="str">
            <v>IV3</v>
          </cell>
          <cell r="C100" t="str">
            <v>UTIL</v>
          </cell>
          <cell r="F100">
            <v>-1143977.31</v>
          </cell>
        </row>
        <row r="101">
          <cell r="A101">
            <v>312</v>
          </cell>
          <cell r="B101" t="str">
            <v>IV3</v>
          </cell>
          <cell r="C101" t="str">
            <v>UTIL</v>
          </cell>
          <cell r="D101" t="str">
            <v xml:space="preserve"> </v>
          </cell>
          <cell r="F101">
            <v>-5303837.25</v>
          </cell>
        </row>
        <row r="102">
          <cell r="A102">
            <v>314</v>
          </cell>
          <cell r="B102" t="str">
            <v>IV3</v>
          </cell>
          <cell r="C102" t="str">
            <v>UTIL</v>
          </cell>
          <cell r="F102">
            <v>-4996250</v>
          </cell>
        </row>
        <row r="103">
          <cell r="A103">
            <v>315</v>
          </cell>
          <cell r="B103" t="str">
            <v>IV3</v>
          </cell>
          <cell r="C103" t="str">
            <v>UTIL</v>
          </cell>
          <cell r="F103">
            <v>-803141.18</v>
          </cell>
        </row>
        <row r="104">
          <cell r="A104">
            <v>316</v>
          </cell>
          <cell r="B104" t="str">
            <v>IV3</v>
          </cell>
          <cell r="C104" t="str">
            <v>UTIL</v>
          </cell>
          <cell r="F104">
            <v>-127737.79</v>
          </cell>
        </row>
        <row r="105">
          <cell r="A105" t="str">
            <v>**TOTAL**</v>
          </cell>
          <cell r="F105">
            <v>-12374943.529999999</v>
          </cell>
        </row>
        <row r="108">
          <cell r="A108" t="str">
            <v>IRV. UNIT #3  COAL CONV.</v>
          </cell>
        </row>
        <row r="109">
          <cell r="A109">
            <v>311</v>
          </cell>
          <cell r="F109">
            <v>32052.61</v>
          </cell>
        </row>
        <row r="110">
          <cell r="A110">
            <v>312</v>
          </cell>
          <cell r="F110">
            <v>367050.58</v>
          </cell>
        </row>
        <row r="111">
          <cell r="A111">
            <v>314</v>
          </cell>
        </row>
        <row r="112">
          <cell r="A112">
            <v>315</v>
          </cell>
        </row>
        <row r="113">
          <cell r="A113">
            <v>316</v>
          </cell>
        </row>
        <row r="114">
          <cell r="A114" t="str">
            <v>**TOTAL**</v>
          </cell>
          <cell r="F114">
            <v>399103.19</v>
          </cell>
        </row>
        <row r="117">
          <cell r="A117" t="str">
            <v>IRV. UNIT #4</v>
          </cell>
        </row>
        <row r="118">
          <cell r="A118">
            <v>311</v>
          </cell>
        </row>
        <row r="119">
          <cell r="A119">
            <v>312</v>
          </cell>
          <cell r="F119">
            <v>380841.16</v>
          </cell>
        </row>
        <row r="120">
          <cell r="A120">
            <v>314</v>
          </cell>
          <cell r="F120">
            <v>-193.27</v>
          </cell>
        </row>
        <row r="121">
          <cell r="A121">
            <v>315</v>
          </cell>
        </row>
        <row r="122">
          <cell r="A122">
            <v>316</v>
          </cell>
          <cell r="F122">
            <v>-124.32</v>
          </cell>
        </row>
        <row r="123">
          <cell r="A123" t="str">
            <v>**TOTAL**</v>
          </cell>
          <cell r="F123">
            <v>380523.56999999995</v>
          </cell>
        </row>
        <row r="126">
          <cell r="A126" t="str">
            <v>TOTAL IRVINGTON</v>
          </cell>
          <cell r="F126">
            <v>-36471966.649999999</v>
          </cell>
        </row>
        <row r="128">
          <cell r="A128" t="str">
            <v>NAVAJO UNIT 1</v>
          </cell>
        </row>
        <row r="129">
          <cell r="A129">
            <v>311</v>
          </cell>
          <cell r="B129" t="str">
            <v>NV1</v>
          </cell>
          <cell r="C129" t="str">
            <v>UTIL</v>
          </cell>
          <cell r="F129">
            <v>-1771887.11</v>
          </cell>
        </row>
        <row r="130">
          <cell r="A130">
            <v>312</v>
          </cell>
          <cell r="B130" t="str">
            <v>NV1</v>
          </cell>
          <cell r="C130" t="str">
            <v>RLRD</v>
          </cell>
          <cell r="F130">
            <v>-1231677</v>
          </cell>
        </row>
        <row r="131">
          <cell r="A131">
            <v>312</v>
          </cell>
          <cell r="B131" t="str">
            <v>NV1</v>
          </cell>
          <cell r="C131" t="str">
            <v>SO2</v>
          </cell>
          <cell r="F131">
            <v>-2</v>
          </cell>
        </row>
        <row r="132">
          <cell r="A132">
            <v>312</v>
          </cell>
          <cell r="B132" t="str">
            <v>NV1</v>
          </cell>
          <cell r="C132" t="str">
            <v>UTIL</v>
          </cell>
          <cell r="D132" t="str">
            <v xml:space="preserve"> </v>
          </cell>
          <cell r="F132">
            <v>-6894223.6500000004</v>
          </cell>
        </row>
        <row r="133">
          <cell r="A133">
            <v>314</v>
          </cell>
          <cell r="B133" t="str">
            <v>NV1</v>
          </cell>
          <cell r="C133" t="str">
            <v>SO2</v>
          </cell>
          <cell r="F133">
            <v>4</v>
          </cell>
        </row>
        <row r="134">
          <cell r="A134">
            <v>314</v>
          </cell>
          <cell r="B134" t="str">
            <v>NV1</v>
          </cell>
          <cell r="C134" t="str">
            <v>UTIL</v>
          </cell>
          <cell r="F134">
            <v>-2800311.91</v>
          </cell>
        </row>
        <row r="135">
          <cell r="A135">
            <v>315</v>
          </cell>
          <cell r="B135" t="str">
            <v>NV1</v>
          </cell>
          <cell r="C135" t="str">
            <v>SO2</v>
          </cell>
          <cell r="F135">
            <v>30</v>
          </cell>
        </row>
        <row r="136">
          <cell r="A136">
            <v>315</v>
          </cell>
          <cell r="B136" t="str">
            <v>NV1</v>
          </cell>
          <cell r="C136" t="str">
            <v>UTIL</v>
          </cell>
          <cell r="F136">
            <v>-1488184.61</v>
          </cell>
        </row>
        <row r="137">
          <cell r="A137">
            <v>316</v>
          </cell>
          <cell r="B137" t="str">
            <v>NV1</v>
          </cell>
          <cell r="C137" t="str">
            <v>SO2</v>
          </cell>
          <cell r="F137">
            <v>-2</v>
          </cell>
        </row>
        <row r="138">
          <cell r="A138">
            <v>316</v>
          </cell>
          <cell r="B138" t="str">
            <v>NV1</v>
          </cell>
          <cell r="C138" t="str">
            <v>UTIL</v>
          </cell>
          <cell r="F138">
            <v>-299912.78999999998</v>
          </cell>
        </row>
        <row r="139">
          <cell r="A139" t="str">
            <v>**TOTAL**</v>
          </cell>
          <cell r="F139">
            <v>-14486167.07</v>
          </cell>
        </row>
        <row r="141">
          <cell r="A141" t="str">
            <v>NAVAJO UNIT 2</v>
          </cell>
        </row>
        <row r="142">
          <cell r="A142">
            <v>311</v>
          </cell>
          <cell r="B142" t="str">
            <v>NV2</v>
          </cell>
          <cell r="C142" t="str">
            <v>SO2</v>
          </cell>
          <cell r="F142">
            <v>-332</v>
          </cell>
        </row>
        <row r="143">
          <cell r="A143">
            <v>311</v>
          </cell>
          <cell r="B143" t="str">
            <v>NV2</v>
          </cell>
          <cell r="C143" t="str">
            <v>UTIL</v>
          </cell>
          <cell r="F143">
            <v>-1158596.05</v>
          </cell>
        </row>
        <row r="144">
          <cell r="A144">
            <v>312</v>
          </cell>
          <cell r="B144" t="str">
            <v>NV2</v>
          </cell>
          <cell r="C144" t="str">
            <v>RLRD</v>
          </cell>
          <cell r="F144">
            <v>-1233309</v>
          </cell>
        </row>
        <row r="145">
          <cell r="A145">
            <v>312</v>
          </cell>
          <cell r="B145" t="str">
            <v>NV2</v>
          </cell>
          <cell r="C145" t="str">
            <v>UTIL</v>
          </cell>
          <cell r="F145">
            <v>-7531604.0199999996</v>
          </cell>
        </row>
        <row r="146">
          <cell r="A146">
            <v>314</v>
          </cell>
          <cell r="B146" t="str">
            <v>NV2</v>
          </cell>
          <cell r="C146" t="str">
            <v>UTIL</v>
          </cell>
          <cell r="F146">
            <v>-2241478.98</v>
          </cell>
        </row>
        <row r="147">
          <cell r="A147">
            <v>315</v>
          </cell>
          <cell r="B147" t="str">
            <v>NV2</v>
          </cell>
          <cell r="C147" t="str">
            <v>UTIL</v>
          </cell>
          <cell r="F147">
            <v>-1343312.61</v>
          </cell>
        </row>
        <row r="148">
          <cell r="A148">
            <v>316</v>
          </cell>
          <cell r="B148" t="str">
            <v>NV2</v>
          </cell>
          <cell r="C148" t="str">
            <v>UTIL</v>
          </cell>
          <cell r="F148">
            <v>-307031.78999999998</v>
          </cell>
        </row>
        <row r="149">
          <cell r="A149" t="str">
            <v>**TOTAL**</v>
          </cell>
          <cell r="F149">
            <v>-13815664.449999999</v>
          </cell>
        </row>
        <row r="151">
          <cell r="A151" t="str">
            <v>NAVAJO UNIT 3</v>
          </cell>
        </row>
        <row r="152">
          <cell r="A152">
            <v>311</v>
          </cell>
          <cell r="B152" t="str">
            <v>NV3</v>
          </cell>
          <cell r="C152" t="str">
            <v>SO2</v>
          </cell>
          <cell r="F152">
            <v>-26032</v>
          </cell>
        </row>
        <row r="153">
          <cell r="A153">
            <v>311</v>
          </cell>
          <cell r="B153" t="str">
            <v>NV3</v>
          </cell>
          <cell r="C153" t="str">
            <v>UTIL</v>
          </cell>
          <cell r="F153">
            <v>-1598038.04</v>
          </cell>
        </row>
        <row r="154">
          <cell r="A154">
            <v>312</v>
          </cell>
          <cell r="B154" t="str">
            <v>NV3</v>
          </cell>
          <cell r="C154" t="str">
            <v>RLRD</v>
          </cell>
          <cell r="F154">
            <v>-2179891</v>
          </cell>
        </row>
        <row r="155">
          <cell r="A155">
            <v>312</v>
          </cell>
          <cell r="B155" t="str">
            <v>NV3</v>
          </cell>
          <cell r="C155" t="str">
            <v>SO2</v>
          </cell>
          <cell r="F155">
            <v>-263491</v>
          </cell>
        </row>
        <row r="156">
          <cell r="A156">
            <v>312</v>
          </cell>
          <cell r="B156" t="str">
            <v>NV3</v>
          </cell>
          <cell r="C156" t="str">
            <v>UTIL</v>
          </cell>
          <cell r="D156" t="str">
            <v xml:space="preserve"> </v>
          </cell>
          <cell r="F156">
            <v>-7141258.2300000004</v>
          </cell>
        </row>
        <row r="157">
          <cell r="A157">
            <v>314</v>
          </cell>
          <cell r="B157" t="str">
            <v>NV3</v>
          </cell>
          <cell r="C157" t="str">
            <v>UTIL</v>
          </cell>
          <cell r="F157">
            <v>-3356170.34</v>
          </cell>
        </row>
        <row r="158">
          <cell r="A158">
            <v>315</v>
          </cell>
          <cell r="B158" t="str">
            <v>NV3</v>
          </cell>
          <cell r="C158" t="str">
            <v>SO2</v>
          </cell>
          <cell r="F158">
            <v>-26351</v>
          </cell>
        </row>
        <row r="159">
          <cell r="A159">
            <v>315</v>
          </cell>
          <cell r="B159" t="str">
            <v>NV3</v>
          </cell>
          <cell r="C159" t="str">
            <v>UTIL</v>
          </cell>
          <cell r="F159">
            <v>-2039636.6</v>
          </cell>
        </row>
        <row r="160">
          <cell r="A160">
            <v>316</v>
          </cell>
          <cell r="B160" t="str">
            <v>NV3</v>
          </cell>
          <cell r="C160" t="str">
            <v>SO2</v>
          </cell>
          <cell r="F160">
            <v>-1586</v>
          </cell>
        </row>
        <row r="161">
          <cell r="A161">
            <v>316</v>
          </cell>
          <cell r="B161" t="str">
            <v>NV3</v>
          </cell>
          <cell r="C161" t="str">
            <v>UTIL</v>
          </cell>
          <cell r="F161">
            <v>-530384.75</v>
          </cell>
        </row>
        <row r="162">
          <cell r="A162" t="str">
            <v>**TOTAL**</v>
          </cell>
          <cell r="F162">
            <v>-17162838.960000001</v>
          </cell>
        </row>
        <row r="164">
          <cell r="A164" t="str">
            <v>NAVAJO COMMON</v>
          </cell>
        </row>
        <row r="165">
          <cell r="A165">
            <v>311</v>
          </cell>
          <cell r="B165" t="str">
            <v>NVC</v>
          </cell>
          <cell r="F165">
            <v>-14642</v>
          </cell>
        </row>
        <row r="166">
          <cell r="A166">
            <v>311</v>
          </cell>
          <cell r="B166" t="str">
            <v>NVC</v>
          </cell>
          <cell r="C166" t="str">
            <v>SO2</v>
          </cell>
          <cell r="F166">
            <v>-416314.95</v>
          </cell>
        </row>
        <row r="167">
          <cell r="A167">
            <v>311</v>
          </cell>
          <cell r="B167" t="str">
            <v>NVC</v>
          </cell>
          <cell r="C167" t="str">
            <v>UTIL</v>
          </cell>
          <cell r="F167">
            <v>-73210</v>
          </cell>
        </row>
        <row r="168">
          <cell r="A168">
            <v>312</v>
          </cell>
          <cell r="B168" t="str">
            <v>NVC</v>
          </cell>
          <cell r="C168" t="str">
            <v>SO2</v>
          </cell>
          <cell r="F168">
            <v>-150729</v>
          </cell>
        </row>
        <row r="169">
          <cell r="A169">
            <v>312</v>
          </cell>
          <cell r="B169" t="str">
            <v>NVC</v>
          </cell>
          <cell r="C169" t="str">
            <v>UTIL</v>
          </cell>
          <cell r="F169">
            <v>-2273.4299999999998</v>
          </cell>
        </row>
        <row r="170">
          <cell r="A170">
            <v>314</v>
          </cell>
          <cell r="B170" t="str">
            <v>NVC</v>
          </cell>
        </row>
        <row r="171">
          <cell r="A171">
            <v>315</v>
          </cell>
          <cell r="B171" t="str">
            <v>NVC</v>
          </cell>
          <cell r="F171">
            <v>-7729</v>
          </cell>
        </row>
        <row r="172">
          <cell r="A172">
            <v>316</v>
          </cell>
          <cell r="B172" t="str">
            <v>NVC</v>
          </cell>
          <cell r="F172">
            <v>-63245</v>
          </cell>
        </row>
        <row r="173">
          <cell r="A173" t="str">
            <v>**TOTAL**</v>
          </cell>
          <cell r="F173">
            <v>-728143.38</v>
          </cell>
        </row>
        <row r="175">
          <cell r="A175" t="str">
            <v>TOTAL NAVAJO</v>
          </cell>
          <cell r="F175">
            <v>-46192813.860000007</v>
          </cell>
        </row>
        <row r="177">
          <cell r="A177" t="str">
            <v>SAN JUAN UNIT 1</v>
          </cell>
        </row>
        <row r="178">
          <cell r="A178">
            <v>311</v>
          </cell>
          <cell r="B178" t="str">
            <v>SJ1</v>
          </cell>
          <cell r="C178" t="str">
            <v>UTIL</v>
          </cell>
          <cell r="F178">
            <v>-7828024.9400000004</v>
          </cell>
        </row>
        <row r="179">
          <cell r="A179">
            <v>312</v>
          </cell>
          <cell r="B179" t="str">
            <v>SJ1</v>
          </cell>
          <cell r="C179" t="str">
            <v>CHEM</v>
          </cell>
          <cell r="F179">
            <v>-228546.89</v>
          </cell>
        </row>
        <row r="180">
          <cell r="A180">
            <v>312</v>
          </cell>
          <cell r="B180" t="str">
            <v>SJ1</v>
          </cell>
          <cell r="C180" t="str">
            <v>SO2</v>
          </cell>
          <cell r="F180">
            <v>-43712430.32</v>
          </cell>
        </row>
        <row r="181">
          <cell r="A181">
            <v>312</v>
          </cell>
          <cell r="B181" t="str">
            <v>SJ1</v>
          </cell>
          <cell r="C181" t="str">
            <v>UTIL</v>
          </cell>
          <cell r="F181">
            <v>-30278748.800000001</v>
          </cell>
        </row>
        <row r="182">
          <cell r="A182">
            <v>312</v>
          </cell>
          <cell r="B182" t="str">
            <v>SJ1</v>
          </cell>
          <cell r="C182" t="str">
            <v>WAST</v>
          </cell>
          <cell r="F182">
            <v>-1393286</v>
          </cell>
        </row>
        <row r="183">
          <cell r="A183">
            <v>314</v>
          </cell>
          <cell r="B183" t="str">
            <v>SJ1</v>
          </cell>
          <cell r="C183" t="str">
            <v>UTIL</v>
          </cell>
          <cell r="F183">
            <v>-15160802.42</v>
          </cell>
        </row>
        <row r="184">
          <cell r="A184">
            <v>314</v>
          </cell>
          <cell r="B184" t="str">
            <v>SJ1</v>
          </cell>
          <cell r="C184" t="str">
            <v>WAST</v>
          </cell>
          <cell r="F184">
            <v>-6306771</v>
          </cell>
        </row>
        <row r="185">
          <cell r="A185">
            <v>315</v>
          </cell>
          <cell r="B185" t="str">
            <v>SJ1</v>
          </cell>
          <cell r="C185" t="str">
            <v>UTIL</v>
          </cell>
          <cell r="F185">
            <v>-4519709.92</v>
          </cell>
        </row>
        <row r="186">
          <cell r="A186">
            <v>316</v>
          </cell>
          <cell r="B186" t="str">
            <v>SJ1</v>
          </cell>
          <cell r="C186" t="str">
            <v>UTIL</v>
          </cell>
          <cell r="F186">
            <v>-1202436.54</v>
          </cell>
        </row>
        <row r="187">
          <cell r="A187" t="str">
            <v>**TOTAL**</v>
          </cell>
          <cell r="F187">
            <v>-110630756.83000001</v>
          </cell>
        </row>
        <row r="190">
          <cell r="A190" t="str">
            <v>SAN JUAN UNIT 2</v>
          </cell>
        </row>
        <row r="191">
          <cell r="A191">
            <v>311</v>
          </cell>
          <cell r="B191" t="str">
            <v>SJ2</v>
          </cell>
          <cell r="C191" t="str">
            <v>UTIL</v>
          </cell>
          <cell r="F191">
            <v>-5887711.8899999997</v>
          </cell>
        </row>
        <row r="192">
          <cell r="A192">
            <v>312</v>
          </cell>
          <cell r="B192" t="str">
            <v>SJ2</v>
          </cell>
          <cell r="C192" t="str">
            <v>CHEM</v>
          </cell>
          <cell r="F192">
            <v>-228554.89</v>
          </cell>
        </row>
        <row r="193">
          <cell r="A193">
            <v>312</v>
          </cell>
          <cell r="B193" t="str">
            <v>SJ2</v>
          </cell>
          <cell r="C193" t="str">
            <v>SO2</v>
          </cell>
          <cell r="F193">
            <v>-43232836.659999996</v>
          </cell>
        </row>
        <row r="194">
          <cell r="A194">
            <v>312</v>
          </cell>
          <cell r="B194" t="str">
            <v>SJ2</v>
          </cell>
          <cell r="C194" t="str">
            <v>UTIL</v>
          </cell>
          <cell r="F194">
            <v>-29760356.260000002</v>
          </cell>
        </row>
        <row r="195">
          <cell r="A195">
            <v>312</v>
          </cell>
          <cell r="B195" t="str">
            <v>SJ2</v>
          </cell>
          <cell r="C195" t="str">
            <v>WAST</v>
          </cell>
          <cell r="F195">
            <v>-1393330</v>
          </cell>
        </row>
        <row r="196">
          <cell r="A196">
            <v>314</v>
          </cell>
          <cell r="B196" t="str">
            <v>SJ2</v>
          </cell>
          <cell r="C196" t="str">
            <v>UTIL</v>
          </cell>
          <cell r="F196">
            <v>-9751767</v>
          </cell>
        </row>
        <row r="197">
          <cell r="A197">
            <v>314</v>
          </cell>
          <cell r="B197" t="str">
            <v>SJ2</v>
          </cell>
          <cell r="C197" t="str">
            <v>WAST</v>
          </cell>
          <cell r="F197">
            <v>-6306783</v>
          </cell>
        </row>
        <row r="198">
          <cell r="A198">
            <v>315</v>
          </cell>
          <cell r="B198" t="str">
            <v>SJ2</v>
          </cell>
          <cell r="C198" t="str">
            <v>UTIL</v>
          </cell>
          <cell r="F198">
            <v>-7156321.25</v>
          </cell>
        </row>
        <row r="199">
          <cell r="A199">
            <v>316</v>
          </cell>
          <cell r="B199" t="str">
            <v>SJ2</v>
          </cell>
          <cell r="C199" t="str">
            <v>UTIL</v>
          </cell>
          <cell r="F199">
            <v>-3207756.04</v>
          </cell>
        </row>
        <row r="200">
          <cell r="A200" t="str">
            <v>**TOTAL**</v>
          </cell>
          <cell r="F200">
            <v>-106925416.99000001</v>
          </cell>
        </row>
        <row r="203">
          <cell r="A203" t="str">
            <v>SAN JUAN COMMON</v>
          </cell>
        </row>
        <row r="204">
          <cell r="A204">
            <v>312</v>
          </cell>
          <cell r="B204" t="str">
            <v>SJC</v>
          </cell>
          <cell r="C204" t="str">
            <v>UTIL</v>
          </cell>
          <cell r="F204">
            <v>-280625.81</v>
          </cell>
        </row>
        <row r="205">
          <cell r="A205">
            <v>315</v>
          </cell>
          <cell r="B205" t="str">
            <v>SJC</v>
          </cell>
          <cell r="C205" t="str">
            <v>UTIL</v>
          </cell>
          <cell r="F205">
            <v>-19576.02</v>
          </cell>
        </row>
        <row r="206">
          <cell r="A206" t="str">
            <v>**TOTAL**</v>
          </cell>
          <cell r="F206">
            <v>-300201.83</v>
          </cell>
        </row>
        <row r="209">
          <cell r="A209" t="str">
            <v>TOTAL SAN JUAN</v>
          </cell>
          <cell r="F209">
            <v>-217856375.65000004</v>
          </cell>
        </row>
        <row r="211">
          <cell r="A211" t="str">
            <v>SPRINGERVILLE UNIT 1</v>
          </cell>
        </row>
        <row r="212">
          <cell r="A212">
            <v>311</v>
          </cell>
          <cell r="B212" t="str">
            <v>SP1</v>
          </cell>
          <cell r="C212" t="str">
            <v>ENV</v>
          </cell>
        </row>
        <row r="213">
          <cell r="A213">
            <v>311</v>
          </cell>
          <cell r="B213" t="str">
            <v>SP1</v>
          </cell>
          <cell r="C213" t="str">
            <v>SO2</v>
          </cell>
        </row>
        <row r="214">
          <cell r="A214">
            <v>311</v>
          </cell>
          <cell r="B214" t="str">
            <v>SP1</v>
          </cell>
          <cell r="C214" t="str">
            <v>UTIL</v>
          </cell>
        </row>
        <row r="215">
          <cell r="A215">
            <v>312</v>
          </cell>
          <cell r="B215" t="str">
            <v>SP1</v>
          </cell>
          <cell r="C215" t="str">
            <v>ENV</v>
          </cell>
        </row>
        <row r="216">
          <cell r="A216">
            <v>312</v>
          </cell>
          <cell r="B216" t="str">
            <v>SP1</v>
          </cell>
          <cell r="C216" t="str">
            <v>SO2</v>
          </cell>
          <cell r="F216">
            <v>-3814</v>
          </cell>
        </row>
        <row r="217">
          <cell r="A217">
            <v>312</v>
          </cell>
          <cell r="B217" t="str">
            <v>SP1</v>
          </cell>
          <cell r="C217" t="str">
            <v>UTIL</v>
          </cell>
        </row>
        <row r="218">
          <cell r="A218">
            <v>314</v>
          </cell>
          <cell r="B218" t="str">
            <v>SP1</v>
          </cell>
          <cell r="C218" t="str">
            <v>UTIL</v>
          </cell>
        </row>
        <row r="219">
          <cell r="A219">
            <v>314</v>
          </cell>
          <cell r="B219" t="str">
            <v>SP1</v>
          </cell>
          <cell r="C219" t="str">
            <v>UTIL - PTS</v>
          </cell>
          <cell r="F219">
            <v>-233899</v>
          </cell>
        </row>
        <row r="220">
          <cell r="A220">
            <v>315</v>
          </cell>
          <cell r="B220" t="str">
            <v>SP1</v>
          </cell>
          <cell r="C220" t="str">
            <v>ENV</v>
          </cell>
        </row>
        <row r="221">
          <cell r="A221">
            <v>315</v>
          </cell>
          <cell r="B221" t="str">
            <v>SP1</v>
          </cell>
          <cell r="C221" t="str">
            <v>SO2</v>
          </cell>
          <cell r="F221">
            <v>4716</v>
          </cell>
        </row>
        <row r="222">
          <cell r="A222">
            <v>315</v>
          </cell>
          <cell r="B222" t="str">
            <v>SP1</v>
          </cell>
          <cell r="C222" t="str">
            <v>UTIL</v>
          </cell>
        </row>
        <row r="223">
          <cell r="A223">
            <v>316</v>
          </cell>
          <cell r="B223" t="str">
            <v>SP1</v>
          </cell>
          <cell r="C223" t="str">
            <v>ENV</v>
          </cell>
        </row>
        <row r="224">
          <cell r="A224">
            <v>316</v>
          </cell>
          <cell r="B224" t="str">
            <v>SP1</v>
          </cell>
          <cell r="C224" t="str">
            <v>S02</v>
          </cell>
        </row>
        <row r="225">
          <cell r="A225">
            <v>316</v>
          </cell>
          <cell r="B225" t="str">
            <v>SP1</v>
          </cell>
          <cell r="C225" t="str">
            <v>UTIL</v>
          </cell>
        </row>
        <row r="226">
          <cell r="A226" t="str">
            <v>**TOTAL**</v>
          </cell>
          <cell r="F226">
            <v>-232997</v>
          </cell>
        </row>
        <row r="229">
          <cell r="A229" t="str">
            <v>SPRINGERVILLE UNIT 2</v>
          </cell>
        </row>
        <row r="230">
          <cell r="A230">
            <v>311</v>
          </cell>
          <cell r="B230" t="str">
            <v>SP2</v>
          </cell>
          <cell r="C230" t="str">
            <v>ENV</v>
          </cell>
          <cell r="F230">
            <v>-66797</v>
          </cell>
        </row>
        <row r="231">
          <cell r="A231">
            <v>311</v>
          </cell>
          <cell r="B231" t="str">
            <v>SP2</v>
          </cell>
          <cell r="C231" t="str">
            <v>SO2</v>
          </cell>
          <cell r="F231">
            <v>-127516</v>
          </cell>
        </row>
        <row r="232">
          <cell r="A232">
            <v>311</v>
          </cell>
          <cell r="B232" t="str">
            <v>SP2</v>
          </cell>
          <cell r="C232" t="str">
            <v>UTIL</v>
          </cell>
          <cell r="F232">
            <v>-5780693</v>
          </cell>
        </row>
        <row r="233">
          <cell r="A233">
            <v>312</v>
          </cell>
          <cell r="B233" t="str">
            <v>SP2</v>
          </cell>
          <cell r="C233" t="str">
            <v>ENV</v>
          </cell>
          <cell r="F233">
            <v>-4362507</v>
          </cell>
        </row>
        <row r="234">
          <cell r="A234">
            <v>312</v>
          </cell>
          <cell r="B234" t="str">
            <v>SP2</v>
          </cell>
          <cell r="C234" t="str">
            <v>SO2</v>
          </cell>
          <cell r="F234">
            <v>-27500085</v>
          </cell>
        </row>
        <row r="235">
          <cell r="A235">
            <v>312</v>
          </cell>
          <cell r="B235" t="str">
            <v>SP2</v>
          </cell>
          <cell r="C235" t="str">
            <v>UTIL</v>
          </cell>
          <cell r="F235">
            <v>-39686386.810000002</v>
          </cell>
        </row>
        <row r="236">
          <cell r="A236">
            <v>314</v>
          </cell>
          <cell r="B236" t="str">
            <v>SP2</v>
          </cell>
          <cell r="C236" t="str">
            <v>PTS</v>
          </cell>
          <cell r="F236">
            <v>-3106</v>
          </cell>
        </row>
        <row r="237">
          <cell r="A237">
            <v>314</v>
          </cell>
          <cell r="B237" t="str">
            <v>SP2</v>
          </cell>
          <cell r="C237" t="str">
            <v>UTIL</v>
          </cell>
          <cell r="F237">
            <v>-23407598</v>
          </cell>
        </row>
        <row r="238">
          <cell r="A238">
            <v>315</v>
          </cell>
          <cell r="B238" t="str">
            <v>SP2</v>
          </cell>
          <cell r="C238" t="str">
            <v>ENV</v>
          </cell>
          <cell r="F238">
            <v>-812956</v>
          </cell>
        </row>
        <row r="239">
          <cell r="A239">
            <v>315</v>
          </cell>
          <cell r="B239" t="str">
            <v>SP2</v>
          </cell>
          <cell r="C239" t="str">
            <v>SO2</v>
          </cell>
          <cell r="F239">
            <v>-242230</v>
          </cell>
        </row>
        <row r="240">
          <cell r="A240">
            <v>315</v>
          </cell>
          <cell r="B240" t="str">
            <v>SP2</v>
          </cell>
          <cell r="C240" t="str">
            <v>UTIL</v>
          </cell>
          <cell r="F240">
            <v>-8706206</v>
          </cell>
        </row>
        <row r="241">
          <cell r="A241">
            <v>316</v>
          </cell>
          <cell r="B241" t="str">
            <v>SP2</v>
          </cell>
          <cell r="C241" t="str">
            <v>ENV</v>
          </cell>
          <cell r="F241">
            <v>-658</v>
          </cell>
        </row>
        <row r="242">
          <cell r="A242">
            <v>316</v>
          </cell>
          <cell r="B242" t="str">
            <v>SP2</v>
          </cell>
          <cell r="C242" t="str">
            <v>S02</v>
          </cell>
          <cell r="F242">
            <v>-39583</v>
          </cell>
        </row>
        <row r="243">
          <cell r="A243">
            <v>316</v>
          </cell>
          <cell r="B243" t="str">
            <v>SP2</v>
          </cell>
          <cell r="C243" t="str">
            <v>UTIL</v>
          </cell>
          <cell r="F243">
            <v>-1068509</v>
          </cell>
        </row>
        <row r="244">
          <cell r="A244" t="str">
            <v>**TOTAL**</v>
          </cell>
          <cell r="F244">
            <v>-111804830.81</v>
          </cell>
        </row>
        <row r="247">
          <cell r="A247" t="str">
            <v>SPRINGERVILLE COMMON  UNIT #1</v>
          </cell>
        </row>
        <row r="248">
          <cell r="A248">
            <v>311</v>
          </cell>
          <cell r="B248" t="str">
            <v>SC1</v>
          </cell>
          <cell r="C248" t="str">
            <v>ENV - SO2</v>
          </cell>
        </row>
        <row r="249">
          <cell r="A249">
            <v>311</v>
          </cell>
          <cell r="B249" t="str">
            <v>SC1</v>
          </cell>
          <cell r="C249" t="str">
            <v>ADM</v>
          </cell>
          <cell r="F249">
            <v>-950209</v>
          </cell>
        </row>
        <row r="250">
          <cell r="A250">
            <v>311</v>
          </cell>
          <cell r="B250" t="str">
            <v>SC1</v>
          </cell>
          <cell r="C250" t="str">
            <v>SHOP</v>
          </cell>
          <cell r="F250">
            <v>-999434</v>
          </cell>
        </row>
        <row r="251">
          <cell r="A251">
            <v>311</v>
          </cell>
          <cell r="B251" t="str">
            <v>SC1</v>
          </cell>
          <cell r="C251" t="str">
            <v>ENV</v>
          </cell>
          <cell r="D251" t="str">
            <v xml:space="preserve"> </v>
          </cell>
        </row>
        <row r="252">
          <cell r="A252">
            <v>311</v>
          </cell>
          <cell r="B252" t="str">
            <v>SC1</v>
          </cell>
          <cell r="C252" t="str">
            <v>UTIL</v>
          </cell>
        </row>
        <row r="253">
          <cell r="A253">
            <v>312</v>
          </cell>
          <cell r="B253" t="str">
            <v>SC1</v>
          </cell>
          <cell r="C253" t="str">
            <v>ENV - SO2</v>
          </cell>
          <cell r="D253" t="str">
            <v xml:space="preserve"> </v>
          </cell>
          <cell r="F253">
            <v>-902</v>
          </cell>
        </row>
        <row r="254">
          <cell r="A254">
            <v>312</v>
          </cell>
          <cell r="C254" t="str">
            <v>UTIL</v>
          </cell>
        </row>
        <row r="255">
          <cell r="A255">
            <v>314</v>
          </cell>
          <cell r="C255" t="str">
            <v>UTIL</v>
          </cell>
        </row>
        <row r="256">
          <cell r="A256">
            <v>315</v>
          </cell>
        </row>
        <row r="257">
          <cell r="A257">
            <v>316</v>
          </cell>
          <cell r="C257" t="str">
            <v>UTIL</v>
          </cell>
        </row>
        <row r="258">
          <cell r="A258" t="str">
            <v>**TOTAL**</v>
          </cell>
          <cell r="F258">
            <v>-1950545</v>
          </cell>
        </row>
        <row r="260">
          <cell r="A260" t="str">
            <v>SPRINGERVILLE COMMON  UNIT #2</v>
          </cell>
        </row>
        <row r="261">
          <cell r="A261">
            <v>312</v>
          </cell>
          <cell r="B261" t="str">
            <v>SC2</v>
          </cell>
          <cell r="C261" t="str">
            <v>ENV-SO2</v>
          </cell>
          <cell r="F261">
            <v>-44706</v>
          </cell>
        </row>
        <row r="262">
          <cell r="F262">
            <v>-44706</v>
          </cell>
        </row>
        <row r="264">
          <cell r="A264" t="str">
            <v>SPRINGERVILLE COMMON  UNIT #2</v>
          </cell>
        </row>
        <row r="265">
          <cell r="A265">
            <v>311</v>
          </cell>
          <cell r="B265" t="str">
            <v>SPC</v>
          </cell>
          <cell r="C265" t="str">
            <v>ADM</v>
          </cell>
          <cell r="F265">
            <v>-1863154</v>
          </cell>
        </row>
        <row r="266">
          <cell r="A266">
            <v>311</v>
          </cell>
          <cell r="B266" t="str">
            <v>SPC</v>
          </cell>
          <cell r="C266" t="str">
            <v>SHOP</v>
          </cell>
          <cell r="F266">
            <v>-816680</v>
          </cell>
        </row>
        <row r="267">
          <cell r="A267">
            <v>311</v>
          </cell>
          <cell r="B267" t="str">
            <v>SPC</v>
          </cell>
          <cell r="C267" t="str">
            <v>SO2</v>
          </cell>
          <cell r="D267" t="str">
            <v xml:space="preserve"> </v>
          </cell>
        </row>
        <row r="268">
          <cell r="A268">
            <v>311</v>
          </cell>
          <cell r="B268" t="str">
            <v>SPC</v>
          </cell>
          <cell r="C268" t="str">
            <v>UTIL</v>
          </cell>
        </row>
        <row r="269">
          <cell r="A269">
            <v>312</v>
          </cell>
          <cell r="C269" t="str">
            <v>SO2</v>
          </cell>
          <cell r="D269" t="str">
            <v xml:space="preserve"> </v>
          </cell>
        </row>
        <row r="270">
          <cell r="A270">
            <v>312</v>
          </cell>
          <cell r="C270" t="str">
            <v>UTIL</v>
          </cell>
        </row>
        <row r="271">
          <cell r="A271">
            <v>314</v>
          </cell>
          <cell r="C271" t="str">
            <v>UTIL</v>
          </cell>
        </row>
        <row r="272">
          <cell r="A272">
            <v>315</v>
          </cell>
          <cell r="C272" t="str">
            <v>ENV</v>
          </cell>
          <cell r="D272" t="str">
            <v xml:space="preserve"> </v>
          </cell>
        </row>
        <row r="273">
          <cell r="A273">
            <v>315</v>
          </cell>
          <cell r="C273" t="str">
            <v>SO2</v>
          </cell>
          <cell r="D273" t="str">
            <v xml:space="preserve"> </v>
          </cell>
        </row>
        <row r="274">
          <cell r="A274">
            <v>315</v>
          </cell>
          <cell r="C274" t="str">
            <v>UTIL</v>
          </cell>
        </row>
        <row r="275">
          <cell r="A275">
            <v>316</v>
          </cell>
          <cell r="C275" t="str">
            <v>ENV</v>
          </cell>
          <cell r="D275" t="str">
            <v xml:space="preserve"> </v>
          </cell>
        </row>
        <row r="276">
          <cell r="A276">
            <v>316</v>
          </cell>
          <cell r="C276" t="str">
            <v>SO2</v>
          </cell>
          <cell r="D276" t="str">
            <v xml:space="preserve"> </v>
          </cell>
        </row>
        <row r="277">
          <cell r="A277">
            <v>316</v>
          </cell>
          <cell r="C277" t="str">
            <v>UTIL</v>
          </cell>
          <cell r="D277" t="str">
            <v xml:space="preserve"> </v>
          </cell>
        </row>
        <row r="278">
          <cell r="A278" t="str">
            <v>**TOTAL**</v>
          </cell>
          <cell r="F278">
            <v>-2679834</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sheetName val="F2"/>
      <sheetName val="F3"/>
      <sheetName val="F4"/>
      <sheetName val="Links"/>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Cover"/>
      <sheetName val="Adjust Categories"/>
      <sheetName val="Adjust Sum"/>
      <sheetName val="Rate Base"/>
      <sheetName val="RB Adj Detail"/>
      <sheetName val="COS"/>
      <sheetName val="COS Adj Detail"/>
      <sheetName val="Energy Allocation"/>
      <sheetName val="Demand Allocation"/>
      <sheetName val="Working Capital"/>
      <sheetName val="Plant Detail"/>
      <sheetName val="Forecast "/>
      <sheetName val="Forecast (con't)"/>
      <sheetName val="Forecast Energy Sales"/>
      <sheetName val="Forecast Growth Rate"/>
      <sheetName val="Weather Normalized"/>
      <sheetName val="Report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row r="1">
          <cell r="A1">
            <v>1</v>
          </cell>
        </row>
        <row r="291">
          <cell r="A291">
            <v>291</v>
          </cell>
          <cell r="K291">
            <v>1.05</v>
          </cell>
          <cell r="L291">
            <v>16.126190476190477</v>
          </cell>
          <cell r="M291">
            <v>24.588095238095239</v>
          </cell>
          <cell r="N291">
            <v>0.14000000000000001</v>
          </cell>
          <cell r="O291">
            <v>8.6</v>
          </cell>
          <cell r="P291">
            <v>29426.241600000001</v>
          </cell>
        </row>
        <row r="292">
          <cell r="A292">
            <v>292</v>
          </cell>
          <cell r="B292" t="str">
            <v>Annual CAPEX Yrs 1-10</v>
          </cell>
          <cell r="C292">
            <v>1520.946776224916</v>
          </cell>
          <cell r="H292">
            <v>0</v>
          </cell>
          <cell r="I292">
            <v>0.03</v>
          </cell>
          <cell r="J292">
            <v>0.03</v>
          </cell>
          <cell r="K292">
            <v>1.1499999999999999</v>
          </cell>
          <cell r="L292">
            <v>19.178571428571427</v>
          </cell>
          <cell r="M292">
            <v>27.992857142857144</v>
          </cell>
          <cell r="N292">
            <v>0.14000000000000001</v>
          </cell>
          <cell r="O292">
            <v>8.9</v>
          </cell>
          <cell r="P292">
            <v>30452.738400000002</v>
          </cell>
        </row>
        <row r="293">
          <cell r="A293">
            <v>293</v>
          </cell>
          <cell r="B293" t="str">
            <v>Annual CAPEX Yrs 11+</v>
          </cell>
          <cell r="C293">
            <v>3439.160707</v>
          </cell>
          <cell r="K293">
            <v>1.2</v>
          </cell>
          <cell r="L293">
            <v>20.795238095238094</v>
          </cell>
          <cell r="M293">
            <v>29.921428571428571</v>
          </cell>
          <cell r="N293">
            <v>0.14000000000000001</v>
          </cell>
          <cell r="O293">
            <v>9.1999999999999993</v>
          </cell>
          <cell r="P293">
            <v>31479.235199999996</v>
          </cell>
        </row>
        <row r="294">
          <cell r="A294">
            <v>294</v>
          </cell>
          <cell r="K294">
            <v>1.3</v>
          </cell>
          <cell r="L294">
            <v>24.207142857142856</v>
          </cell>
          <cell r="M294">
            <v>34.238095238095241</v>
          </cell>
          <cell r="N294">
            <v>0.14000000000000001</v>
          </cell>
          <cell r="O294">
            <v>10.1</v>
          </cell>
          <cell r="P294">
            <v>34558.725599999998</v>
          </cell>
        </row>
        <row r="295">
          <cell r="A295">
            <v>295</v>
          </cell>
          <cell r="K295">
            <v>1.3</v>
          </cell>
          <cell r="L295">
            <v>24.207142857142856</v>
          </cell>
          <cell r="M295">
            <v>35.642857142857146</v>
          </cell>
          <cell r="N295">
            <v>0.14000000000000001</v>
          </cell>
          <cell r="O295">
            <v>11.5</v>
          </cell>
          <cell r="P295">
            <v>39349.044000000002</v>
          </cell>
        </row>
        <row r="296">
          <cell r="A296">
            <v>296</v>
          </cell>
          <cell r="B296" t="str">
            <v>Fixed &amp; Variable O&amp;M Costs</v>
          </cell>
          <cell r="D296">
            <v>2001</v>
          </cell>
          <cell r="P296">
            <v>31821.400799999999</v>
          </cell>
        </row>
        <row r="297">
          <cell r="A297">
            <v>297</v>
          </cell>
          <cell r="F297" t="str">
            <v>Variable (mills/Mwh)</v>
          </cell>
          <cell r="K297" t="str">
            <v>*  Max Guaranteed Lime Use</v>
          </cell>
        </row>
        <row r="298">
          <cell r="A298">
            <v>298</v>
          </cell>
          <cell r="F298" t="str">
            <v>Pre</v>
          </cell>
        </row>
        <row r="299">
          <cell r="A299">
            <v>299</v>
          </cell>
          <cell r="C299" t="str">
            <v>Total</v>
          </cell>
          <cell r="D299" t="str">
            <v>Fixed</v>
          </cell>
          <cell r="F299" t="str">
            <v>Assigned</v>
          </cell>
          <cell r="H299" t="str">
            <v>Real</v>
          </cell>
          <cell r="J299" t="str">
            <v>Total</v>
          </cell>
        </row>
        <row r="300">
          <cell r="A300">
            <v>300</v>
          </cell>
          <cell r="C300" t="str">
            <v>------------$M/YR ------------</v>
          </cell>
          <cell r="F300">
            <v>3173.2728760202494</v>
          </cell>
          <cell r="H300" t="str">
            <v>Escalation</v>
          </cell>
          <cell r="I300" t="str">
            <v>CPI</v>
          </cell>
          <cell r="J300" t="str">
            <v>Escalation</v>
          </cell>
        </row>
        <row r="301">
          <cell r="A301">
            <v>301</v>
          </cell>
          <cell r="B301" t="str">
            <v>Labor - Direct Labor &amp; Overhead</v>
          </cell>
          <cell r="C301">
            <v>6950.0950638526756</v>
          </cell>
          <cell r="D301">
            <v>6950.0950638526756</v>
          </cell>
          <cell r="H301">
            <v>0</v>
          </cell>
          <cell r="I301">
            <v>0.03</v>
          </cell>
          <cell r="J301">
            <v>3.0000000000000027E-2</v>
          </cell>
        </row>
        <row r="302">
          <cell r="A302">
            <v>302</v>
          </cell>
          <cell r="B302" t="str">
            <v>Books &amp; Periodicals</v>
          </cell>
          <cell r="C302">
            <v>5.0278297212000007</v>
          </cell>
          <cell r="D302">
            <v>5.0278297212000007</v>
          </cell>
          <cell r="H302">
            <v>-9.6699999999999998E-3</v>
          </cell>
          <cell r="I302">
            <v>0.03</v>
          </cell>
          <cell r="J302">
            <v>2.0039899999999999E-2</v>
          </cell>
        </row>
        <row r="303">
          <cell r="A303">
            <v>303</v>
          </cell>
          <cell r="B303" t="str">
            <v>Business Travel</v>
          </cell>
          <cell r="C303">
            <v>28.657866751800004</v>
          </cell>
          <cell r="D303">
            <v>28.657866751800004</v>
          </cell>
          <cell r="H303">
            <v>-9.6699999999999998E-3</v>
          </cell>
          <cell r="I303">
            <v>0.03</v>
          </cell>
          <cell r="J303">
            <v>2.0039899999999999E-2</v>
          </cell>
        </row>
        <row r="304">
          <cell r="A304">
            <v>304</v>
          </cell>
          <cell r="B304" t="str">
            <v>Donations</v>
          </cell>
          <cell r="C304">
            <v>4.6007539919999996</v>
          </cell>
          <cell r="D304">
            <v>4.6007539919999996</v>
          </cell>
          <cell r="H304">
            <v>-9.6699999999999998E-3</v>
          </cell>
          <cell r="I304">
            <v>0.03</v>
          </cell>
          <cell r="J304">
            <v>2.0039899999999999E-2</v>
          </cell>
        </row>
        <row r="305">
          <cell r="A305">
            <v>305</v>
          </cell>
          <cell r="B305" t="str">
            <v>Business Meals</v>
          </cell>
          <cell r="C305">
            <v>7.4445264539910001</v>
          </cell>
          <cell r="D305">
            <v>7.4445264539910001</v>
          </cell>
          <cell r="H305">
            <v>-9.6699999999999998E-3</v>
          </cell>
          <cell r="I305">
            <v>0.03</v>
          </cell>
          <cell r="J305">
            <v>2.0039899999999999E-2</v>
          </cell>
        </row>
        <row r="306">
          <cell r="A306">
            <v>306</v>
          </cell>
          <cell r="B306" t="str">
            <v>Fuel Issues</v>
          </cell>
          <cell r="C306">
            <v>75.700989649199997</v>
          </cell>
          <cell r="D306">
            <v>75.700989649199997</v>
          </cell>
          <cell r="H306">
            <v>-9.6699999999999998E-3</v>
          </cell>
          <cell r="I306">
            <v>0.03</v>
          </cell>
          <cell r="J306">
            <v>2.0039899999999999E-2</v>
          </cell>
        </row>
        <row r="307">
          <cell r="A307">
            <v>307</v>
          </cell>
          <cell r="B307" t="str">
            <v>Freight Expense</v>
          </cell>
          <cell r="C307">
            <v>99.690344619918008</v>
          </cell>
          <cell r="D307">
            <v>99.690344619918008</v>
          </cell>
          <cell r="H307">
            <v>-9.6699999999999998E-3</v>
          </cell>
          <cell r="I307">
            <v>0.03</v>
          </cell>
          <cell r="J307">
            <v>2.0039899999999999E-2</v>
          </cell>
        </row>
        <row r="308">
          <cell r="A308">
            <v>308</v>
          </cell>
          <cell r="B308" t="str">
            <v>Janitorial Supplies</v>
          </cell>
          <cell r="C308">
            <v>7.5032916329999999</v>
          </cell>
          <cell r="D308">
            <v>7.5032916329999999</v>
          </cell>
          <cell r="H308">
            <v>-9.6699999999999998E-3</v>
          </cell>
          <cell r="I308">
            <v>0.03</v>
          </cell>
          <cell r="J308">
            <v>2.0039899999999999E-2</v>
          </cell>
        </row>
        <row r="309">
          <cell r="A309">
            <v>309</v>
          </cell>
          <cell r="B309" t="str">
            <v>Membership &amp; Dues</v>
          </cell>
          <cell r="C309">
            <v>9.5275180572</v>
          </cell>
          <cell r="D309">
            <v>9.5275180572</v>
          </cell>
          <cell r="H309">
            <v>-9.6699999999999998E-3</v>
          </cell>
          <cell r="I309">
            <v>0.03</v>
          </cell>
          <cell r="J309">
            <v>2.0039899999999999E-2</v>
          </cell>
        </row>
        <row r="310">
          <cell r="A310">
            <v>310</v>
          </cell>
          <cell r="B310" t="str">
            <v>Meal Expense</v>
          </cell>
          <cell r="C310">
            <v>0.35853641460000008</v>
          </cell>
          <cell r="D310">
            <v>0.35853641460000008</v>
          </cell>
          <cell r="H310">
            <v>-9.6699999999999998E-3</v>
          </cell>
          <cell r="I310">
            <v>0.03</v>
          </cell>
          <cell r="J310">
            <v>2.0039899999999999E-2</v>
          </cell>
        </row>
        <row r="311">
          <cell r="A311">
            <v>311</v>
          </cell>
          <cell r="B311" t="str">
            <v>Material Purchased</v>
          </cell>
          <cell r="C311">
            <v>617.7174181307131</v>
          </cell>
          <cell r="D311">
            <v>617.7174181307131</v>
          </cell>
          <cell r="H311">
            <v>-9.6699999999999998E-3</v>
          </cell>
          <cell r="I311">
            <v>0.03</v>
          </cell>
          <cell r="J311">
            <v>2.0039899999999999E-2</v>
          </cell>
        </row>
        <row r="312">
          <cell r="A312">
            <v>312</v>
          </cell>
          <cell r="B312" t="str">
            <v>Outside Services - DP</v>
          </cell>
          <cell r="C312">
            <v>8.9285107139999997</v>
          </cell>
          <cell r="D312">
            <v>8.9285107139999997</v>
          </cell>
          <cell r="H312">
            <v>-9.6699999999999998E-3</v>
          </cell>
          <cell r="I312">
            <v>0.03</v>
          </cell>
          <cell r="J312">
            <v>2.0039899999999999E-2</v>
          </cell>
        </row>
        <row r="313">
          <cell r="A313">
            <v>313</v>
          </cell>
          <cell r="B313" t="str">
            <v>Outside Services - Janitorial</v>
          </cell>
          <cell r="C313">
            <v>49.635956968799995</v>
          </cell>
          <cell r="D313">
            <v>49.635956968799995</v>
          </cell>
          <cell r="H313">
            <v>-9.6699999999999998E-3</v>
          </cell>
          <cell r="I313">
            <v>0.03</v>
          </cell>
          <cell r="J313">
            <v>2.0039899999999999E-2</v>
          </cell>
        </row>
        <row r="314">
          <cell r="A314">
            <v>314</v>
          </cell>
          <cell r="B314" t="str">
            <v>Outside Services - Security</v>
          </cell>
          <cell r="C314">
            <v>47.959950395700005</v>
          </cell>
          <cell r="D314">
            <v>47.959950395700005</v>
          </cell>
          <cell r="H314">
            <v>-9.6699999999999998E-3</v>
          </cell>
          <cell r="I314">
            <v>0.03</v>
          </cell>
          <cell r="J314">
            <v>2.0039899999999999E-2</v>
          </cell>
        </row>
        <row r="315">
          <cell r="A315">
            <v>315</v>
          </cell>
          <cell r="B315" t="str">
            <v>Outside Services - Maintenance</v>
          </cell>
          <cell r="C315">
            <v>1168.0737961756502</v>
          </cell>
          <cell r="D315">
            <v>1168.0737961756502</v>
          </cell>
          <cell r="H315">
            <v>-9.6699999999999998E-3</v>
          </cell>
          <cell r="I315">
            <v>0.03</v>
          </cell>
          <cell r="J315">
            <v>2.0039899999999999E-2</v>
          </cell>
        </row>
        <row r="316">
          <cell r="A316">
            <v>316</v>
          </cell>
          <cell r="B316" t="str">
            <v>Outside Services - Professional</v>
          </cell>
          <cell r="C316">
            <v>105.46937876233201</v>
          </cell>
          <cell r="D316">
            <v>105.46937876233201</v>
          </cell>
          <cell r="H316">
            <v>-9.6699999999999998E-3</v>
          </cell>
          <cell r="I316">
            <v>0.03</v>
          </cell>
          <cell r="J316">
            <v>2.0039899999999999E-2</v>
          </cell>
        </row>
        <row r="317">
          <cell r="A317">
            <v>317</v>
          </cell>
          <cell r="B317" t="str">
            <v>Office Supplies</v>
          </cell>
          <cell r="C317">
            <v>2.6485001813999998</v>
          </cell>
          <cell r="D317">
            <v>2.6485001813999998</v>
          </cell>
          <cell r="H317">
            <v>-9.6699999999999998E-3</v>
          </cell>
          <cell r="I317">
            <v>0.03</v>
          </cell>
          <cell r="J317">
            <v>2.0039899999999999E-2</v>
          </cell>
        </row>
        <row r="318">
          <cell r="A318">
            <v>318</v>
          </cell>
          <cell r="B318" t="str">
            <v>Permit Expense</v>
          </cell>
          <cell r="C318">
            <v>0.44457888750000002</v>
          </cell>
          <cell r="D318">
            <v>0.44457888750000002</v>
          </cell>
          <cell r="H318">
            <v>-9.6699999999999998E-3</v>
          </cell>
          <cell r="I318">
            <v>0.03</v>
          </cell>
          <cell r="J318">
            <v>2.0039899999999999E-2</v>
          </cell>
        </row>
        <row r="319">
          <cell r="A319">
            <v>319</v>
          </cell>
          <cell r="B319" t="str">
            <v>Printing Fees</v>
          </cell>
          <cell r="C319">
            <v>2.0795625375000001E-2</v>
          </cell>
          <cell r="D319">
            <v>2.0795625375000001E-2</v>
          </cell>
          <cell r="H319">
            <v>-9.6699999999999998E-3</v>
          </cell>
          <cell r="I319">
            <v>0.03</v>
          </cell>
          <cell r="J319">
            <v>2.0039899999999999E-2</v>
          </cell>
        </row>
        <row r="320">
          <cell r="A320">
            <v>320</v>
          </cell>
          <cell r="B320" t="str">
            <v>Personnel Expenses</v>
          </cell>
          <cell r="C320">
            <v>8.9112375533999995</v>
          </cell>
          <cell r="D320">
            <v>8.9112375533999995</v>
          </cell>
          <cell r="H320">
            <v>-9.6699999999999998E-3</v>
          </cell>
          <cell r="I320">
            <v>0.03</v>
          </cell>
          <cell r="J320">
            <v>2.0039899999999999E-2</v>
          </cell>
        </row>
        <row r="321">
          <cell r="A321">
            <v>321</v>
          </cell>
          <cell r="B321" t="str">
            <v>Postage Expenses</v>
          </cell>
          <cell r="C321">
            <v>2.0918990808000002</v>
          </cell>
          <cell r="D321">
            <v>2.0918990808000002</v>
          </cell>
          <cell r="H321">
            <v>-9.6699999999999998E-3</v>
          </cell>
          <cell r="I321">
            <v>0.03</v>
          </cell>
          <cell r="J321">
            <v>2.0039899999999999E-2</v>
          </cell>
        </row>
        <row r="322">
          <cell r="A322">
            <v>322</v>
          </cell>
          <cell r="B322" t="str">
            <v>Personal Protection Equipment</v>
          </cell>
          <cell r="C322">
            <v>3.1564551018000007</v>
          </cell>
          <cell r="D322">
            <v>3.1564551018000007</v>
          </cell>
          <cell r="H322">
            <v>-9.6699999999999998E-3</v>
          </cell>
          <cell r="I322">
            <v>0.03</v>
          </cell>
          <cell r="J322">
            <v>2.0039899999999999E-2</v>
          </cell>
        </row>
        <row r="323">
          <cell r="A323">
            <v>323</v>
          </cell>
          <cell r="B323" t="str">
            <v>Rentals</v>
          </cell>
          <cell r="C323">
            <v>68.510659419888</v>
          </cell>
          <cell r="D323">
            <v>68.510659419888</v>
          </cell>
          <cell r="H323">
            <v>-9.6699999999999998E-3</v>
          </cell>
          <cell r="I323">
            <v>0.03</v>
          </cell>
          <cell r="J323">
            <v>2.0039899999999999E-2</v>
          </cell>
        </row>
        <row r="324">
          <cell r="A324">
            <v>324</v>
          </cell>
          <cell r="B324" t="str">
            <v>Repairs &amp; Shipouts</v>
          </cell>
          <cell r="C324">
            <v>129.16244829593398</v>
          </cell>
          <cell r="D324">
            <v>129.16244829593398</v>
          </cell>
          <cell r="H324">
            <v>-9.6699999999999998E-3</v>
          </cell>
          <cell r="I324">
            <v>0.03</v>
          </cell>
          <cell r="J324">
            <v>2.0039899999999999E-2</v>
          </cell>
        </row>
        <row r="325">
          <cell r="A325">
            <v>325</v>
          </cell>
          <cell r="B325" t="str">
            <v>Scholarship Expenses</v>
          </cell>
          <cell r="C325">
            <v>2.1010456560000002</v>
          </cell>
          <cell r="D325">
            <v>2.1010456560000002</v>
          </cell>
          <cell r="H325">
            <v>-9.6699999999999998E-3</v>
          </cell>
          <cell r="I325">
            <v>0.03</v>
          </cell>
          <cell r="J325">
            <v>2.0039899999999999E-2</v>
          </cell>
        </row>
        <row r="326">
          <cell r="A326">
            <v>326</v>
          </cell>
          <cell r="B326" t="str">
            <v>Stores Issues</v>
          </cell>
          <cell r="C326">
            <v>1131.1501287189301</v>
          </cell>
          <cell r="D326">
            <v>1131.1501287189301</v>
          </cell>
          <cell r="H326">
            <v>-9.6699999999999998E-3</v>
          </cell>
          <cell r="I326">
            <v>0.03</v>
          </cell>
          <cell r="J326">
            <v>2.0039899999999999E-2</v>
          </cell>
        </row>
        <row r="327">
          <cell r="A327">
            <v>327</v>
          </cell>
          <cell r="B327" t="str">
            <v>Sales Tax</v>
          </cell>
          <cell r="C327">
            <v>197.21928278745</v>
          </cell>
          <cell r="D327">
            <v>197.21928278745</v>
          </cell>
          <cell r="H327">
            <v>-9.6699999999999998E-3</v>
          </cell>
          <cell r="I327">
            <v>0.03</v>
          </cell>
          <cell r="J327">
            <v>2.0039899999999999E-2</v>
          </cell>
        </row>
        <row r="328">
          <cell r="A328">
            <v>328</v>
          </cell>
          <cell r="B328" t="str">
            <v>Tool Expense</v>
          </cell>
          <cell r="C328">
            <v>40.120512257531999</v>
          </cell>
          <cell r="D328">
            <v>40.120512257531999</v>
          </cell>
          <cell r="H328">
            <v>-9.6699999999999998E-3</v>
          </cell>
          <cell r="I328">
            <v>0.03</v>
          </cell>
          <cell r="J328">
            <v>2.0039899999999999E-2</v>
          </cell>
        </row>
        <row r="329">
          <cell r="A329">
            <v>329</v>
          </cell>
          <cell r="B329" t="str">
            <v>Telephone Expense</v>
          </cell>
          <cell r="C329">
            <v>19.536684631199996</v>
          </cell>
          <cell r="D329">
            <v>19.536684631199996</v>
          </cell>
          <cell r="H329">
            <v>-9.6699999999999998E-3</v>
          </cell>
          <cell r="I329">
            <v>0.03</v>
          </cell>
          <cell r="J329">
            <v>2.0039899999999999E-2</v>
          </cell>
        </row>
        <row r="330">
          <cell r="A330">
            <v>330</v>
          </cell>
          <cell r="B330" t="str">
            <v>Training Expense</v>
          </cell>
          <cell r="C330">
            <v>41.415335842500006</v>
          </cell>
          <cell r="D330">
            <v>41.415335842500006</v>
          </cell>
          <cell r="H330">
            <v>-9.6699999999999998E-3</v>
          </cell>
          <cell r="I330">
            <v>0.03</v>
          </cell>
          <cell r="J330">
            <v>2.0039899999999999E-2</v>
          </cell>
        </row>
        <row r="331">
          <cell r="A331">
            <v>331</v>
          </cell>
          <cell r="B331" t="str">
            <v>Utility Electric Expense</v>
          </cell>
          <cell r="C331">
            <v>0</v>
          </cell>
          <cell r="D331">
            <v>0</v>
          </cell>
          <cell r="H331">
            <v>-9.6699999999999998E-3</v>
          </cell>
          <cell r="I331">
            <v>0.03</v>
          </cell>
          <cell r="J331">
            <v>2.0039899999999999E-2</v>
          </cell>
        </row>
        <row r="332">
          <cell r="A332">
            <v>332</v>
          </cell>
          <cell r="B332" t="str">
            <v>Vehicle lease + Maintenance</v>
          </cell>
          <cell r="C332">
            <v>926.64910086979819</v>
          </cell>
          <cell r="D332">
            <v>926.64910086979819</v>
          </cell>
          <cell r="H332">
            <v>-9.6699999999999998E-3</v>
          </cell>
          <cell r="I332">
            <v>0.03</v>
          </cell>
          <cell r="J332">
            <v>2.0039899999999999E-2</v>
          </cell>
        </row>
        <row r="333">
          <cell r="A333">
            <v>333</v>
          </cell>
          <cell r="B333" t="str">
            <v>Water Expense</v>
          </cell>
          <cell r="C333">
            <v>41.347786517999999</v>
          </cell>
          <cell r="D333">
            <v>41.347786517999999</v>
          </cell>
          <cell r="H333">
            <v>-9.6699999999999998E-3</v>
          </cell>
          <cell r="I333">
            <v>0.03</v>
          </cell>
          <cell r="J333">
            <v>2.0039899999999999E-2</v>
          </cell>
        </row>
        <row r="334">
          <cell r="A334">
            <v>334</v>
          </cell>
          <cell r="B334" t="str">
            <v>Contingency</v>
          </cell>
          <cell r="C334">
            <v>250</v>
          </cell>
          <cell r="D334">
            <v>250</v>
          </cell>
          <cell r="H334">
            <v>-9.6699999999999998E-3</v>
          </cell>
          <cell r="I334">
            <v>0.03</v>
          </cell>
          <cell r="J334">
            <v>2.0039899999999999E-2</v>
          </cell>
        </row>
        <row r="335">
          <cell r="A335">
            <v>335</v>
          </cell>
          <cell r="B335" t="str">
            <v>Management Fee</v>
          </cell>
          <cell r="C335">
            <v>0</v>
          </cell>
          <cell r="D335">
            <v>0</v>
          </cell>
          <cell r="H335">
            <v>-9.6699999999999998E-3</v>
          </cell>
          <cell r="I335">
            <v>0.03</v>
          </cell>
          <cell r="J335">
            <v>2.0039899999999999E-2</v>
          </cell>
        </row>
        <row r="336">
          <cell r="A336">
            <v>336</v>
          </cell>
          <cell r="B336" t="str">
            <v>Common Facility Payments</v>
          </cell>
          <cell r="C336">
            <v>0</v>
          </cell>
          <cell r="D336">
            <v>0</v>
          </cell>
          <cell r="F336" t="str">
            <v>See Schedule Line 193 Costs</v>
          </cell>
          <cell r="H336">
            <v>-9.6699999999999998E-3</v>
          </cell>
          <cell r="I336">
            <v>0</v>
          </cell>
          <cell r="J336">
            <v>-9.6699999999999564E-3</v>
          </cell>
        </row>
        <row r="337">
          <cell r="A337">
            <v>337</v>
          </cell>
          <cell r="B337" t="str">
            <v>Fuel Facility Lease Payments</v>
          </cell>
          <cell r="C337">
            <v>0</v>
          </cell>
          <cell r="D337">
            <v>0</v>
          </cell>
          <cell r="F337" t="str">
            <v>See Schedule Line 194 Costs</v>
          </cell>
          <cell r="H337">
            <v>-9.6699999999999998E-3</v>
          </cell>
          <cell r="I337">
            <v>0.03</v>
          </cell>
          <cell r="J337">
            <v>2.0039899999999999E-2</v>
          </cell>
        </row>
        <row r="338">
          <cell r="A338">
            <v>338</v>
          </cell>
          <cell r="B338" t="str">
            <v>Sox Allowance Cost</v>
          </cell>
          <cell r="C338">
            <v>0</v>
          </cell>
          <cell r="D338">
            <v>0</v>
          </cell>
          <cell r="F338" t="str">
            <v>See Schedule Line 141 Costs</v>
          </cell>
          <cell r="H338">
            <v>-9.6699999999999998E-3</v>
          </cell>
          <cell r="I338">
            <v>0.03</v>
          </cell>
          <cell r="J338">
            <v>2.0039899999999999E-2</v>
          </cell>
        </row>
        <row r="339">
          <cell r="A339">
            <v>339</v>
          </cell>
          <cell r="B339" t="str">
            <v>Chemicals &amp; Reagents</v>
          </cell>
          <cell r="C339">
            <v>1775.671014565773</v>
          </cell>
          <cell r="D339">
            <v>0</v>
          </cell>
          <cell r="E339">
            <v>1775.671014565773</v>
          </cell>
          <cell r="F339">
            <v>0.55957085442734611</v>
          </cell>
          <cell r="H339">
            <v>-9.6699999999999998E-3</v>
          </cell>
          <cell r="I339">
            <v>0.03</v>
          </cell>
          <cell r="J339">
            <v>2.0039899999999999E-2</v>
          </cell>
        </row>
        <row r="340">
          <cell r="A340">
            <v>340</v>
          </cell>
          <cell r="B340" t="str">
            <v>Other</v>
          </cell>
          <cell r="C340">
            <v>0</v>
          </cell>
          <cell r="D340">
            <v>0</v>
          </cell>
          <cell r="H340">
            <v>-9.6699999999999998E-3</v>
          </cell>
          <cell r="I340">
            <v>0.03</v>
          </cell>
          <cell r="J340">
            <v>2.0039899999999999E-2</v>
          </cell>
        </row>
        <row r="341">
          <cell r="A341">
            <v>341</v>
          </cell>
          <cell r="B341" t="str">
            <v>Outage Expenses (Non Capitalized)</v>
          </cell>
          <cell r="C341">
            <v>0</v>
          </cell>
          <cell r="D341">
            <v>0</v>
          </cell>
          <cell r="F341" t="str">
            <v>See Schedule Line 198 Costs</v>
          </cell>
          <cell r="H341">
            <v>-9.6699999999999998E-3</v>
          </cell>
          <cell r="I341">
            <v>0.03</v>
          </cell>
          <cell r="J341">
            <v>2.0039899999999999E-2</v>
          </cell>
        </row>
        <row r="342">
          <cell r="A342">
            <v>342</v>
          </cell>
          <cell r="B342" t="str">
            <v>SCR O&amp;M</v>
          </cell>
          <cell r="C342">
            <v>100</v>
          </cell>
          <cell r="D342">
            <v>100</v>
          </cell>
          <cell r="H342">
            <v>-9.6699999999999998E-3</v>
          </cell>
          <cell r="I342">
            <v>0.03</v>
          </cell>
          <cell r="J342">
            <v>2.0039899999999999E-2</v>
          </cell>
        </row>
        <row r="343">
          <cell r="A343">
            <v>343</v>
          </cell>
          <cell r="B343" t="str">
            <v>U1/U2 Lime Reembursements</v>
          </cell>
          <cell r="C343">
            <v>0</v>
          </cell>
          <cell r="D343">
            <v>0</v>
          </cell>
          <cell r="F343" t="str">
            <v>See Schedule Line xxx Costs</v>
          </cell>
          <cell r="H343">
            <v>-9.6699999999999998E-3</v>
          </cell>
          <cell r="I343">
            <v>0.03</v>
          </cell>
          <cell r="J343">
            <v>2.0039899999999999E-2</v>
          </cell>
        </row>
        <row r="344">
          <cell r="A344">
            <v>344</v>
          </cell>
          <cell r="B344" t="str">
            <v>Category 24</v>
          </cell>
          <cell r="C344">
            <v>0</v>
          </cell>
          <cell r="D344">
            <v>0</v>
          </cell>
          <cell r="H344">
            <v>-9.6699999999999998E-3</v>
          </cell>
          <cell r="I344">
            <v>0.03</v>
          </cell>
          <cell r="J344">
            <v>2.0039899999999999E-2</v>
          </cell>
        </row>
        <row r="345">
          <cell r="A345">
            <v>345</v>
          </cell>
          <cell r="B345" t="str">
            <v>Category 25</v>
          </cell>
          <cell r="C345">
            <v>0</v>
          </cell>
          <cell r="D345">
            <v>0</v>
          </cell>
          <cell r="H345">
            <v>-9.6699999999999998E-3</v>
          </cell>
          <cell r="I345">
            <v>0.03</v>
          </cell>
          <cell r="J345">
            <v>2.0039899999999999E-2</v>
          </cell>
        </row>
        <row r="346">
          <cell r="A346">
            <v>346</v>
          </cell>
          <cell r="B346" t="str">
            <v>Category 26</v>
          </cell>
          <cell r="C346">
            <v>0</v>
          </cell>
          <cell r="D346">
            <v>0</v>
          </cell>
          <cell r="H346">
            <v>-9.6699999999999998E-3</v>
          </cell>
          <cell r="I346">
            <v>0.03</v>
          </cell>
          <cell r="J346">
            <v>2.0039899999999999E-2</v>
          </cell>
        </row>
        <row r="347">
          <cell r="A347">
            <v>347</v>
          </cell>
          <cell r="B347" t="str">
            <v>Category 27</v>
          </cell>
          <cell r="C347">
            <v>0</v>
          </cell>
          <cell r="D347">
            <v>0</v>
          </cell>
          <cell r="H347">
            <v>-9.6699999999999998E-3</v>
          </cell>
          <cell r="I347">
            <v>0.03</v>
          </cell>
          <cell r="J347">
            <v>2.0039899999999999E-2</v>
          </cell>
        </row>
        <row r="348">
          <cell r="A348">
            <v>348</v>
          </cell>
          <cell r="B348" t="str">
            <v xml:space="preserve">   Total Fixed &amp; Variable O&amp;M</v>
          </cell>
          <cell r="C348">
            <v>13926.549198286057</v>
          </cell>
          <cell r="D348">
            <v>12150.878183720284</v>
          </cell>
          <cell r="E348">
            <v>1775.671014565773</v>
          </cell>
        </row>
        <row r="349">
          <cell r="A349">
            <v>349</v>
          </cell>
        </row>
        <row r="350">
          <cell r="A350">
            <v>350</v>
          </cell>
        </row>
        <row r="351">
          <cell r="A351">
            <v>351</v>
          </cell>
          <cell r="B351" t="str">
            <v>Other O&amp;M Costs</v>
          </cell>
        </row>
        <row r="352">
          <cell r="A352">
            <v>352</v>
          </cell>
          <cell r="C352" t="str">
            <v>Total</v>
          </cell>
          <cell r="D352" t="str">
            <v>Fixed</v>
          </cell>
          <cell r="H352" t="str">
            <v>Real</v>
          </cell>
          <cell r="J352" t="str">
            <v>Total</v>
          </cell>
        </row>
        <row r="353">
          <cell r="A353">
            <v>353</v>
          </cell>
          <cell r="C353" t="str">
            <v>------------$M/YR ------------</v>
          </cell>
          <cell r="H353" t="str">
            <v>Escalation</v>
          </cell>
          <cell r="I353" t="str">
            <v>CPI</v>
          </cell>
          <cell r="J353" t="str">
            <v>Escalation</v>
          </cell>
        </row>
        <row r="354">
          <cell r="A354">
            <v>354</v>
          </cell>
          <cell r="B354" t="str">
            <v xml:space="preserve">Property Taxes </v>
          </cell>
          <cell r="C354">
            <v>550.30072355067864</v>
          </cell>
          <cell r="D354">
            <v>550.30072355067864</v>
          </cell>
          <cell r="E354" t="str">
            <v>See Schedule - Line 205 "Costs" tab</v>
          </cell>
          <cell r="H354">
            <v>0</v>
          </cell>
          <cell r="I354">
            <v>0.03</v>
          </cell>
          <cell r="J354">
            <v>3.0000000000000027E-2</v>
          </cell>
        </row>
        <row r="355">
          <cell r="A355">
            <v>355</v>
          </cell>
          <cell r="B355" t="str">
            <v>Insurance</v>
          </cell>
          <cell r="C355">
            <v>875.58500000000004</v>
          </cell>
          <cell r="D355">
            <v>875.58500000000004</v>
          </cell>
          <cell r="H355">
            <v>0</v>
          </cell>
          <cell r="I355">
            <v>0.03</v>
          </cell>
          <cell r="J355">
            <v>3.0000000000000027E-2</v>
          </cell>
        </row>
        <row r="356">
          <cell r="A356">
            <v>356</v>
          </cell>
          <cell r="B356" t="str">
            <v>Operator Fee</v>
          </cell>
          <cell r="C356">
            <v>600</v>
          </cell>
          <cell r="D356">
            <v>600</v>
          </cell>
          <cell r="H356">
            <v>0</v>
          </cell>
          <cell r="I356">
            <v>0.03</v>
          </cell>
          <cell r="J356">
            <v>3.0000000000000027E-2</v>
          </cell>
        </row>
        <row r="357">
          <cell r="A357">
            <v>357</v>
          </cell>
        </row>
        <row r="358">
          <cell r="A358">
            <v>358</v>
          </cell>
          <cell r="B358" t="str">
            <v>Misc. Expenses</v>
          </cell>
        </row>
        <row r="359">
          <cell r="A359">
            <v>359</v>
          </cell>
        </row>
        <row r="360">
          <cell r="A360">
            <v>360</v>
          </cell>
          <cell r="B360" t="str">
            <v>Land Lease</v>
          </cell>
          <cell r="C360">
            <v>0</v>
          </cell>
          <cell r="D360">
            <v>0</v>
          </cell>
          <cell r="H360">
            <v>0</v>
          </cell>
          <cell r="I360">
            <v>0</v>
          </cell>
          <cell r="J360">
            <v>0</v>
          </cell>
        </row>
        <row r="361">
          <cell r="A361">
            <v>361</v>
          </cell>
          <cell r="B361" t="str">
            <v>G&amp;A Charge</v>
          </cell>
          <cell r="C361">
            <v>1369.7152144876993</v>
          </cell>
          <cell r="D361">
            <v>1369.7152144876993</v>
          </cell>
          <cell r="H361">
            <v>0</v>
          </cell>
          <cell r="I361">
            <v>0.03</v>
          </cell>
          <cell r="J361">
            <v>3.0000000000000027E-2</v>
          </cell>
        </row>
        <row r="362">
          <cell r="A362">
            <v>362</v>
          </cell>
          <cell r="B362" t="str">
            <v>Category 31</v>
          </cell>
          <cell r="C362">
            <v>0</v>
          </cell>
          <cell r="D362">
            <v>0</v>
          </cell>
          <cell r="H362">
            <v>0</v>
          </cell>
          <cell r="I362">
            <v>0.03</v>
          </cell>
          <cell r="J362">
            <v>3.0000000000000027E-2</v>
          </cell>
        </row>
        <row r="363">
          <cell r="A363">
            <v>363</v>
          </cell>
          <cell r="B363" t="str">
            <v>Category 32</v>
          </cell>
          <cell r="C363">
            <v>0</v>
          </cell>
          <cell r="D363">
            <v>0</v>
          </cell>
          <cell r="H363">
            <v>0</v>
          </cell>
          <cell r="I363">
            <v>0.03</v>
          </cell>
          <cell r="J363">
            <v>3.0000000000000027E-2</v>
          </cell>
        </row>
        <row r="364">
          <cell r="A364">
            <v>364</v>
          </cell>
          <cell r="B364" t="str">
            <v>Acttg/legal</v>
          </cell>
          <cell r="C364">
            <v>83</v>
          </cell>
          <cell r="D364">
            <v>83</v>
          </cell>
          <cell r="H364">
            <v>0</v>
          </cell>
          <cell r="I364">
            <v>0.03</v>
          </cell>
          <cell r="J364">
            <v>3.0000000000000027E-2</v>
          </cell>
        </row>
        <row r="365">
          <cell r="A365">
            <v>365</v>
          </cell>
          <cell r="B365" t="str">
            <v>Home Office Support Staff (7 People)</v>
          </cell>
          <cell r="C365">
            <v>600</v>
          </cell>
          <cell r="D365">
            <v>600</v>
          </cell>
          <cell r="H365">
            <v>0</v>
          </cell>
          <cell r="I365">
            <v>0.03</v>
          </cell>
          <cell r="J365">
            <v>3.0000000000000027E-2</v>
          </cell>
        </row>
        <row r="367">
          <cell r="A367">
            <v>367</v>
          </cell>
          <cell r="B367" t="str">
            <v xml:space="preserve">   Total Misc. Expenses</v>
          </cell>
          <cell r="C367">
            <v>2052.7152144876991</v>
          </cell>
          <cell r="D367">
            <v>2052.7152144876991</v>
          </cell>
        </row>
        <row r="368">
          <cell r="A368">
            <v>368</v>
          </cell>
        </row>
        <row r="369">
          <cell r="A369">
            <v>369</v>
          </cell>
        </row>
        <row r="370">
          <cell r="A370">
            <v>370</v>
          </cell>
          <cell r="B370" t="str">
            <v>Revenues</v>
          </cell>
        </row>
        <row r="371">
          <cell r="A371">
            <v>371</v>
          </cell>
        </row>
        <row r="372">
          <cell r="A372">
            <v>372</v>
          </cell>
        </row>
        <row r="373">
          <cell r="A373">
            <v>373</v>
          </cell>
          <cell r="B373" t="str">
            <v>MODEL USING SCHEDULED (BELOW) OR ACTUAL FOM,VOM,FUEL?</v>
          </cell>
          <cell r="G373" t="str">
            <v>Actual</v>
          </cell>
        </row>
        <row r="374">
          <cell r="A374">
            <v>374</v>
          </cell>
        </row>
        <row r="375">
          <cell r="A375">
            <v>375</v>
          </cell>
          <cell r="D375" t="str">
            <v xml:space="preserve">UEDC </v>
          </cell>
        </row>
        <row r="376">
          <cell r="A376">
            <v>376</v>
          </cell>
          <cell r="E376" t="str">
            <v>Real</v>
          </cell>
          <cell r="G376" t="str">
            <v>Total</v>
          </cell>
        </row>
        <row r="377">
          <cell r="A377">
            <v>377</v>
          </cell>
          <cell r="D377">
            <v>2006</v>
          </cell>
          <cell r="E377" t="str">
            <v>Esc.</v>
          </cell>
          <cell r="F377" t="str">
            <v>CPI</v>
          </cell>
          <cell r="G377" t="str">
            <v>Esc.</v>
          </cell>
        </row>
        <row r="378">
          <cell r="A378">
            <v>378</v>
          </cell>
          <cell r="B378" t="str">
            <v>Capacity Payment ($/KW-Yr)</v>
          </cell>
          <cell r="D378">
            <v>184</v>
          </cell>
          <cell r="E378">
            <v>0</v>
          </cell>
          <cell r="F378">
            <v>0.03</v>
          </cell>
          <cell r="G378">
            <v>0.01</v>
          </cell>
        </row>
        <row r="379">
          <cell r="A379">
            <v>379</v>
          </cell>
          <cell r="B379" t="str">
            <v>FOM Charge ($/KW-Yr)</v>
          </cell>
          <cell r="D379">
            <v>86.066221717796012</v>
          </cell>
          <cell r="E379">
            <v>0</v>
          </cell>
          <cell r="F379">
            <v>0.03</v>
          </cell>
          <cell r="G379">
            <v>3.0000000000000027E-2</v>
          </cell>
        </row>
        <row r="380">
          <cell r="A380">
            <v>380</v>
          </cell>
          <cell r="B380" t="str">
            <v>VOM Charge ($/MWh)</v>
          </cell>
          <cell r="D380">
            <v>0.93197453857951729</v>
          </cell>
          <cell r="E380">
            <v>0</v>
          </cell>
          <cell r="F380">
            <v>0.03</v>
          </cell>
          <cell r="G380">
            <v>3.0000000000000027E-2</v>
          </cell>
        </row>
        <row r="381">
          <cell r="A381">
            <v>381</v>
          </cell>
          <cell r="B381" t="str">
            <v>Fuel Charge ($/MWh)</v>
          </cell>
          <cell r="D381">
            <v>13.719134842385225</v>
          </cell>
          <cell r="E381">
            <v>0</v>
          </cell>
          <cell r="F381">
            <v>0.03</v>
          </cell>
          <cell r="G381">
            <v>3.0000000000000027E-2</v>
          </cell>
        </row>
        <row r="382">
          <cell r="A382">
            <v>382</v>
          </cell>
        </row>
        <row r="383">
          <cell r="A383">
            <v>383</v>
          </cell>
          <cell r="B383" t="str">
            <v>Components of Price($/MWh)</v>
          </cell>
          <cell r="H383">
            <v>0.13862993955297961</v>
          </cell>
        </row>
        <row r="384">
          <cell r="A384">
            <v>384</v>
          </cell>
          <cell r="B384" t="str">
            <v>Capacity Payment</v>
          </cell>
          <cell r="D384">
            <v>23.193936631225391</v>
          </cell>
        </row>
        <row r="385">
          <cell r="A385">
            <v>385</v>
          </cell>
          <cell r="B385" t="str">
            <v>FOM</v>
          </cell>
          <cell r="D385">
            <v>10.849025710453056</v>
          </cell>
        </row>
        <row r="386">
          <cell r="A386">
            <v>386</v>
          </cell>
          <cell r="B386" t="str">
            <v>VOM</v>
          </cell>
          <cell r="D386">
            <v>0.93197453857951729</v>
          </cell>
        </row>
        <row r="387">
          <cell r="A387">
            <v>387</v>
          </cell>
          <cell r="B387" t="str">
            <v>Fuel</v>
          </cell>
          <cell r="D387">
            <v>13.719134842385225</v>
          </cell>
        </row>
        <row r="388">
          <cell r="A388">
            <v>388</v>
          </cell>
          <cell r="B388" t="str">
            <v>All-In $/MWh - 2005</v>
          </cell>
          <cell r="D388">
            <v>48.694071722643187</v>
          </cell>
        </row>
        <row r="389">
          <cell r="A389">
            <v>389</v>
          </cell>
        </row>
        <row r="390">
          <cell r="A390">
            <v>390</v>
          </cell>
        </row>
        <row r="391">
          <cell r="A391">
            <v>391</v>
          </cell>
          <cell r="D391" t="str">
            <v>Tri State</v>
          </cell>
        </row>
        <row r="392">
          <cell r="A392">
            <v>392</v>
          </cell>
          <cell r="E392" t="str">
            <v>Real</v>
          </cell>
          <cell r="G392" t="str">
            <v>Total</v>
          </cell>
        </row>
        <row r="393">
          <cell r="A393">
            <v>393</v>
          </cell>
          <cell r="D393">
            <v>2006</v>
          </cell>
          <cell r="E393" t="str">
            <v>Esc.</v>
          </cell>
          <cell r="F393" t="str">
            <v>CPI</v>
          </cell>
          <cell r="G393" t="str">
            <v>Esc.</v>
          </cell>
        </row>
        <row r="394">
          <cell r="A394">
            <v>394</v>
          </cell>
          <cell r="B394" t="str">
            <v>Capacity Payment ($/KW-Yr)</v>
          </cell>
          <cell r="D394">
            <v>184</v>
          </cell>
          <cell r="E394">
            <v>0</v>
          </cell>
          <cell r="F394">
            <v>0.03</v>
          </cell>
          <cell r="G394">
            <v>0.01</v>
          </cell>
        </row>
        <row r="395">
          <cell r="A395">
            <v>395</v>
          </cell>
          <cell r="B395" t="str">
            <v>FOM Charge ($/KW-Yr)</v>
          </cell>
          <cell r="D395">
            <v>86.066221717796012</v>
          </cell>
          <cell r="E395">
            <v>0</v>
          </cell>
          <cell r="F395">
            <v>0.03</v>
          </cell>
          <cell r="G395">
            <v>3.0000000000000027E-2</v>
          </cell>
        </row>
        <row r="396">
          <cell r="A396">
            <v>396</v>
          </cell>
          <cell r="B396" t="str">
            <v>VOM Charge ($/MWh)</v>
          </cell>
          <cell r="D396">
            <v>0.93197453857951729</v>
          </cell>
          <cell r="E396">
            <v>0</v>
          </cell>
          <cell r="F396">
            <v>0.03</v>
          </cell>
          <cell r="G396">
            <v>3.0000000000000027E-2</v>
          </cell>
        </row>
        <row r="397">
          <cell r="A397">
            <v>397</v>
          </cell>
          <cell r="B397" t="str">
            <v>Fuel Charge ($/MWh)</v>
          </cell>
          <cell r="D397">
            <v>13.719134842385225</v>
          </cell>
          <cell r="E397">
            <v>0</v>
          </cell>
          <cell r="F397">
            <v>0.03</v>
          </cell>
          <cell r="G397">
            <v>3.0000000000000027E-2</v>
          </cell>
        </row>
        <row r="398">
          <cell r="A398">
            <v>398</v>
          </cell>
        </row>
        <row r="399">
          <cell r="A399">
            <v>399</v>
          </cell>
          <cell r="B399" t="str">
            <v>Components of Price($/MWh)</v>
          </cell>
          <cell r="D399">
            <v>2006</v>
          </cell>
        </row>
        <row r="400">
          <cell r="A400">
            <v>400</v>
          </cell>
          <cell r="B400" t="str">
            <v>Capacity Payment</v>
          </cell>
          <cell r="D400">
            <v>23.193936631225391</v>
          </cell>
        </row>
        <row r="401">
          <cell r="A401">
            <v>401</v>
          </cell>
          <cell r="B401" t="str">
            <v>FOM</v>
          </cell>
          <cell r="D401">
            <v>10.849025710453056</v>
          </cell>
        </row>
        <row r="402">
          <cell r="A402">
            <v>402</v>
          </cell>
          <cell r="B402" t="str">
            <v>VOM</v>
          </cell>
          <cell r="D402">
            <v>0.93197453857951729</v>
          </cell>
        </row>
        <row r="403">
          <cell r="A403">
            <v>403</v>
          </cell>
          <cell r="B403" t="str">
            <v>Fuel</v>
          </cell>
          <cell r="D403">
            <v>13.719134842385225</v>
          </cell>
        </row>
        <row r="404">
          <cell r="A404">
            <v>404</v>
          </cell>
          <cell r="B404" t="str">
            <v xml:space="preserve">All-In $/MWh </v>
          </cell>
          <cell r="D404">
            <v>48.694071722643187</v>
          </cell>
        </row>
        <row r="405">
          <cell r="A405">
            <v>405</v>
          </cell>
        </row>
        <row r="406">
          <cell r="A406">
            <v>406</v>
          </cell>
          <cell r="D406" t="str">
            <v>SRP</v>
          </cell>
        </row>
        <row r="407">
          <cell r="A407">
            <v>407</v>
          </cell>
          <cell r="E407" t="str">
            <v>Real</v>
          </cell>
          <cell r="G407" t="str">
            <v>Total</v>
          </cell>
        </row>
        <row r="408">
          <cell r="A408">
            <v>408</v>
          </cell>
          <cell r="D408">
            <v>2006</v>
          </cell>
          <cell r="E408" t="str">
            <v>Esc.</v>
          </cell>
          <cell r="F408" t="str">
            <v>CPI</v>
          </cell>
          <cell r="G408" t="str">
            <v>Esc.</v>
          </cell>
        </row>
        <row r="409">
          <cell r="A409">
            <v>409</v>
          </cell>
          <cell r="B409" t="str">
            <v>Capacity Payment ($/KW-Yr)</v>
          </cell>
          <cell r="D409">
            <v>184</v>
          </cell>
          <cell r="E409">
            <v>0</v>
          </cell>
          <cell r="F409">
            <v>0.03</v>
          </cell>
          <cell r="G409">
            <v>3.0000000000000027E-2</v>
          </cell>
        </row>
        <row r="410">
          <cell r="A410">
            <v>410</v>
          </cell>
          <cell r="B410" t="str">
            <v>FOM Charge ($/KW-Yr)</v>
          </cell>
          <cell r="D410">
            <v>86.066221717796012</v>
          </cell>
          <cell r="E410">
            <v>0</v>
          </cell>
          <cell r="F410">
            <v>0.03</v>
          </cell>
          <cell r="G410">
            <v>3.0000000000000027E-2</v>
          </cell>
        </row>
        <row r="411">
          <cell r="A411">
            <v>411</v>
          </cell>
          <cell r="B411" t="str">
            <v>VOM Charge ($/MWh)</v>
          </cell>
          <cell r="D411">
            <v>0.93197453857951729</v>
          </cell>
          <cell r="E411">
            <v>0</v>
          </cell>
          <cell r="F411">
            <v>0.03</v>
          </cell>
          <cell r="G411">
            <v>3.0000000000000027E-2</v>
          </cell>
        </row>
        <row r="412">
          <cell r="A412">
            <v>412</v>
          </cell>
          <cell r="B412" t="str">
            <v>Fuel Charge ($/MWh)</v>
          </cell>
          <cell r="D412">
            <v>13.719134842385225</v>
          </cell>
          <cell r="E412">
            <v>0</v>
          </cell>
          <cell r="F412">
            <v>0.03</v>
          </cell>
          <cell r="G412">
            <v>3.0000000000000027E-2</v>
          </cell>
        </row>
        <row r="413">
          <cell r="A413">
            <v>413</v>
          </cell>
        </row>
        <row r="414">
          <cell r="A414">
            <v>414</v>
          </cell>
          <cell r="B414" t="str">
            <v>Components of Price($/MWh)</v>
          </cell>
        </row>
        <row r="415">
          <cell r="A415">
            <v>415</v>
          </cell>
          <cell r="B415" t="str">
            <v>Capacity Payment</v>
          </cell>
          <cell r="D415">
            <v>23.193936631225391</v>
          </cell>
        </row>
        <row r="416">
          <cell r="A416">
            <v>416</v>
          </cell>
          <cell r="B416" t="str">
            <v>FOM</v>
          </cell>
          <cell r="D416">
            <v>10.849025710453056</v>
          </cell>
        </row>
        <row r="417">
          <cell r="A417">
            <v>417</v>
          </cell>
          <cell r="B417" t="str">
            <v>VOM</v>
          </cell>
          <cell r="D417">
            <v>0.93197453857951729</v>
          </cell>
        </row>
        <row r="418">
          <cell r="A418">
            <v>418</v>
          </cell>
          <cell r="B418" t="str">
            <v>Fuel</v>
          </cell>
          <cell r="D418">
            <v>13.719134842385225</v>
          </cell>
        </row>
        <row r="419">
          <cell r="A419">
            <v>419</v>
          </cell>
          <cell r="B419" t="str">
            <v>All-In $/MWh - 2006</v>
          </cell>
          <cell r="D419">
            <v>48.694071722643187</v>
          </cell>
        </row>
        <row r="420">
          <cell r="A420">
            <v>420</v>
          </cell>
        </row>
        <row r="421">
          <cell r="A421">
            <v>421</v>
          </cell>
          <cell r="D421" t="str">
            <v>Merchant Sales</v>
          </cell>
        </row>
        <row r="422">
          <cell r="A422">
            <v>422</v>
          </cell>
          <cell r="E422" t="str">
            <v>Real</v>
          </cell>
          <cell r="G422" t="str">
            <v>Total</v>
          </cell>
        </row>
        <row r="423">
          <cell r="A423">
            <v>423</v>
          </cell>
          <cell r="D423">
            <v>2006</v>
          </cell>
          <cell r="E423" t="str">
            <v>Esc.</v>
          </cell>
          <cell r="F423" t="str">
            <v>CPI</v>
          </cell>
          <cell r="G423" t="str">
            <v>Esc.</v>
          </cell>
          <cell r="I423">
            <v>2005</v>
          </cell>
          <cell r="J423">
            <v>2006</v>
          </cell>
          <cell r="K423">
            <v>2007</v>
          </cell>
          <cell r="L423">
            <v>2008</v>
          </cell>
          <cell r="M423">
            <v>2009</v>
          </cell>
          <cell r="N423">
            <v>2010</v>
          </cell>
          <cell r="O423" t="str">
            <v>2010+</v>
          </cell>
        </row>
        <row r="424">
          <cell r="A424">
            <v>424</v>
          </cell>
          <cell r="B424" t="str">
            <v>Capacity Payment ($/KW-Yr)</v>
          </cell>
          <cell r="D424">
            <v>0</v>
          </cell>
          <cell r="E424">
            <v>0</v>
          </cell>
          <cell r="F424">
            <v>0</v>
          </cell>
          <cell r="G424">
            <v>0</v>
          </cell>
          <cell r="I424">
            <v>46.84</v>
          </cell>
          <cell r="J424">
            <v>48.060556988215225</v>
          </cell>
          <cell r="K424">
            <v>50.514433182123895</v>
          </cell>
          <cell r="L424">
            <v>54.35646023034564</v>
          </cell>
          <cell r="M424">
            <v>59.849615699559884</v>
          </cell>
          <cell r="N424">
            <v>67.576438777430056</v>
          </cell>
        </row>
        <row r="425">
          <cell r="A425">
            <v>425</v>
          </cell>
          <cell r="B425" t="str">
            <v>FOM Charge ($/KW-Yr)</v>
          </cell>
          <cell r="D425">
            <v>0</v>
          </cell>
          <cell r="E425">
            <v>0</v>
          </cell>
          <cell r="F425">
            <v>0.03</v>
          </cell>
          <cell r="G425">
            <v>3.0000000000000027E-2</v>
          </cell>
          <cell r="J425">
            <v>2.6058005726200317E-2</v>
          </cell>
          <cell r="K425">
            <v>5.1058005726200228E-2</v>
          </cell>
          <cell r="L425">
            <v>7.6058005726200362E-2</v>
          </cell>
          <cell r="M425">
            <v>0.10105800572620027</v>
          </cell>
          <cell r="N425">
            <v>0.12910397147173325</v>
          </cell>
          <cell r="O425">
            <v>0.03</v>
          </cell>
        </row>
        <row r="426">
          <cell r="A426">
            <v>426</v>
          </cell>
          <cell r="B426" t="str">
            <v>VOM Charge ($/MWh)</v>
          </cell>
          <cell r="D426">
            <v>0</v>
          </cell>
          <cell r="E426">
            <v>0</v>
          </cell>
          <cell r="F426">
            <v>0.03</v>
          </cell>
          <cell r="G426">
            <v>3.0000000000000027E-2</v>
          </cell>
        </row>
        <row r="427">
          <cell r="A427">
            <v>427</v>
          </cell>
          <cell r="B427" t="str">
            <v>Fuel Charge ($/MWh)</v>
          </cell>
          <cell r="D427">
            <v>0</v>
          </cell>
          <cell r="E427">
            <v>0</v>
          </cell>
          <cell r="F427">
            <v>0.03</v>
          </cell>
          <cell r="G427">
            <v>3.0000000000000027E-2</v>
          </cell>
        </row>
        <row r="428">
          <cell r="A428">
            <v>428</v>
          </cell>
        </row>
        <row r="429">
          <cell r="A429">
            <v>429</v>
          </cell>
          <cell r="B429" t="str">
            <v>Components of Price($/MWh)</v>
          </cell>
        </row>
        <row r="430">
          <cell r="A430">
            <v>430</v>
          </cell>
          <cell r="B430" t="str">
            <v>Capacity Payment</v>
          </cell>
          <cell r="D430">
            <v>0</v>
          </cell>
        </row>
        <row r="431">
          <cell r="A431">
            <v>431</v>
          </cell>
          <cell r="B431" t="str">
            <v>FOM</v>
          </cell>
          <cell r="D431">
            <v>0</v>
          </cell>
        </row>
        <row r="432">
          <cell r="A432">
            <v>432</v>
          </cell>
          <cell r="B432" t="str">
            <v>VOM</v>
          </cell>
          <cell r="D432">
            <v>0</v>
          </cell>
        </row>
        <row r="433">
          <cell r="A433">
            <v>433</v>
          </cell>
          <cell r="B433" t="str">
            <v>Fuel</v>
          </cell>
          <cell r="D433">
            <v>0</v>
          </cell>
        </row>
        <row r="434">
          <cell r="A434">
            <v>434</v>
          </cell>
          <cell r="B434" t="str">
            <v>All-In $/MWh - 2005</v>
          </cell>
          <cell r="D434">
            <v>0</v>
          </cell>
        </row>
        <row r="435">
          <cell r="A435">
            <v>435</v>
          </cell>
        </row>
        <row r="436">
          <cell r="A436">
            <v>436</v>
          </cell>
        </row>
        <row r="437">
          <cell r="A437">
            <v>437</v>
          </cell>
        </row>
        <row r="438">
          <cell r="A438">
            <v>438</v>
          </cell>
          <cell r="B438" t="str">
            <v>Tax Information</v>
          </cell>
        </row>
        <row r="439">
          <cell r="A439">
            <v>439</v>
          </cell>
        </row>
        <row r="440">
          <cell r="A440">
            <v>440</v>
          </cell>
          <cell r="B440" t="str">
            <v>Income Tax Rate</v>
          </cell>
          <cell r="D440">
            <v>0.35</v>
          </cell>
        </row>
        <row r="441">
          <cell r="A441">
            <v>441</v>
          </cell>
          <cell r="B441" t="str">
            <v>State Income Tax Rate</v>
          </cell>
          <cell r="D441">
            <v>7.4459999999999998E-2</v>
          </cell>
        </row>
        <row r="442">
          <cell r="A442">
            <v>442</v>
          </cell>
          <cell r="B442" t="str">
            <v>Combined Fed &amp; State Income Tax Rate</v>
          </cell>
          <cell r="D442">
            <v>0.39839899999999995</v>
          </cell>
          <cell r="E442" t="str">
            <v>0.398</v>
          </cell>
        </row>
        <row r="443">
          <cell r="A443">
            <v>443</v>
          </cell>
          <cell r="B443" t="str">
            <v>Tax on Development Fee</v>
          </cell>
          <cell r="D443">
            <v>0.39839899999999995</v>
          </cell>
        </row>
        <row r="447">
          <cell r="B447" t="str">
            <v>OPIC Insurance</v>
          </cell>
        </row>
        <row r="449">
          <cell r="A449" t="str">
            <v xml:space="preserve">Model Changes Since SGS_11_08_02.Xls </v>
          </cell>
          <cell r="F449" t="str">
            <v xml:space="preserve">            ------------  Coverage  ------------</v>
          </cell>
        </row>
        <row r="450">
          <cell r="A450" t="str">
            <v>Changes made By DWP</v>
          </cell>
          <cell r="C450" t="str">
            <v xml:space="preserve">  -- Premium B.P. --</v>
          </cell>
          <cell r="F450" t="str">
            <v>- %  of Investment -</v>
          </cell>
          <cell r="H450" t="str">
            <v xml:space="preserve">        -- Amount --</v>
          </cell>
        </row>
        <row r="451">
          <cell r="C451" t="str">
            <v>Current</v>
          </cell>
          <cell r="D451" t="str">
            <v>Standby</v>
          </cell>
          <cell r="F451" t="str">
            <v>Initial</v>
          </cell>
          <cell r="G451" t="str">
            <v>Max</v>
          </cell>
          <cell r="H451" t="str">
            <v>Initial</v>
          </cell>
          <cell r="I451" t="str">
            <v>Max</v>
          </cell>
        </row>
        <row r="452">
          <cell r="A452" t="str">
            <v>EPC Price : The prior EPC price for a unitized single flue chimney with FW boiler
was $552,700,000. The impact of change</v>
          </cell>
          <cell r="G452">
            <v>2.7</v>
          </cell>
        </row>
        <row r="453">
          <cell r="A453" t="str">
            <v xml:space="preserve">to the common two flue chimney is
to
add to this price the common two flue chimney option of $3,037,700 and the
price </v>
          </cell>
        </row>
        <row r="454">
          <cell r="A454" t="str">
            <v xml:space="preserve">for resultant rework of $93,000. Thus a total of $555,830,700 </v>
          </cell>
        </row>
        <row r="455">
          <cell r="A455" t="str">
            <v xml:space="preserve">Additionally, Escalation logic has been added per agreement with Bechtel.  The EPC price will increase by $90k per day from 12/31/02. </v>
          </cell>
        </row>
        <row r="456">
          <cell r="A456" t="str">
            <v>Also a monthly engineering fee of $750k will be incurred. These have been combined into a $115k/day  escalation.</v>
          </cell>
          <cell r="G456">
            <v>1</v>
          </cell>
        </row>
        <row r="457">
          <cell r="A457" t="str">
            <v>The model assumes financial close on 1/31/02. A new drawdown schedule was also included.</v>
          </cell>
        </row>
        <row r="459">
          <cell r="A459" t="str">
            <v xml:space="preserve">Turnkey EPC Units 1&amp;2 Upgrades : Dollar Values For SDA Modifications and Low Nox Burners Were $31.526 million </v>
          </cell>
          <cell r="G459">
            <v>2.7</v>
          </cell>
        </row>
        <row r="460">
          <cell r="A460" t="str">
            <v>and  $15.175 million respectively</v>
          </cell>
          <cell r="G460">
            <v>2.7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 Rates"/>
      <sheetName val="Sch 1 Rates"/>
      <sheetName val="Load WS"/>
      <sheetName val="KCPL Projected TCOS"/>
      <sheetName val="KCPL Historical TCOS-Blank"/>
      <sheetName val="KCPL WsA Rev Credits"/>
      <sheetName val="KCPL WsC RB Tax"/>
      <sheetName val="KCPL WsD Mis"/>
      <sheetName val="KCPL WsE Exp Adj"/>
      <sheetName val="KCPL WsF Inc Prjts"/>
      <sheetName val="KCPL WsG BPU"/>
      <sheetName val="KCPL WsH Bdgt RB"/>
      <sheetName val="KCPL WsI Bal Sheet"/>
      <sheetName val="KCPL WsJ Tax"/>
      <sheetName val="KCPL WsK CWIP"/>
      <sheetName val="KCPL WsL Transferred Assets"/>
      <sheetName val="KCPL WsM Supplies "/>
      <sheetName val="KCPL WsN Taxes Other"/>
    </sheetNames>
    <sheetDataSet>
      <sheetData sheetId="0" refreshError="1"/>
      <sheetData sheetId="1" refreshError="1"/>
      <sheetData sheetId="2" refreshError="1"/>
      <sheetData sheetId="3" refreshError="1"/>
      <sheetData sheetId="4">
        <row r="318">
          <cell r="I318" t="str">
            <v>CE</v>
          </cell>
          <cell r="J318">
            <v>2.7530929214923783E-2</v>
          </cell>
        </row>
        <row r="319">
          <cell r="I319" t="str">
            <v>DA</v>
          </cell>
          <cell r="J319">
            <v>1</v>
          </cell>
        </row>
        <row r="320">
          <cell r="I320" t="str">
            <v>GP(h)</v>
          </cell>
          <cell r="J320">
            <v>1</v>
          </cell>
        </row>
        <row r="321">
          <cell r="I321" t="str">
            <v>GP(p)</v>
          </cell>
          <cell r="J321">
            <v>6.0947689201491032E-2</v>
          </cell>
        </row>
        <row r="322">
          <cell r="I322" t="str">
            <v>GTD(p)</v>
          </cell>
          <cell r="J322">
            <v>0.17137573807796536</v>
          </cell>
        </row>
        <row r="323">
          <cell r="I323" t="str">
            <v>GTD(h)</v>
          </cell>
          <cell r="J323">
            <v>1</v>
          </cell>
        </row>
        <row r="324">
          <cell r="I324" t="str">
            <v>NA</v>
          </cell>
          <cell r="J324">
            <v>0</v>
          </cell>
        </row>
        <row r="325">
          <cell r="I325" t="str">
            <v>NP(h)</v>
          </cell>
          <cell r="J325">
            <v>1.0101010101010102</v>
          </cell>
        </row>
        <row r="326">
          <cell r="I326" t="str">
            <v>NP(p)</v>
          </cell>
          <cell r="J326">
            <v>7.1133123566087225E-2</v>
          </cell>
        </row>
        <row r="327">
          <cell r="I327" t="str">
            <v>TP</v>
          </cell>
          <cell r="J327">
            <v>0.79014875555602415</v>
          </cell>
        </row>
        <row r="328">
          <cell r="I328" t="str">
            <v>TP1</v>
          </cell>
          <cell r="J328">
            <v>1</v>
          </cell>
        </row>
        <row r="329">
          <cell r="I329" t="str">
            <v>W/S</v>
          </cell>
          <cell r="J329">
            <v>2.7530929214923783E-2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and Analysis"/>
      <sheetName val="40270 GL Rec to FERC "/>
      <sheetName val="Pivot 40270 2015"/>
      <sheetName val="2015"/>
      <sheetName val="2016 YTD"/>
      <sheetName val="2014"/>
      <sheetName val="2013"/>
      <sheetName val="Macro1"/>
    </sheetNames>
    <sheetDataSet>
      <sheetData sheetId="0"/>
      <sheetData sheetId="1"/>
      <sheetData sheetId="2"/>
      <sheetData sheetId="3"/>
      <sheetData sheetId="4"/>
      <sheetData sheetId="5"/>
      <sheetData sheetId="6"/>
      <sheetData sheetId="7">
        <row r="124">
          <cell r="A124" t="str">
            <v>Recover</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TRANSMISSION"/>
      <sheetName val="Brewster Purchases"/>
      <sheetName val="Statement"/>
      <sheetName val="Reads"/>
    </sheetNames>
    <sheetDataSet>
      <sheetData sheetId="0" refreshError="1">
        <row r="8">
          <cell r="C8">
            <v>41456</v>
          </cell>
        </row>
        <row r="11">
          <cell r="C11">
            <v>744</v>
          </cell>
        </row>
        <row r="29">
          <cell r="C29">
            <v>1044</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ATT 6 - Est &amp; Reconcile WS"/>
      <sheetName val="Gateway PIS monthly"/>
      <sheetName val="Att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ATT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refreshError="1"/>
      <sheetData sheetId="1" refreshError="1">
        <row r="5">
          <cell r="S5" t="str">
            <v>Projection</v>
          </cell>
        </row>
        <row r="17">
          <cell r="H17">
            <v>7.3398818350960335E-2</v>
          </cell>
        </row>
        <row r="29">
          <cell r="H29">
            <v>0.21851176882254517</v>
          </cell>
        </row>
        <row r="32">
          <cell r="H32">
            <v>0.24176082444075614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WROWS1"/>
      <sheetName val="RWRACCTS1"/>
      <sheetName val="RWRCALCS1"/>
      <sheetName val="RWCOLUMNS1"/>
      <sheetName val="RWCACCTS1"/>
      <sheetName val="RWCCALCS1"/>
      <sheetName val="RWCEXCEPTIONS1"/>
      <sheetName val="RWCEXCEPTIONSDETAIL1"/>
      <sheetName val="RWROWORDERS1"/>
      <sheetName val="RWCONTENTS1"/>
      <sheetName val="RWDISPLAYROWS1"/>
      <sheetName val="RWDISPLAYCOLS1"/>
      <sheetName val="RWCONTROLVALUES1"/>
      <sheetName val="RWREPORT1"/>
      <sheetName val="CRITERIA1"/>
      <sheetName val="Cons IS"/>
      <sheetName val="Consol Adj."/>
      <sheetName val="CODE"/>
      <sheetName val="RE Recon."/>
      <sheetName val="MTD"/>
      <sheetName val="YTD"/>
      <sheetName val="TME"/>
      <sheetName val="3 MOE"/>
      <sheetName val="Module1"/>
      <sheetName val="Cons_IS"/>
      <sheetName val="Consol_Adj_"/>
      <sheetName val="RE_Recon_"/>
      <sheetName val="3_MOE"/>
      <sheetName val="Dimen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ctual Net Rev Req"/>
      <sheetName val="Actual Gross Rev"/>
      <sheetName val="ARO Adj"/>
      <sheetName val="A-1 (Rev. Credit)"/>
      <sheetName val="A-2 (Divisor)"/>
      <sheetName val="A-3 (Retail Adder)"/>
      <sheetName val="A-4 (WEN O&amp;M Exclusions)"/>
      <sheetName val="A-5 (WEN ADIT)"/>
      <sheetName val="A-6 (WES O&amp;M Exclusions)"/>
      <sheetName val="A-7 (WES ADIT)"/>
      <sheetName val="A-8 (Depr Calc-Opt.)"/>
      <sheetName val="A-9 (Act. BPF Projects)"/>
      <sheetName val="A-10 (Wages &amp; Salaries)"/>
      <sheetName val="A-11 (Incentive Plant)"/>
      <sheetName val="A-12 (Act. Econ Projects)"/>
      <sheetName val="TU (True-up)"/>
      <sheetName val="BPF (BPF Summary)"/>
      <sheetName val="EPP (Econ Proj Sum)"/>
      <sheetName val="Projected Net Rev Req"/>
      <sheetName val="Projected Gross Rev Req"/>
      <sheetName val="P-1 (Trans Plant)"/>
      <sheetName val="P-2 (Exp. &amp; Rev. Credits)"/>
      <sheetName val="P-3 (Trans. Network Load)"/>
      <sheetName val="P-4 (BPF Projects)"/>
      <sheetName val="P-5 (Econ. Projects)"/>
    </sheetNames>
    <sheetDataSet>
      <sheetData sheetId="0"/>
      <sheetData sheetId="1"/>
      <sheetData sheetId="2">
        <row r="43">
          <cell r="J43">
            <v>1</v>
          </cell>
        </row>
        <row r="158">
          <cell r="L158">
            <v>1</v>
          </cell>
        </row>
        <row r="159">
          <cell r="L159">
            <v>0.87107606307276797</v>
          </cell>
        </row>
        <row r="169">
          <cell r="J169">
            <v>0.18415318136593545</v>
          </cell>
        </row>
        <row r="185">
          <cell r="J185">
            <v>0.19829372189848959</v>
          </cell>
        </row>
        <row r="207">
          <cell r="L207">
            <v>4.4429095897839076E-2</v>
          </cell>
        </row>
        <row r="213">
          <cell r="N213">
            <v>4.4429095897839076E-2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For the 12 months ended - December 31, 2019</v>
          </cell>
        </row>
      </sheetData>
      <sheetData sheetId="20">
        <row r="228">
          <cell r="L228">
            <v>7.4652864406999531E-2</v>
          </cell>
        </row>
      </sheetData>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able of Contents"/>
      <sheetName val="Est. Rates"/>
      <sheetName val="Actual Rates"/>
      <sheetName val="ATRR Est."/>
      <sheetName val="ATRR Act"/>
      <sheetName val="WP_A-2 (1)"/>
      <sheetName val="WP_A-2 (2)"/>
      <sheetName val="WP_A-2 (3)"/>
      <sheetName val="WP_A-2 (4)"/>
      <sheetName val="WP_A-2 (5)"/>
      <sheetName val="WP_A-2 (6)"/>
      <sheetName val="WP_A-2 (7)"/>
      <sheetName val="WP_B-1"/>
      <sheetName val="WP_B-2"/>
      <sheetName val="WP_B-3"/>
      <sheetName val="WP_B-4"/>
      <sheetName val="WP_B-5"/>
      <sheetName val="WP_B-6"/>
      <sheetName val="WP_B-7"/>
      <sheetName val="WP_B-8"/>
      <sheetName val="WP_B-Inputs Est."/>
      <sheetName val="WP_B-Inputs Act."/>
      <sheetName val="WP_C-1"/>
      <sheetName val="WP_C-2"/>
      <sheetName val="WP_C-3"/>
      <sheetName val="WP_C-4"/>
      <sheetName val="WP_D-1"/>
      <sheetName val="WP_E-1"/>
      <sheetName val="WP_F-1"/>
      <sheetName val="WP_G-1"/>
      <sheetName val="WP_H-1 "/>
      <sheetName val="WP_I-1"/>
      <sheetName val="Schedule 1"/>
      <sheetName val="Schedule 2"/>
      <sheetName val="Schedule 3 and 3A"/>
      <sheetName val="Schedule 5"/>
      <sheetName val="Schedule 6"/>
      <sheetName val="WP_FCR"/>
      <sheetName val="WP_Cost per Unit"/>
      <sheetName val="WP_Load Factor"/>
      <sheetName val="Schedule 16"/>
      <sheetName val="WP_Installed Cost"/>
      <sheetName val="WP_O&amp;M Cost"/>
      <sheetName val="WP_Reactive Cost"/>
      <sheetName val="WP_ADIT Prorate"/>
    </sheetNames>
    <sheetDataSet>
      <sheetData sheetId="0"/>
      <sheetData sheetId="1"/>
      <sheetData sheetId="2"/>
      <sheetData sheetId="3"/>
      <sheetData sheetId="4">
        <row r="45">
          <cell r="F45">
            <v>0.18055531137819167</v>
          </cell>
        </row>
        <row r="158">
          <cell r="G158">
            <v>0.97270000000000001</v>
          </cell>
        </row>
        <row r="168">
          <cell r="G168">
            <v>0.11383</v>
          </cell>
        </row>
        <row r="172">
          <cell r="G172">
            <v>8.1738818739999997E-2</v>
          </cell>
        </row>
        <row r="179">
          <cell r="G179">
            <v>7.4300000000000005E-2</v>
          </cell>
        </row>
      </sheetData>
      <sheetData sheetId="5">
        <row r="45">
          <cell r="F45">
            <v>0</v>
          </cell>
        </row>
        <row r="158">
          <cell r="G158">
            <v>0</v>
          </cell>
        </row>
        <row r="168">
          <cell r="G168">
            <v>0</v>
          </cell>
        </row>
        <row r="172">
          <cell r="G172">
            <v>8.1738818739999997E-2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ctual Net Rev Req"/>
      <sheetName val="Actual Gross Rev"/>
      <sheetName val="ARO Adj"/>
      <sheetName val="A-1 (Rev. Credit)"/>
      <sheetName val="A-2 (Divisor)"/>
      <sheetName val="A-3 (Retail Adder)"/>
      <sheetName val="A-4 (WEN O&amp;M Exclusions)"/>
      <sheetName val="A-5 (WEN ADIT)"/>
      <sheetName val="A-6 (WES O&amp;M Exclusions)"/>
      <sheetName val="A-7 (WES ADIT)"/>
      <sheetName val="A-8 (Depr Calc-Opt.)"/>
      <sheetName val="A-9 (Act. BPF Projects)"/>
      <sheetName val="A-10 (Wages &amp; Salaries)"/>
      <sheetName val="A-11 (Incentive Plant)"/>
      <sheetName val="A-12 (Act. Econ Projects)"/>
      <sheetName val="TU (True-up)"/>
      <sheetName val="BPF (BPF Summary)"/>
      <sheetName val="EPP (Econ Proj Sum)"/>
      <sheetName val="Projected Net Rev Req"/>
      <sheetName val="Projected Gross Rev Req"/>
      <sheetName val="P-1 (Trans Plant)"/>
      <sheetName val="P-2 (Exp. &amp; Rev. Credits)"/>
      <sheetName val="P-3 (Trans. Network Load)"/>
      <sheetName val="P-4 (BPF Projects)"/>
      <sheetName val="P-5 (Econ. Projects)"/>
    </sheetNames>
    <sheetDataSet>
      <sheetData sheetId="0"/>
      <sheetData sheetId="1"/>
      <sheetData sheetId="2">
        <row r="43">
          <cell r="J43">
            <v>1</v>
          </cell>
        </row>
        <row r="158">
          <cell r="L158">
            <v>1</v>
          </cell>
        </row>
        <row r="159">
          <cell r="L159">
            <v>0.91254584084493884</v>
          </cell>
        </row>
        <row r="169">
          <cell r="J169">
            <v>0.18563253356925025</v>
          </cell>
        </row>
        <row r="185">
          <cell r="J185">
            <v>0.20420112903346602</v>
          </cell>
        </row>
        <row r="207">
          <cell r="L207">
            <v>4.3443187396295171E-2</v>
          </cell>
        </row>
        <row r="213">
          <cell r="N213">
            <v>4.3443187396295171E-2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For the 12 months ended - December 31, 2018</v>
          </cell>
        </row>
      </sheetData>
      <sheetData sheetId="20">
        <row r="228">
          <cell r="L228">
            <v>7.5379421882894052E-2</v>
          </cell>
        </row>
      </sheetData>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view="pageLayout" zoomScale="80" zoomScaleNormal="75" zoomScalePageLayoutView="80" workbookViewId="0">
      <selection activeCell="A11" sqref="A11:E11"/>
    </sheetView>
  </sheetViews>
  <sheetFormatPr defaultColWidth="8.88671875" defaultRowHeight="15.75"/>
  <cols>
    <col min="1" max="1" width="23.6640625" style="256" customWidth="1"/>
    <col min="2" max="2" width="36.88671875" style="256" customWidth="1"/>
    <col min="3" max="3" width="67" style="256" bestFit="1" customWidth="1"/>
    <col min="4" max="4" width="18.6640625" style="256" customWidth="1"/>
    <col min="5" max="16384" width="8.88671875" style="256"/>
  </cols>
  <sheetData>
    <row r="1" spans="1:5" ht="20.25">
      <c r="A1" s="829" t="s">
        <v>344</v>
      </c>
      <c r="B1" s="829"/>
      <c r="C1" s="829"/>
      <c r="D1" s="829"/>
      <c r="E1" s="829"/>
    </row>
    <row r="2" spans="1:5" ht="20.25">
      <c r="A2" s="829" t="s">
        <v>602</v>
      </c>
      <c r="B2" s="829"/>
      <c r="C2" s="829"/>
      <c r="D2" s="829"/>
      <c r="E2" s="829"/>
    </row>
    <row r="3" spans="1:5">
      <c r="A3" s="257"/>
    </row>
    <row r="4" spans="1:5" ht="20.25">
      <c r="A4" s="829" t="s">
        <v>330</v>
      </c>
      <c r="B4" s="829"/>
      <c r="C4" s="829"/>
      <c r="D4" s="829"/>
      <c r="E4" s="829"/>
    </row>
    <row r="5" spans="1:5">
      <c r="A5" s="257"/>
      <c r="E5" s="258" t="s">
        <v>748</v>
      </c>
    </row>
    <row r="6" spans="1:5">
      <c r="A6" s="257" t="s">
        <v>331</v>
      </c>
    </row>
    <row r="7" spans="1:5" ht="47.25" customHeight="1">
      <c r="A7" s="827" t="s">
        <v>716</v>
      </c>
      <c r="B7" s="827"/>
      <c r="C7" s="827"/>
      <c r="D7" s="827"/>
      <c r="E7" s="827"/>
    </row>
    <row r="8" spans="1:5">
      <c r="A8" s="259"/>
      <c r="B8" s="259"/>
      <c r="C8" s="259"/>
      <c r="D8" s="259"/>
      <c r="E8" s="259"/>
    </row>
    <row r="9" spans="1:5" ht="36.75" customHeight="1">
      <c r="A9" s="827" t="s">
        <v>717</v>
      </c>
      <c r="B9" s="827"/>
      <c r="C9" s="827"/>
      <c r="D9" s="827"/>
      <c r="E9" s="827"/>
    </row>
    <row r="10" spans="1:5">
      <c r="A10" s="257"/>
    </row>
    <row r="11" spans="1:5" ht="51.75" customHeight="1">
      <c r="A11" s="827" t="s">
        <v>865</v>
      </c>
      <c r="B11" s="827"/>
      <c r="C11" s="827"/>
      <c r="D11" s="827"/>
      <c r="E11" s="827"/>
    </row>
    <row r="12" spans="1:5" ht="32.25" customHeight="1">
      <c r="A12" s="260"/>
      <c r="B12" s="828" t="s">
        <v>332</v>
      </c>
      <c r="C12" s="828"/>
      <c r="D12" s="828"/>
      <c r="E12" s="828"/>
    </row>
    <row r="13" spans="1:5" ht="19.5" customHeight="1">
      <c r="A13" s="261"/>
      <c r="B13" s="262" t="s">
        <v>749</v>
      </c>
      <c r="C13" s="262"/>
      <c r="D13" s="262"/>
      <c r="E13" s="262"/>
    </row>
    <row r="14" spans="1:5">
      <c r="A14" s="257"/>
      <c r="C14" s="256" t="s">
        <v>333</v>
      </c>
    </row>
    <row r="16" spans="1:5" ht="16.5" thickBot="1">
      <c r="A16" s="263" t="s">
        <v>334</v>
      </c>
      <c r="B16" s="263" t="s">
        <v>335</v>
      </c>
      <c r="C16" s="263" t="s">
        <v>208</v>
      </c>
      <c r="D16" s="264" t="s">
        <v>336</v>
      </c>
      <c r="E16" s="263"/>
    </row>
    <row r="17" spans="1:4">
      <c r="A17" s="265"/>
      <c r="D17" s="266"/>
    </row>
    <row r="18" spans="1:4">
      <c r="A18" s="267"/>
      <c r="D18" s="268"/>
    </row>
    <row r="19" spans="1:4">
      <c r="A19" s="265"/>
      <c r="D19" s="266"/>
    </row>
    <row r="20" spans="1:4">
      <c r="A20" s="269" t="s">
        <v>575</v>
      </c>
      <c r="B20" s="256" t="s">
        <v>533</v>
      </c>
      <c r="C20" s="256" t="s">
        <v>595</v>
      </c>
      <c r="D20" s="268" t="s">
        <v>186</v>
      </c>
    </row>
    <row r="21" spans="1:4" ht="17.25" customHeight="1">
      <c r="A21" s="265"/>
      <c r="D21" s="266"/>
    </row>
    <row r="22" spans="1:4">
      <c r="A22" s="269" t="s">
        <v>576</v>
      </c>
      <c r="B22" s="256" t="s">
        <v>586</v>
      </c>
      <c r="C22" s="256" t="s">
        <v>337</v>
      </c>
      <c r="D22" s="268" t="s">
        <v>186</v>
      </c>
    </row>
    <row r="23" spans="1:4">
      <c r="A23" s="265"/>
      <c r="D23" s="268"/>
    </row>
    <row r="24" spans="1:4">
      <c r="A24" s="269" t="s">
        <v>577</v>
      </c>
      <c r="B24" s="256" t="s">
        <v>587</v>
      </c>
      <c r="C24" s="256" t="s">
        <v>596</v>
      </c>
      <c r="D24" s="268" t="s">
        <v>186</v>
      </c>
    </row>
    <row r="25" spans="1:4">
      <c r="A25" s="265"/>
      <c r="D25" s="268"/>
    </row>
    <row r="26" spans="1:4">
      <c r="A26" s="269" t="s">
        <v>578</v>
      </c>
      <c r="B26" s="256" t="s">
        <v>588</v>
      </c>
      <c r="C26" s="256" t="s">
        <v>600</v>
      </c>
      <c r="D26" s="268" t="s">
        <v>186</v>
      </c>
    </row>
    <row r="27" spans="1:4">
      <c r="A27" s="265"/>
      <c r="D27" s="268"/>
    </row>
    <row r="28" spans="1:4">
      <c r="A28" s="269" t="s">
        <v>579</v>
      </c>
      <c r="B28" s="256" t="s">
        <v>589</v>
      </c>
      <c r="C28" s="256" t="s">
        <v>601</v>
      </c>
      <c r="D28" s="268" t="s">
        <v>186</v>
      </c>
    </row>
    <row r="29" spans="1:4">
      <c r="A29" s="265"/>
      <c r="D29" s="268"/>
    </row>
    <row r="30" spans="1:4">
      <c r="A30" s="269" t="s">
        <v>580</v>
      </c>
      <c r="B30" s="256" t="s">
        <v>590</v>
      </c>
      <c r="C30" s="256" t="s">
        <v>597</v>
      </c>
      <c r="D30" s="268" t="s">
        <v>186</v>
      </c>
    </row>
    <row r="31" spans="1:4">
      <c r="A31" s="265"/>
      <c r="D31" s="268"/>
    </row>
    <row r="32" spans="1:4">
      <c r="A32" s="269" t="s">
        <v>581</v>
      </c>
      <c r="B32" s="256" t="s">
        <v>591</v>
      </c>
      <c r="C32" s="256" t="s">
        <v>598</v>
      </c>
      <c r="D32" s="268" t="s">
        <v>186</v>
      </c>
    </row>
    <row r="33" spans="1:4">
      <c r="A33" s="265"/>
      <c r="D33" s="268"/>
    </row>
    <row r="34" spans="1:4">
      <c r="A34" s="265" t="s">
        <v>818</v>
      </c>
      <c r="B34" s="256" t="s">
        <v>775</v>
      </c>
      <c r="C34" s="256" t="s">
        <v>819</v>
      </c>
      <c r="D34" s="268" t="s">
        <v>186</v>
      </c>
    </row>
    <row r="35" spans="1:4">
      <c r="A35" s="265"/>
      <c r="D35" s="268"/>
    </row>
    <row r="36" spans="1:4">
      <c r="A36" s="269" t="s">
        <v>338</v>
      </c>
      <c r="B36" s="265" t="s">
        <v>339</v>
      </c>
      <c r="C36" s="265" t="s">
        <v>340</v>
      </c>
      <c r="D36" s="268" t="s">
        <v>863</v>
      </c>
    </row>
    <row r="37" spans="1:4">
      <c r="A37" s="265"/>
      <c r="B37" s="265"/>
      <c r="C37" s="265"/>
      <c r="D37" s="268"/>
    </row>
    <row r="38" spans="1:4">
      <c r="A38" s="269" t="s">
        <v>582</v>
      </c>
      <c r="B38" s="265" t="s">
        <v>534</v>
      </c>
      <c r="C38" s="265" t="s">
        <v>599</v>
      </c>
      <c r="D38" s="268" t="s">
        <v>864</v>
      </c>
    </row>
    <row r="39" spans="1:4">
      <c r="A39" s="265"/>
      <c r="B39" s="265"/>
      <c r="C39" s="265"/>
      <c r="D39" s="268"/>
    </row>
    <row r="40" spans="1:4">
      <c r="A40" s="269" t="s">
        <v>583</v>
      </c>
      <c r="B40" s="265" t="s">
        <v>592</v>
      </c>
      <c r="C40" s="265" t="s">
        <v>341</v>
      </c>
      <c r="D40" s="268" t="s">
        <v>864</v>
      </c>
    </row>
    <row r="41" spans="1:4">
      <c r="A41" s="265"/>
      <c r="B41" s="265"/>
      <c r="C41" s="265"/>
      <c r="D41" s="268"/>
    </row>
    <row r="42" spans="1:4">
      <c r="A42" s="269" t="s">
        <v>584</v>
      </c>
      <c r="B42" s="265" t="s">
        <v>593</v>
      </c>
      <c r="C42" s="265" t="s">
        <v>342</v>
      </c>
      <c r="D42" s="268" t="s">
        <v>864</v>
      </c>
    </row>
    <row r="43" spans="1:4">
      <c r="A43" s="265"/>
      <c r="B43" s="265"/>
      <c r="C43" s="265"/>
      <c r="D43" s="268"/>
    </row>
    <row r="44" spans="1:4">
      <c r="A44" s="269" t="s">
        <v>585</v>
      </c>
      <c r="B44" s="265" t="s">
        <v>594</v>
      </c>
      <c r="C44" s="265" t="s">
        <v>343</v>
      </c>
      <c r="D44" s="268" t="s">
        <v>864</v>
      </c>
    </row>
    <row r="45" spans="1:4">
      <c r="A45" s="270"/>
      <c r="B45" s="270"/>
      <c r="C45" s="270"/>
      <c r="D45" s="271"/>
    </row>
    <row r="46" spans="1:4">
      <c r="A46" s="269" t="s">
        <v>820</v>
      </c>
      <c r="B46" s="265" t="s">
        <v>821</v>
      </c>
      <c r="C46" s="265" t="s">
        <v>802</v>
      </c>
      <c r="D46" s="268" t="s">
        <v>864</v>
      </c>
    </row>
    <row r="47" spans="1:4">
      <c r="A47" s="270"/>
      <c r="B47" s="270"/>
      <c r="C47" s="270"/>
      <c r="D47" s="271"/>
    </row>
    <row r="48" spans="1:4">
      <c r="A48" s="269" t="s">
        <v>991</v>
      </c>
      <c r="B48" s="265" t="s">
        <v>978</v>
      </c>
      <c r="C48" s="265" t="s">
        <v>992</v>
      </c>
      <c r="D48" s="268" t="s">
        <v>864</v>
      </c>
    </row>
    <row r="49" spans="1:4">
      <c r="A49" s="270"/>
      <c r="B49" s="270"/>
      <c r="C49" s="270"/>
      <c r="D49" s="271"/>
    </row>
    <row r="50" spans="1:4">
      <c r="A50" s="269" t="s">
        <v>829</v>
      </c>
      <c r="B50" s="265" t="s">
        <v>829</v>
      </c>
      <c r="C50" s="265" t="s">
        <v>830</v>
      </c>
      <c r="D50" s="268" t="s">
        <v>863</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CLP-102</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P245"/>
  <sheetViews>
    <sheetView zoomScale="75" zoomScaleNormal="75" workbookViewId="0">
      <selection activeCell="C22" sqref="C22"/>
    </sheetView>
  </sheetViews>
  <sheetFormatPr defaultColWidth="7.109375" defaultRowHeight="12.75"/>
  <cols>
    <col min="1" max="1" width="5.33203125" style="330" customWidth="1"/>
    <col min="2" max="2" width="5.5546875" style="330" customWidth="1"/>
    <col min="3" max="3" width="5.109375" style="330" customWidth="1"/>
    <col min="4" max="4" width="12.6640625" style="329" customWidth="1"/>
    <col min="5" max="5" width="14.44140625" style="329" customWidth="1"/>
    <col min="6" max="6" width="12.21875" style="329" customWidth="1"/>
    <col min="7" max="7" width="13.44140625" style="329" bestFit="1" customWidth="1"/>
    <col min="8" max="8" width="19.21875" style="329" customWidth="1"/>
    <col min="9" max="9" width="4.77734375" style="329" bestFit="1" customWidth="1"/>
    <col min="10" max="10" width="13" style="329" customWidth="1"/>
    <col min="11" max="11" width="13" style="329" bestFit="1" customWidth="1"/>
    <col min="12" max="13" width="12.21875" style="329" customWidth="1"/>
    <col min="14" max="14" width="11.5546875" style="329" bestFit="1" customWidth="1"/>
    <col min="15" max="15" width="7.21875" style="329" bestFit="1" customWidth="1"/>
    <col min="16" max="16" width="11.6640625" style="329" bestFit="1" customWidth="1"/>
    <col min="17" max="16384" width="7.109375" style="329"/>
  </cols>
  <sheetData>
    <row r="1" spans="1:11">
      <c r="A1" s="854" t="s">
        <v>339</v>
      </c>
      <c r="B1" s="854"/>
      <c r="C1" s="854"/>
      <c r="D1" s="854"/>
      <c r="E1" s="854"/>
      <c r="F1" s="854"/>
      <c r="G1" s="854"/>
      <c r="H1" s="854"/>
    </row>
    <row r="2" spans="1:11">
      <c r="A2" s="854" t="s">
        <v>607</v>
      </c>
      <c r="B2" s="854"/>
      <c r="C2" s="854"/>
      <c r="D2" s="854"/>
      <c r="E2" s="854"/>
      <c r="F2" s="854"/>
      <c r="G2" s="854"/>
      <c r="H2" s="854"/>
    </row>
    <row r="3" spans="1:11">
      <c r="A3" s="855" t="str">
        <f>'Act Att-H'!C7</f>
        <v>Cheyenne Light, Fuel &amp; Power</v>
      </c>
      <c r="B3" s="855"/>
      <c r="C3" s="855"/>
      <c r="D3" s="855"/>
      <c r="E3" s="855"/>
      <c r="F3" s="855"/>
      <c r="G3" s="855"/>
      <c r="H3" s="855"/>
    </row>
    <row r="4" spans="1:11">
      <c r="H4" s="331" t="s">
        <v>748</v>
      </c>
    </row>
    <row r="5" spans="1:11">
      <c r="A5" s="332" t="s">
        <v>292</v>
      </c>
    </row>
    <row r="6" spans="1:11">
      <c r="A6" s="330" t="s">
        <v>293</v>
      </c>
      <c r="B6" s="330" t="s">
        <v>294</v>
      </c>
      <c r="C6" s="330" t="s">
        <v>295</v>
      </c>
      <c r="D6" s="330" t="s">
        <v>296</v>
      </c>
      <c r="E6" s="330"/>
    </row>
    <row r="7" spans="1:11">
      <c r="A7" s="330">
        <v>1</v>
      </c>
      <c r="B7" s="330" t="s">
        <v>297</v>
      </c>
      <c r="C7" s="330" t="s">
        <v>298</v>
      </c>
      <c r="D7" s="333" t="s">
        <v>491</v>
      </c>
      <c r="E7" s="333"/>
    </row>
    <row r="8" spans="1:11">
      <c r="A8" s="330">
        <f>A7+1</f>
        <v>2</v>
      </c>
      <c r="B8" s="330" t="s">
        <v>297</v>
      </c>
      <c r="C8" s="330" t="s">
        <v>298</v>
      </c>
      <c r="D8" s="333" t="s">
        <v>299</v>
      </c>
      <c r="E8" s="333"/>
    </row>
    <row r="9" spans="1:11">
      <c r="A9" s="330">
        <f t="shared" ref="A9:A17" si="0">A8+1</f>
        <v>3</v>
      </c>
      <c r="B9" s="334" t="s">
        <v>300</v>
      </c>
      <c r="C9" s="330" t="s">
        <v>301</v>
      </c>
      <c r="D9" s="333" t="s">
        <v>302</v>
      </c>
      <c r="E9" s="333"/>
    </row>
    <row r="10" spans="1:11">
      <c r="A10" s="330">
        <f t="shared" si="0"/>
        <v>4</v>
      </c>
      <c r="B10" s="330" t="str">
        <f>+B7</f>
        <v>Oct</v>
      </c>
      <c r="C10" s="330" t="s">
        <v>301</v>
      </c>
      <c r="D10" s="333" t="s">
        <v>488</v>
      </c>
      <c r="E10" s="333"/>
    </row>
    <row r="11" spans="1:11">
      <c r="A11" s="330">
        <f t="shared" si="0"/>
        <v>5</v>
      </c>
      <c r="B11" s="330" t="s">
        <v>297</v>
      </c>
      <c r="C11" s="330" t="str">
        <f>C10</f>
        <v>Year 1</v>
      </c>
      <c r="D11" s="333" t="s">
        <v>303</v>
      </c>
      <c r="E11" s="333"/>
    </row>
    <row r="12" spans="1:11">
      <c r="A12" s="330">
        <f t="shared" si="0"/>
        <v>6</v>
      </c>
      <c r="B12" s="330" t="s">
        <v>300</v>
      </c>
      <c r="C12" s="330" t="s">
        <v>304</v>
      </c>
      <c r="D12" s="333" t="s">
        <v>305</v>
      </c>
      <c r="E12" s="333"/>
    </row>
    <row r="13" spans="1:11">
      <c r="A13" s="330">
        <f t="shared" si="0"/>
        <v>7</v>
      </c>
      <c r="B13" s="330" t="s">
        <v>306</v>
      </c>
      <c r="C13" s="330" t="s">
        <v>304</v>
      </c>
      <c r="D13" s="333" t="s">
        <v>489</v>
      </c>
      <c r="E13" s="335"/>
      <c r="F13" s="336"/>
      <c r="G13" s="336"/>
      <c r="H13" s="336"/>
      <c r="I13" s="336"/>
      <c r="J13" s="336"/>
      <c r="K13" s="336"/>
    </row>
    <row r="14" spans="1:11">
      <c r="A14" s="330">
        <f t="shared" si="0"/>
        <v>8</v>
      </c>
      <c r="B14" s="330" t="s">
        <v>306</v>
      </c>
      <c r="C14" s="330" t="s">
        <v>304</v>
      </c>
      <c r="D14" s="333" t="s">
        <v>307</v>
      </c>
      <c r="E14" s="333"/>
      <c r="F14" s="337"/>
      <c r="G14" s="337"/>
      <c r="H14" s="337"/>
      <c r="I14" s="337"/>
      <c r="J14" s="337"/>
      <c r="K14" s="337"/>
    </row>
    <row r="15" spans="1:11">
      <c r="A15" s="330">
        <f t="shared" si="0"/>
        <v>9</v>
      </c>
      <c r="B15" s="330" t="s">
        <v>306</v>
      </c>
      <c r="C15" s="330" t="s">
        <v>304</v>
      </c>
      <c r="D15" s="333" t="s">
        <v>308</v>
      </c>
      <c r="E15" s="337"/>
      <c r="F15" s="337"/>
      <c r="G15" s="337"/>
      <c r="H15" s="337"/>
      <c r="I15" s="337"/>
      <c r="J15" s="337"/>
      <c r="K15" s="337"/>
    </row>
    <row r="16" spans="1:11">
      <c r="A16" s="330">
        <f t="shared" si="0"/>
        <v>10</v>
      </c>
      <c r="B16" s="330" t="s">
        <v>297</v>
      </c>
      <c r="C16" s="330" t="s">
        <v>304</v>
      </c>
      <c r="D16" s="333" t="s">
        <v>490</v>
      </c>
      <c r="E16" s="333"/>
    </row>
    <row r="17" spans="1:16">
      <c r="A17" s="330">
        <f t="shared" si="0"/>
        <v>11</v>
      </c>
      <c r="B17" s="330" t="s">
        <v>297</v>
      </c>
      <c r="C17" s="330" t="s">
        <v>304</v>
      </c>
      <c r="D17" s="333" t="s">
        <v>309</v>
      </c>
      <c r="E17" s="333"/>
    </row>
    <row r="18" spans="1:16">
      <c r="A18" s="329"/>
      <c r="B18" s="329"/>
      <c r="C18" s="329"/>
      <c r="E18" s="333"/>
    </row>
    <row r="19" spans="1:16">
      <c r="A19" s="329"/>
      <c r="B19" s="332" t="s">
        <v>921</v>
      </c>
    </row>
    <row r="20" spans="1:16">
      <c r="I20" s="338"/>
      <c r="N20" s="340"/>
      <c r="O20" s="340"/>
      <c r="P20" s="340"/>
    </row>
    <row r="21" spans="1:16" ht="12.75" customHeight="1" thickBot="1">
      <c r="A21" s="330">
        <f>A17+1</f>
        <v>12</v>
      </c>
      <c r="D21" s="338"/>
      <c r="E21" s="338"/>
      <c r="F21" s="338"/>
      <c r="H21" s="339" t="s">
        <v>310</v>
      </c>
      <c r="I21" s="338"/>
      <c r="N21" s="340"/>
      <c r="O21" s="340"/>
      <c r="P21" s="340"/>
    </row>
    <row r="22" spans="1:16" ht="12.75" customHeight="1">
      <c r="A22" s="330">
        <f>A21+1</f>
        <v>13</v>
      </c>
      <c r="C22" s="329" t="s">
        <v>311</v>
      </c>
      <c r="E22" s="338"/>
      <c r="F22" s="341"/>
      <c r="H22" s="572">
        <v>0</v>
      </c>
      <c r="I22" s="338"/>
      <c r="N22" s="344"/>
      <c r="O22" s="344"/>
      <c r="P22" s="344"/>
    </row>
    <row r="23" spans="1:16">
      <c r="A23" s="330">
        <f t="shared" ref="A23:A24" si="1">A22+1</f>
        <v>14</v>
      </c>
      <c r="B23" s="345"/>
      <c r="C23" s="329" t="s">
        <v>934</v>
      </c>
      <c r="E23" s="342"/>
      <c r="F23" s="343"/>
      <c r="H23" s="572">
        <v>0</v>
      </c>
      <c r="I23" s="338"/>
      <c r="N23" s="346"/>
      <c r="O23" s="346"/>
      <c r="P23" s="346"/>
    </row>
    <row r="24" spans="1:16">
      <c r="A24" s="330">
        <f t="shared" si="1"/>
        <v>15</v>
      </c>
      <c r="C24" s="329" t="s">
        <v>312</v>
      </c>
      <c r="F24" s="347" t="s">
        <v>892</v>
      </c>
      <c r="H24" s="530">
        <f>+H22-H23</f>
        <v>0</v>
      </c>
      <c r="I24" s="338"/>
      <c r="N24" s="340"/>
      <c r="O24" s="340"/>
      <c r="P24" s="340"/>
    </row>
    <row r="25" spans="1:16">
      <c r="F25" s="347"/>
      <c r="I25" s="338"/>
    </row>
    <row r="26" spans="1:16">
      <c r="A26" s="329"/>
      <c r="B26" s="332" t="s">
        <v>922</v>
      </c>
    </row>
    <row r="27" spans="1:16">
      <c r="I27" s="338"/>
      <c r="N27" s="340"/>
      <c r="O27" s="340"/>
      <c r="P27" s="340"/>
    </row>
    <row r="28" spans="1:16" ht="12.75" customHeight="1" thickBot="1">
      <c r="A28" s="330">
        <f>A24+1</f>
        <v>16</v>
      </c>
      <c r="D28" s="338"/>
      <c r="E28" s="338"/>
      <c r="F28" s="338"/>
      <c r="H28" s="339" t="s">
        <v>310</v>
      </c>
      <c r="I28" s="338"/>
      <c r="N28" s="340"/>
      <c r="O28" s="340"/>
      <c r="P28" s="340"/>
    </row>
    <row r="29" spans="1:16">
      <c r="A29" s="330">
        <f>A28+1</f>
        <v>17</v>
      </c>
      <c r="C29" s="329" t="s">
        <v>926</v>
      </c>
      <c r="E29" s="338"/>
      <c r="F29" s="341"/>
      <c r="H29" s="705">
        <v>0</v>
      </c>
      <c r="I29" s="338" t="s">
        <v>925</v>
      </c>
      <c r="N29" s="344"/>
      <c r="O29" s="344"/>
      <c r="P29" s="344"/>
    </row>
    <row r="30" spans="1:16">
      <c r="A30" s="330">
        <f t="shared" ref="A30:A36" si="2">A29+1</f>
        <v>18</v>
      </c>
      <c r="B30" s="345"/>
      <c r="C30" s="329" t="s">
        <v>935</v>
      </c>
      <c r="E30" s="342"/>
      <c r="F30" s="343"/>
      <c r="H30" s="705">
        <v>0</v>
      </c>
      <c r="I30" s="338" t="s">
        <v>925</v>
      </c>
      <c r="N30" s="346"/>
      <c r="O30" s="346"/>
      <c r="P30" s="346"/>
    </row>
    <row r="31" spans="1:16">
      <c r="A31" s="330">
        <f t="shared" si="2"/>
        <v>19</v>
      </c>
      <c r="C31" s="329" t="s">
        <v>923</v>
      </c>
      <c r="F31" s="347" t="s">
        <v>933</v>
      </c>
      <c r="H31" s="706">
        <f>H30-H29</f>
        <v>0</v>
      </c>
      <c r="I31" s="338" t="s">
        <v>925</v>
      </c>
      <c r="N31" s="340"/>
      <c r="O31" s="340"/>
      <c r="P31" s="340"/>
    </row>
    <row r="32" spans="1:16" ht="12.75" customHeight="1">
      <c r="A32" s="330">
        <f t="shared" si="2"/>
        <v>20</v>
      </c>
      <c r="C32" s="329"/>
      <c r="D32" s="338"/>
      <c r="E32" s="338"/>
      <c r="F32" s="347"/>
      <c r="H32" s="707"/>
      <c r="I32" s="338"/>
      <c r="N32" s="340"/>
      <c r="O32" s="340"/>
      <c r="P32" s="340"/>
    </row>
    <row r="33" spans="1:16">
      <c r="A33" s="330">
        <f t="shared" si="2"/>
        <v>21</v>
      </c>
      <c r="C33" s="329" t="s">
        <v>936</v>
      </c>
      <c r="E33" s="338"/>
      <c r="F33" s="347" t="s">
        <v>927</v>
      </c>
      <c r="H33" s="707">
        <f>IF(H30=0,0,ROUND(H23/H30,6))</f>
        <v>0</v>
      </c>
      <c r="I33" s="338" t="s">
        <v>928</v>
      </c>
      <c r="N33" s="344"/>
      <c r="O33" s="344"/>
      <c r="P33" s="344"/>
    </row>
    <row r="34" spans="1:16">
      <c r="A34" s="330">
        <f t="shared" si="2"/>
        <v>22</v>
      </c>
      <c r="B34" s="345"/>
      <c r="C34" s="329" t="s">
        <v>924</v>
      </c>
      <c r="E34" s="342"/>
      <c r="F34" s="347" t="s">
        <v>949</v>
      </c>
      <c r="H34" s="530">
        <f>H31*H33</f>
        <v>0</v>
      </c>
      <c r="I34" s="338"/>
      <c r="N34" s="346"/>
      <c r="O34" s="346"/>
      <c r="P34" s="346"/>
    </row>
    <row r="35" spans="1:16">
      <c r="A35" s="330">
        <f t="shared" si="2"/>
        <v>23</v>
      </c>
      <c r="C35" s="329"/>
      <c r="F35" s="347"/>
      <c r="H35" s="704"/>
      <c r="I35" s="338"/>
      <c r="N35" s="340"/>
      <c r="O35" s="340"/>
      <c r="P35" s="340"/>
    </row>
    <row r="36" spans="1:16">
      <c r="A36" s="330">
        <f t="shared" si="2"/>
        <v>24</v>
      </c>
      <c r="B36" s="329" t="s">
        <v>312</v>
      </c>
      <c r="C36" s="329"/>
      <c r="D36" s="333"/>
      <c r="E36" s="330"/>
      <c r="F36" s="336"/>
      <c r="G36" s="336"/>
      <c r="H36" s="708">
        <f>H24+H34</f>
        <v>0</v>
      </c>
      <c r="I36" s="336"/>
      <c r="J36" s="336"/>
      <c r="K36" s="336"/>
      <c r="L36" s="336"/>
    </row>
    <row r="37" spans="1:16">
      <c r="C37" s="329"/>
      <c r="D37" s="591"/>
      <c r="E37" s="330"/>
      <c r="F37" s="336"/>
      <c r="G37" s="336"/>
      <c r="H37" s="336"/>
      <c r="I37" s="336"/>
      <c r="J37" s="336"/>
      <c r="K37" s="336"/>
      <c r="L37" s="336"/>
    </row>
    <row r="38" spans="1:16">
      <c r="B38" s="332" t="s">
        <v>313</v>
      </c>
      <c r="D38" s="333"/>
      <c r="E38" s="330"/>
      <c r="F38" s="336"/>
      <c r="G38" s="336"/>
      <c r="H38" s="336"/>
      <c r="I38" s="336"/>
      <c r="J38" s="336"/>
      <c r="K38" s="336"/>
      <c r="L38" s="336"/>
    </row>
    <row r="39" spans="1:16" ht="14.25" customHeight="1">
      <c r="D39" s="348" t="s">
        <v>314</v>
      </c>
      <c r="E39" s="349"/>
      <c r="F39" s="350"/>
      <c r="G39" s="336"/>
      <c r="H39" s="351" t="s">
        <v>315</v>
      </c>
      <c r="I39" s="352"/>
      <c r="J39" s="352"/>
      <c r="K39" s="352"/>
      <c r="L39" s="336"/>
    </row>
    <row r="40" spans="1:16">
      <c r="A40" s="330">
        <f>A36+1</f>
        <v>25</v>
      </c>
      <c r="D40" s="333" t="s">
        <v>316</v>
      </c>
      <c r="E40" s="330"/>
      <c r="F40" s="336"/>
      <c r="H40" s="92">
        <v>0</v>
      </c>
      <c r="I40" s="353"/>
      <c r="J40" s="353"/>
      <c r="K40" s="353"/>
      <c r="L40" s="336"/>
    </row>
    <row r="41" spans="1:16">
      <c r="A41" s="330">
        <f>A40+1</f>
        <v>26</v>
      </c>
      <c r="D41" s="333" t="s">
        <v>317</v>
      </c>
      <c r="E41" s="330"/>
      <c r="F41" s="336"/>
      <c r="H41" s="92">
        <v>0</v>
      </c>
      <c r="I41" s="353"/>
      <c r="J41" s="353"/>
      <c r="K41" s="353"/>
      <c r="L41" s="336"/>
    </row>
    <row r="42" spans="1:16">
      <c r="A42" s="330">
        <f>A41+1</f>
        <v>27</v>
      </c>
      <c r="D42" s="333" t="s">
        <v>318</v>
      </c>
      <c r="E42" s="330"/>
      <c r="F42" s="336"/>
      <c r="H42" s="92">
        <v>0</v>
      </c>
      <c r="I42" s="353"/>
      <c r="J42" s="353"/>
      <c r="K42" s="353"/>
      <c r="L42" s="336"/>
    </row>
    <row r="43" spans="1:16">
      <c r="A43" s="330">
        <f>A42+1</f>
        <v>28</v>
      </c>
      <c r="D43" s="333" t="s">
        <v>319</v>
      </c>
      <c r="E43" s="330"/>
      <c r="F43" s="337" t="s">
        <v>950</v>
      </c>
      <c r="H43" s="354">
        <f>IF(H41*H42=0,0,H40/H41*H42/2)</f>
        <v>0</v>
      </c>
      <c r="I43" s="336"/>
      <c r="J43" s="336"/>
      <c r="K43" s="336"/>
      <c r="L43" s="336"/>
    </row>
    <row r="44" spans="1:16">
      <c r="D44" s="333"/>
      <c r="E44" s="330"/>
      <c r="F44" s="336"/>
      <c r="H44" s="355"/>
      <c r="I44" s="336"/>
      <c r="J44" s="336"/>
      <c r="K44" s="336"/>
      <c r="L44" s="336"/>
    </row>
    <row r="45" spans="1:16">
      <c r="D45" s="356" t="s">
        <v>608</v>
      </c>
      <c r="E45" s="357"/>
      <c r="F45" s="350"/>
      <c r="H45" s="358"/>
      <c r="J45" s="359"/>
      <c r="K45" s="336"/>
      <c r="L45" s="336"/>
    </row>
    <row r="46" spans="1:16">
      <c r="A46" s="330">
        <f>A43+1</f>
        <v>29</v>
      </c>
      <c r="D46" s="360" t="s">
        <v>320</v>
      </c>
      <c r="F46" s="336"/>
      <c r="H46" s="361">
        <v>0</v>
      </c>
      <c r="J46" s="359"/>
      <c r="K46" s="336"/>
      <c r="L46" s="336"/>
    </row>
    <row r="47" spans="1:16">
      <c r="A47" s="330">
        <f t="shared" ref="A47:A50" si="3">A46+1</f>
        <v>30</v>
      </c>
      <c r="D47" s="362" t="s">
        <v>321</v>
      </c>
      <c r="F47" s="336"/>
      <c r="H47" s="361">
        <v>0</v>
      </c>
      <c r="J47" s="359"/>
      <c r="K47" s="336"/>
      <c r="L47" s="336"/>
    </row>
    <row r="48" spans="1:16">
      <c r="A48" s="330">
        <f t="shared" si="3"/>
        <v>31</v>
      </c>
      <c r="D48" s="362" t="s">
        <v>322</v>
      </c>
      <c r="F48" s="336"/>
      <c r="H48" s="361">
        <v>0</v>
      </c>
      <c r="J48" s="359"/>
      <c r="K48" s="336"/>
      <c r="L48" s="336"/>
    </row>
    <row r="49" spans="1:13">
      <c r="A49" s="330">
        <f t="shared" si="3"/>
        <v>32</v>
      </c>
      <c r="D49" s="362" t="s">
        <v>323</v>
      </c>
      <c r="F49" s="336"/>
      <c r="H49" s="361">
        <v>0</v>
      </c>
      <c r="J49" s="359"/>
      <c r="K49" s="336"/>
      <c r="L49" s="336"/>
    </row>
    <row r="50" spans="1:13" ht="15.75">
      <c r="A50" s="330">
        <f t="shared" si="3"/>
        <v>33</v>
      </c>
      <c r="D50" s="333" t="s">
        <v>324</v>
      </c>
      <c r="E50" s="338"/>
      <c r="F50" s="338" t="s">
        <v>930</v>
      </c>
      <c r="H50" s="363">
        <f>IF(SUM(H46:H49)=0,0,AVERAGE(H46:H49))</f>
        <v>0</v>
      </c>
      <c r="J50" s="364"/>
      <c r="K50" s="365"/>
      <c r="L50" s="365"/>
      <c r="M50" s="365"/>
    </row>
    <row r="51" spans="1:13">
      <c r="D51" s="333"/>
      <c r="E51" s="336"/>
      <c r="F51" s="336"/>
      <c r="H51" s="366"/>
      <c r="J51" s="364"/>
      <c r="K51" s="336"/>
      <c r="L51" s="336"/>
    </row>
    <row r="52" spans="1:13">
      <c r="A52" s="330">
        <f>A50+1</f>
        <v>34</v>
      </c>
      <c r="D52" s="333" t="s">
        <v>325</v>
      </c>
      <c r="E52" s="336"/>
      <c r="F52" s="336"/>
      <c r="H52" s="594">
        <f>IF(H24&lt;=0,$H50,MIN($H50,$H43))</f>
        <v>0</v>
      </c>
      <c r="J52" s="364"/>
      <c r="K52" s="336"/>
      <c r="L52" s="336"/>
    </row>
    <row r="53" spans="1:13">
      <c r="D53" s="333"/>
      <c r="E53" s="336"/>
      <c r="F53" s="336"/>
      <c r="H53" s="367"/>
      <c r="I53" s="336"/>
      <c r="J53" s="352"/>
      <c r="K53" s="336"/>
      <c r="L53" s="336"/>
    </row>
    <row r="54" spans="1:13" ht="26.25" customHeight="1" thickBot="1">
      <c r="D54" s="336"/>
      <c r="E54" s="336"/>
      <c r="F54" s="336"/>
      <c r="H54" s="339" t="s">
        <v>326</v>
      </c>
      <c r="J54" s="364"/>
      <c r="K54" s="336"/>
      <c r="L54" s="336"/>
    </row>
    <row r="55" spans="1:13">
      <c r="A55" s="330">
        <f>A52+1</f>
        <v>35</v>
      </c>
      <c r="C55" s="329"/>
      <c r="D55" s="329" t="s">
        <v>929</v>
      </c>
      <c r="H55" s="368">
        <f>ROUND(+H36*12/12,0)</f>
        <v>0</v>
      </c>
      <c r="J55" s="364"/>
      <c r="K55" s="336"/>
    </row>
    <row r="56" spans="1:13">
      <c r="A56" s="330">
        <f>A55+1</f>
        <v>36</v>
      </c>
      <c r="C56" s="329"/>
      <c r="D56" s="329" t="s">
        <v>893</v>
      </c>
      <c r="H56" s="369">
        <f>ROUND(H$52/12*(24)*H55,2)</f>
        <v>0</v>
      </c>
      <c r="I56" s="336"/>
      <c r="J56" s="352"/>
      <c r="K56" s="336"/>
    </row>
    <row r="57" spans="1:13">
      <c r="A57" s="330">
        <f>A56+1</f>
        <v>37</v>
      </c>
      <c r="C57" s="370"/>
      <c r="D57" s="332" t="s">
        <v>609</v>
      </c>
      <c r="E57" s="333"/>
      <c r="G57" s="330"/>
      <c r="H57" s="593">
        <f>SUM(H55:H56)</f>
        <v>0</v>
      </c>
      <c r="I57" s="336"/>
      <c r="J57" s="352"/>
      <c r="K57" s="336"/>
    </row>
    <row r="58" spans="1:13">
      <c r="C58" s="370"/>
      <c r="D58" s="330"/>
      <c r="E58" s="333"/>
      <c r="G58" s="330"/>
      <c r="H58" s="371"/>
      <c r="I58" s="333"/>
      <c r="J58" s="371"/>
    </row>
    <row r="59" spans="1:13">
      <c r="A59" s="330" t="s">
        <v>327</v>
      </c>
    </row>
    <row r="61" spans="1:13" ht="15.75" customHeight="1">
      <c r="A61" s="330" t="s">
        <v>84</v>
      </c>
      <c r="B61" s="871" t="s">
        <v>492</v>
      </c>
      <c r="C61" s="871"/>
      <c r="D61" s="871"/>
      <c r="E61" s="871"/>
      <c r="F61" s="871"/>
      <c r="G61" s="871"/>
      <c r="H61" s="871"/>
    </row>
    <row r="62" spans="1:13">
      <c r="A62" s="330" t="s">
        <v>85</v>
      </c>
      <c r="B62" s="871" t="s">
        <v>493</v>
      </c>
      <c r="C62" s="871"/>
      <c r="D62" s="871"/>
      <c r="E62" s="871"/>
      <c r="F62" s="871"/>
      <c r="G62" s="871"/>
      <c r="H62" s="871"/>
    </row>
    <row r="63" spans="1:13">
      <c r="A63" s="330" t="s">
        <v>86</v>
      </c>
      <c r="B63" s="871" t="s">
        <v>328</v>
      </c>
      <c r="C63" s="871"/>
      <c r="D63" s="871"/>
      <c r="E63" s="871"/>
      <c r="F63" s="871"/>
      <c r="G63" s="871"/>
      <c r="H63" s="871"/>
    </row>
    <row r="64" spans="1:13" ht="27" customHeight="1">
      <c r="A64" s="372" t="s">
        <v>87</v>
      </c>
      <c r="B64" s="872" t="s">
        <v>945</v>
      </c>
      <c r="C64" s="872"/>
      <c r="D64" s="872"/>
      <c r="E64" s="872"/>
      <c r="F64" s="872"/>
      <c r="G64" s="872"/>
      <c r="H64" s="872"/>
    </row>
    <row r="65" spans="1:8" ht="14.25" customHeight="1">
      <c r="A65" s="330" t="s">
        <v>88</v>
      </c>
      <c r="B65" s="871" t="s">
        <v>329</v>
      </c>
      <c r="C65" s="871"/>
      <c r="D65" s="871"/>
      <c r="E65" s="871"/>
      <c r="F65" s="871"/>
      <c r="G65" s="871"/>
      <c r="H65" s="871"/>
    </row>
    <row r="66" spans="1:8" ht="17.25" customHeight="1">
      <c r="A66" s="372"/>
      <c r="B66" s="567"/>
      <c r="C66" s="567"/>
      <c r="D66" s="567"/>
      <c r="E66" s="567"/>
      <c r="F66" s="567"/>
      <c r="G66" s="567"/>
      <c r="H66" s="567"/>
    </row>
    <row r="67" spans="1:8">
      <c r="B67" s="329"/>
    </row>
    <row r="117" spans="3:7" ht="15.75">
      <c r="C117" s="373"/>
      <c r="D117" s="374"/>
      <c r="E117" s="374"/>
      <c r="F117" s="374"/>
      <c r="G117" s="374"/>
    </row>
    <row r="118" spans="3:7" ht="99.75" customHeight="1">
      <c r="C118" s="373"/>
      <c r="D118" s="374"/>
      <c r="E118" s="374"/>
      <c r="F118" s="374"/>
      <c r="G118" s="374"/>
    </row>
    <row r="119" spans="3:7" ht="15.75">
      <c r="C119" s="373"/>
      <c r="D119" s="374"/>
      <c r="E119" s="374"/>
      <c r="F119" s="374"/>
      <c r="G119" s="374"/>
    </row>
    <row r="120" spans="3:7" ht="15.75">
      <c r="C120" s="373"/>
      <c r="D120" s="374"/>
      <c r="E120" s="374"/>
      <c r="F120" s="374"/>
      <c r="G120" s="374"/>
    </row>
    <row r="121" spans="3:7" ht="15.75">
      <c r="C121" s="373"/>
      <c r="D121" s="374"/>
      <c r="E121" s="374"/>
      <c r="F121" s="374"/>
      <c r="G121" s="374"/>
    </row>
    <row r="122" spans="3:7" ht="15.75">
      <c r="C122" s="373"/>
      <c r="D122" s="374"/>
      <c r="E122" s="374"/>
      <c r="F122" s="374"/>
      <c r="G122" s="374"/>
    </row>
    <row r="123" spans="3:7" ht="15.75">
      <c r="C123" s="373"/>
      <c r="D123" s="374"/>
      <c r="E123" s="374"/>
      <c r="F123" s="374"/>
      <c r="G123" s="374"/>
    </row>
    <row r="124" spans="3:7" ht="15.75">
      <c r="C124" s="373"/>
      <c r="D124" s="374"/>
      <c r="E124" s="374"/>
      <c r="F124" s="374"/>
      <c r="G124" s="374"/>
    </row>
    <row r="125" spans="3:7" ht="15.75">
      <c r="C125" s="373"/>
      <c r="D125" s="374"/>
      <c r="E125" s="374"/>
      <c r="F125" s="374"/>
      <c r="G125" s="374"/>
    </row>
    <row r="126" spans="3:7" ht="15.75">
      <c r="C126" s="373"/>
      <c r="D126" s="374"/>
      <c r="E126" s="374"/>
      <c r="F126" s="374"/>
      <c r="G126" s="374"/>
    </row>
    <row r="127" spans="3:7" ht="15.75">
      <c r="C127" s="373"/>
      <c r="D127" s="374"/>
      <c r="E127" s="374"/>
      <c r="F127" s="374"/>
      <c r="G127" s="374"/>
    </row>
    <row r="128" spans="3:7" ht="15.75">
      <c r="C128" s="373"/>
      <c r="D128" s="374"/>
      <c r="E128" s="374"/>
      <c r="F128" s="374"/>
      <c r="G128" s="374"/>
    </row>
    <row r="129" spans="3:7" ht="15.75">
      <c r="C129" s="373"/>
      <c r="D129" s="374"/>
      <c r="E129" s="374"/>
      <c r="F129" s="374"/>
      <c r="G129" s="374"/>
    </row>
    <row r="130" spans="3:7" ht="15.75">
      <c r="C130" s="373"/>
      <c r="D130" s="374"/>
      <c r="E130" s="374"/>
      <c r="F130" s="374"/>
      <c r="G130" s="374"/>
    </row>
    <row r="131" spans="3:7" ht="15.75">
      <c r="C131" s="373"/>
      <c r="D131" s="374"/>
      <c r="E131" s="374"/>
      <c r="F131" s="374"/>
      <c r="G131" s="374"/>
    </row>
    <row r="132" spans="3:7" ht="15.75">
      <c r="C132" s="373"/>
      <c r="D132" s="374"/>
      <c r="E132" s="374"/>
      <c r="F132" s="374"/>
      <c r="G132" s="374"/>
    </row>
    <row r="133" spans="3:7" ht="15.75">
      <c r="C133" s="373"/>
      <c r="D133" s="374"/>
      <c r="E133" s="374"/>
      <c r="F133" s="374"/>
      <c r="G133" s="374"/>
    </row>
    <row r="134" spans="3:7" ht="15.75">
      <c r="C134" s="373"/>
      <c r="D134" s="374"/>
      <c r="E134" s="374"/>
      <c r="F134" s="374"/>
      <c r="G134" s="374"/>
    </row>
    <row r="135" spans="3:7" ht="15.75">
      <c r="C135" s="373"/>
      <c r="D135" s="374"/>
      <c r="E135" s="374"/>
      <c r="F135" s="374"/>
      <c r="G135" s="374"/>
    </row>
    <row r="136" spans="3:7" ht="15.75">
      <c r="C136" s="373"/>
      <c r="D136" s="374"/>
      <c r="E136" s="374"/>
      <c r="F136" s="374"/>
      <c r="G136" s="374"/>
    </row>
    <row r="137" spans="3:7" ht="15.75">
      <c r="C137" s="373"/>
      <c r="D137" s="374"/>
      <c r="E137" s="374"/>
      <c r="F137" s="374"/>
      <c r="G137" s="374"/>
    </row>
    <row r="138" spans="3:7" ht="15.75">
      <c r="C138" s="373"/>
      <c r="D138" s="374"/>
      <c r="E138" s="374"/>
      <c r="F138" s="374"/>
      <c r="G138" s="374"/>
    </row>
    <row r="139" spans="3:7" ht="40.5" customHeight="1">
      <c r="C139" s="373"/>
      <c r="D139" s="374"/>
      <c r="E139" s="374"/>
      <c r="F139" s="374"/>
      <c r="G139" s="374"/>
    </row>
    <row r="140" spans="3:7" ht="15.75">
      <c r="C140" s="373"/>
      <c r="D140" s="374"/>
      <c r="E140" s="374"/>
      <c r="F140" s="374"/>
      <c r="G140" s="374"/>
    </row>
    <row r="235" spans="1:7">
      <c r="A235" s="375"/>
    </row>
    <row r="236" spans="1:7">
      <c r="A236" s="375"/>
    </row>
    <row r="237" spans="1:7">
      <c r="A237" s="375"/>
      <c r="B237" s="375"/>
      <c r="C237" s="375"/>
      <c r="D237" s="376"/>
      <c r="E237" s="376"/>
      <c r="F237" s="376"/>
      <c r="G237" s="376"/>
    </row>
    <row r="238" spans="1:7">
      <c r="A238" s="375"/>
      <c r="B238" s="375"/>
      <c r="C238" s="375"/>
      <c r="D238" s="376"/>
      <c r="E238" s="376"/>
      <c r="F238" s="376"/>
      <c r="G238" s="376"/>
    </row>
    <row r="239" spans="1:7">
      <c r="A239" s="375"/>
      <c r="B239" s="375"/>
      <c r="C239" s="375"/>
      <c r="D239" s="376"/>
      <c r="E239" s="376"/>
      <c r="F239" s="376"/>
      <c r="G239" s="376"/>
    </row>
    <row r="240" spans="1:7">
      <c r="A240" s="375"/>
      <c r="B240" s="375"/>
      <c r="C240" s="375"/>
      <c r="D240" s="376"/>
      <c r="E240" s="376"/>
      <c r="F240" s="376"/>
      <c r="G240" s="376"/>
    </row>
    <row r="241" spans="1:7">
      <c r="A241" s="375"/>
      <c r="B241" s="375"/>
      <c r="C241" s="375"/>
      <c r="D241" s="376"/>
      <c r="E241" s="376"/>
      <c r="F241" s="376"/>
      <c r="G241" s="376"/>
    </row>
    <row r="242" spans="1:7">
      <c r="A242" s="375"/>
      <c r="B242" s="375"/>
      <c r="C242" s="375"/>
      <c r="D242" s="376"/>
      <c r="E242" s="376"/>
      <c r="F242" s="376"/>
      <c r="G242" s="376"/>
    </row>
    <row r="243" spans="1:7">
      <c r="A243" s="375"/>
      <c r="B243" s="375"/>
      <c r="C243" s="375"/>
      <c r="D243" s="376"/>
      <c r="E243" s="376"/>
      <c r="F243" s="376"/>
      <c r="G243" s="376"/>
    </row>
    <row r="244" spans="1:7">
      <c r="B244" s="375"/>
      <c r="C244" s="375"/>
      <c r="D244" s="376"/>
      <c r="E244" s="376"/>
      <c r="F244" s="376"/>
      <c r="G244" s="376"/>
    </row>
    <row r="245" spans="1:7">
      <c r="B245" s="375"/>
      <c r="C245" s="375"/>
      <c r="D245" s="376"/>
      <c r="E245" s="376"/>
      <c r="F245" s="376"/>
      <c r="G245" s="376"/>
    </row>
  </sheetData>
  <mergeCells count="8">
    <mergeCell ref="B63:H63"/>
    <mergeCell ref="B64:H64"/>
    <mergeCell ref="B65:H65"/>
    <mergeCell ref="A1:H1"/>
    <mergeCell ref="A2:H2"/>
    <mergeCell ref="A3:H3"/>
    <mergeCell ref="B61:H61"/>
    <mergeCell ref="B62:H62"/>
  </mergeCells>
  <printOptions horizontalCentered="1"/>
  <pageMargins left="0.75" right="0.75" top="1" bottom="1" header="0.5" footer="0.5"/>
  <pageSetup scale="7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T270"/>
  <sheetViews>
    <sheetView tabSelected="1" zoomScale="80" zoomScaleNormal="80" workbookViewId="0">
      <pane xSplit="1" ySplit="7" topLeftCell="B8" activePane="bottomRight" state="frozen"/>
      <selection pane="topRight" activeCell="B1" sqref="B1"/>
      <selection pane="bottomLeft" activeCell="A8" sqref="A8"/>
      <selection pane="bottomRight" activeCell="B102" sqref="B102"/>
    </sheetView>
  </sheetViews>
  <sheetFormatPr defaultColWidth="8.88671875" defaultRowHeight="12.75"/>
  <cols>
    <col min="1" max="1" width="4.21875" style="132" customWidth="1"/>
    <col min="2" max="2" width="46.44140625" style="132" customWidth="1"/>
    <col min="3" max="3" width="42.21875" style="132" customWidth="1"/>
    <col min="4" max="4" width="14.6640625" style="132" bestFit="1" customWidth="1"/>
    <col min="5" max="5" width="4.77734375" style="132" customWidth="1"/>
    <col min="6" max="6" width="5.33203125" style="132" customWidth="1"/>
    <col min="7" max="7" width="10.6640625" style="132" customWidth="1"/>
    <col min="8" max="8" width="3.6640625" style="132" customWidth="1"/>
    <col min="9" max="9" width="12.44140625" style="132" customWidth="1"/>
    <col min="10" max="10" width="1.44140625" style="132" customWidth="1"/>
    <col min="11" max="11" width="10" style="166" customWidth="1"/>
    <col min="12" max="12" width="8.88671875" style="132"/>
    <col min="13" max="14" width="10.88671875" style="132" customWidth="1"/>
    <col min="15" max="16" width="8.88671875" style="132"/>
    <col min="17" max="17" width="10.33203125" style="132" customWidth="1"/>
    <col min="18" max="18" width="8.88671875" style="132"/>
    <col min="19" max="19" width="10.21875" style="132" customWidth="1"/>
    <col min="20" max="16384" width="8.88671875" style="132"/>
  </cols>
  <sheetData>
    <row r="1" spans="1:11">
      <c r="B1" s="133"/>
      <c r="C1" s="133"/>
      <c r="D1" s="134"/>
      <c r="E1" s="133"/>
      <c r="F1" s="133"/>
      <c r="G1" s="133"/>
      <c r="H1" s="90"/>
      <c r="I1" s="833" t="s">
        <v>534</v>
      </c>
      <c r="J1" s="833"/>
      <c r="K1" s="833"/>
    </row>
    <row r="2" spans="1:11">
      <c r="B2" s="133"/>
      <c r="C2" s="133"/>
      <c r="D2" s="134"/>
      <c r="E2" s="133"/>
      <c r="F2" s="133"/>
      <c r="G2" s="133"/>
      <c r="H2" s="90"/>
      <c r="I2" s="90"/>
      <c r="J2" s="832" t="s">
        <v>261</v>
      </c>
      <c r="K2" s="832"/>
    </row>
    <row r="3" spans="1:11">
      <c r="B3" s="133"/>
      <c r="C3" s="133"/>
      <c r="D3" s="134"/>
      <c r="E3" s="133"/>
      <c r="F3" s="133"/>
      <c r="G3" s="133"/>
      <c r="H3" s="90"/>
      <c r="I3" s="90"/>
      <c r="J3" s="90"/>
      <c r="K3" s="809"/>
    </row>
    <row r="4" spans="1:11">
      <c r="B4" s="134" t="s">
        <v>0</v>
      </c>
      <c r="C4" s="102" t="s">
        <v>131</v>
      </c>
      <c r="E4" s="133"/>
      <c r="F4" s="133"/>
      <c r="G4" s="133"/>
      <c r="H4" s="90"/>
      <c r="I4" s="90"/>
      <c r="J4" s="90"/>
      <c r="K4" s="136" t="s">
        <v>1044</v>
      </c>
    </row>
    <row r="5" spans="1:11">
      <c r="B5" s="133"/>
      <c r="C5" s="138" t="s">
        <v>132</v>
      </c>
      <c r="E5" s="137"/>
      <c r="F5" s="137"/>
      <c r="G5" s="137"/>
      <c r="H5" s="90"/>
      <c r="I5" s="90"/>
      <c r="J5" s="90"/>
      <c r="K5" s="89"/>
    </row>
    <row r="6" spans="1:11">
      <c r="B6" s="133"/>
      <c r="C6" s="137"/>
      <c r="D6" s="137"/>
      <c r="E6" s="137"/>
      <c r="F6" s="137"/>
      <c r="G6" s="137"/>
      <c r="H6" s="90"/>
      <c r="I6" s="90"/>
      <c r="J6" s="90"/>
      <c r="K6" s="89"/>
    </row>
    <row r="7" spans="1:11">
      <c r="B7" s="133"/>
      <c r="C7" s="139" t="s">
        <v>139</v>
      </c>
      <c r="E7" s="137"/>
      <c r="F7" s="137"/>
      <c r="G7" s="137"/>
      <c r="H7" s="137"/>
      <c r="I7" s="137"/>
      <c r="J7" s="137"/>
      <c r="K7" s="140"/>
    </row>
    <row r="8" spans="1:11">
      <c r="A8" s="102" t="s">
        <v>4</v>
      </c>
      <c r="B8" s="90"/>
      <c r="C8" s="90"/>
      <c r="D8" s="141"/>
      <c r="E8" s="90"/>
      <c r="F8" s="90"/>
      <c r="G8" s="90"/>
      <c r="H8" s="90"/>
      <c r="I8" s="102" t="s">
        <v>5</v>
      </c>
      <c r="J8" s="90"/>
      <c r="K8" s="89"/>
    </row>
    <row r="9" spans="1:11" ht="13.5" thickBot="1">
      <c r="A9" s="810" t="s">
        <v>6</v>
      </c>
      <c r="B9" s="90"/>
      <c r="C9" s="90"/>
      <c r="D9" s="90"/>
      <c r="E9" s="90"/>
      <c r="F9" s="90"/>
      <c r="G9" s="90"/>
      <c r="H9" s="90"/>
      <c r="I9" s="810" t="s">
        <v>7</v>
      </c>
      <c r="J9" s="90"/>
      <c r="K9" s="89"/>
    </row>
    <row r="10" spans="1:11">
      <c r="A10" s="102">
        <v>1</v>
      </c>
      <c r="B10" s="90" t="s">
        <v>134</v>
      </c>
      <c r="C10" s="90"/>
      <c r="D10" s="143"/>
      <c r="E10" s="90"/>
      <c r="F10" s="90"/>
      <c r="G10" s="90"/>
      <c r="H10" s="90"/>
      <c r="I10" s="144">
        <f>'Proj Att-H'!I150</f>
        <v>6836355.3117796406</v>
      </c>
      <c r="J10" s="90"/>
      <c r="K10" s="89"/>
    </row>
    <row r="11" spans="1:11">
      <c r="A11" s="102"/>
      <c r="B11" s="90"/>
      <c r="C11" s="90"/>
      <c r="D11" s="90"/>
      <c r="E11" s="90"/>
      <c r="F11" s="90"/>
      <c r="G11" s="90"/>
      <c r="H11" s="90"/>
      <c r="I11" s="143"/>
      <c r="J11" s="90"/>
      <c r="K11" s="89"/>
    </row>
    <row r="12" spans="1:11" ht="13.5" thickBot="1">
      <c r="A12" s="102" t="s">
        <v>2</v>
      </c>
      <c r="B12" s="133" t="s">
        <v>8</v>
      </c>
      <c r="C12" s="140"/>
      <c r="D12" s="810" t="s">
        <v>9</v>
      </c>
      <c r="E12" s="137"/>
      <c r="F12" s="145" t="s">
        <v>10</v>
      </c>
      <c r="G12" s="145"/>
      <c r="H12" s="90"/>
      <c r="I12" s="143"/>
      <c r="J12" s="90"/>
      <c r="K12" s="89"/>
    </row>
    <row r="13" spans="1:11">
      <c r="A13" s="102">
        <v>2</v>
      </c>
      <c r="B13" s="133" t="s">
        <v>12</v>
      </c>
      <c r="C13" s="137" t="s">
        <v>1033</v>
      </c>
      <c r="D13" s="236">
        <f>'Act Att-H'!D13</f>
        <v>922124</v>
      </c>
      <c r="E13" s="137"/>
      <c r="F13" s="137"/>
      <c r="G13" s="146">
        <v>1</v>
      </c>
      <c r="H13" s="137"/>
      <c r="I13" s="77">
        <f>+G13*D13</f>
        <v>922124</v>
      </c>
      <c r="J13" s="90"/>
      <c r="K13" s="89"/>
    </row>
    <row r="14" spans="1:11">
      <c r="A14" s="102">
        <v>3</v>
      </c>
      <c r="B14" s="133" t="s">
        <v>119</v>
      </c>
      <c r="C14" s="137" t="s">
        <v>1034</v>
      </c>
      <c r="D14" s="236">
        <f>'Act Att-H'!D14</f>
        <v>369695</v>
      </c>
      <c r="E14" s="137"/>
      <c r="F14" s="147"/>
      <c r="G14" s="146">
        <v>1</v>
      </c>
      <c r="H14" s="137"/>
      <c r="I14" s="77">
        <f>+G14*D14</f>
        <v>369695</v>
      </c>
      <c r="J14" s="90"/>
      <c r="K14" s="89"/>
    </row>
    <row r="15" spans="1:11">
      <c r="A15" s="102">
        <v>4</v>
      </c>
      <c r="B15" s="7" t="s">
        <v>625</v>
      </c>
      <c r="C15" s="7"/>
      <c r="D15" s="239"/>
      <c r="E15" s="140"/>
      <c r="F15" s="179"/>
      <c r="G15" s="240"/>
      <c r="H15" s="137"/>
      <c r="I15" s="77"/>
      <c r="J15" s="90"/>
      <c r="K15" s="89"/>
    </row>
    <row r="16" spans="1:11" ht="13.5" thickBot="1">
      <c r="A16" s="102">
        <v>5</v>
      </c>
      <c r="B16" s="7" t="s">
        <v>625</v>
      </c>
      <c r="C16" s="7"/>
      <c r="D16" s="239"/>
      <c r="E16" s="140"/>
      <c r="F16" s="179"/>
      <c r="G16" s="240"/>
      <c r="H16" s="137"/>
      <c r="I16" s="78"/>
      <c r="J16" s="90"/>
      <c r="K16" s="89"/>
    </row>
    <row r="17" spans="1:11">
      <c r="A17" s="102">
        <v>6</v>
      </c>
      <c r="B17" s="133" t="s">
        <v>97</v>
      </c>
      <c r="C17" s="90"/>
      <c r="D17" s="149" t="s">
        <v>2</v>
      </c>
      <c r="E17" s="137"/>
      <c r="F17" s="137"/>
      <c r="G17" s="150"/>
      <c r="H17" s="137"/>
      <c r="I17" s="77">
        <f>SUM(I13:I16)</f>
        <v>1291819</v>
      </c>
      <c r="J17" s="90"/>
      <c r="K17" s="89"/>
    </row>
    <row r="18" spans="1:11">
      <c r="A18" s="102"/>
      <c r="B18" s="133"/>
      <c r="C18" s="90"/>
      <c r="I18" s="77"/>
      <c r="J18" s="90"/>
      <c r="K18" s="89"/>
    </row>
    <row r="19" spans="1:11">
      <c r="A19" s="102" t="s">
        <v>135</v>
      </c>
      <c r="B19" s="133" t="s">
        <v>172</v>
      </c>
      <c r="C19" s="90" t="s">
        <v>1036</v>
      </c>
      <c r="I19" s="236">
        <f>'TU-TrueUp'!H57</f>
        <v>0</v>
      </c>
      <c r="J19" s="90"/>
      <c r="K19" s="89"/>
    </row>
    <row r="20" spans="1:11">
      <c r="A20" s="102"/>
      <c r="B20" s="133"/>
      <c r="C20" s="90"/>
      <c r="I20" s="137"/>
      <c r="J20" s="90"/>
      <c r="K20" s="89"/>
    </row>
    <row r="21" spans="1:11" ht="13.5" thickBot="1">
      <c r="A21" s="102">
        <v>7</v>
      </c>
      <c r="B21" s="133" t="s">
        <v>13</v>
      </c>
      <c r="C21" s="90" t="s">
        <v>173</v>
      </c>
      <c r="D21" s="149"/>
      <c r="E21" s="137"/>
      <c r="F21" s="137"/>
      <c r="G21" s="137"/>
      <c r="H21" s="137"/>
      <c r="I21" s="151">
        <f>I10-I17+I19</f>
        <v>5544536.3117796406</v>
      </c>
      <c r="J21" s="90"/>
      <c r="K21" s="89"/>
    </row>
    <row r="22" spans="1:11" ht="13.5" thickTop="1">
      <c r="A22" s="102"/>
      <c r="B22" s="133"/>
      <c r="C22" s="90"/>
      <c r="D22" s="149"/>
      <c r="E22" s="137"/>
      <c r="F22" s="137"/>
      <c r="G22" s="137"/>
      <c r="H22" s="137"/>
      <c r="I22" s="552"/>
      <c r="J22" s="90"/>
      <c r="K22" s="89"/>
    </row>
    <row r="23" spans="1:11">
      <c r="A23" s="102" t="s">
        <v>866</v>
      </c>
      <c r="B23" s="133" t="s">
        <v>867</v>
      </c>
      <c r="C23" s="90" t="s">
        <v>868</v>
      </c>
      <c r="D23" s="149"/>
      <c r="E23" s="137"/>
      <c r="F23" s="137"/>
      <c r="G23" s="137"/>
      <c r="H23" s="137"/>
      <c r="I23" s="152">
        <f>I21-I19</f>
        <v>5544536.3117796406</v>
      </c>
      <c r="J23" s="90"/>
      <c r="K23" s="89"/>
    </row>
    <row r="24" spans="1:11">
      <c r="A24" s="102"/>
      <c r="C24" s="90"/>
      <c r="D24" s="149"/>
      <c r="E24" s="137"/>
      <c r="F24" s="137"/>
      <c r="G24" s="137"/>
      <c r="H24" s="137"/>
      <c r="J24" s="90"/>
      <c r="K24" s="89"/>
    </row>
    <row r="25" spans="1:11">
      <c r="A25" s="102"/>
      <c r="B25" s="133" t="s">
        <v>14</v>
      </c>
      <c r="C25" s="90"/>
      <c r="D25" s="143"/>
      <c r="E25" s="90"/>
      <c r="F25" s="90"/>
      <c r="G25" s="90"/>
      <c r="H25" s="90"/>
      <c r="I25" s="143"/>
      <c r="J25" s="90"/>
      <c r="K25" s="89"/>
    </row>
    <row r="26" spans="1:11">
      <c r="A26" s="102">
        <v>8</v>
      </c>
      <c r="B26" s="133" t="s">
        <v>277</v>
      </c>
      <c r="C26" s="132" t="s">
        <v>1035</v>
      </c>
      <c r="D26" s="143"/>
      <c r="E26" s="90"/>
      <c r="F26" s="90"/>
      <c r="G26" s="89"/>
      <c r="H26" s="90"/>
      <c r="I26" s="236">
        <f>'P3-Divisor'!G24</f>
        <v>239282.9436287838</v>
      </c>
      <c r="J26" s="90"/>
      <c r="K26" s="89"/>
    </row>
    <row r="27" spans="1:11">
      <c r="A27" s="102">
        <v>9</v>
      </c>
      <c r="B27" s="133"/>
      <c r="C27" s="137"/>
      <c r="D27" s="137"/>
      <c r="E27" s="137"/>
      <c r="F27" s="137"/>
      <c r="G27" s="140"/>
      <c r="H27" s="137"/>
      <c r="I27" s="137"/>
      <c r="J27" s="90"/>
      <c r="K27" s="89"/>
    </row>
    <row r="28" spans="1:11">
      <c r="A28" s="102">
        <v>10</v>
      </c>
      <c r="B28" s="153" t="s">
        <v>275</v>
      </c>
      <c r="C28" s="153"/>
      <c r="D28" s="153"/>
      <c r="E28" s="153"/>
      <c r="F28" s="153"/>
      <c r="G28" s="153"/>
      <c r="H28" s="153"/>
      <c r="I28" s="153"/>
      <c r="J28" s="153"/>
      <c r="K28" s="89"/>
    </row>
    <row r="29" spans="1:11">
      <c r="A29" s="102">
        <v>11</v>
      </c>
      <c r="B29" s="133" t="s">
        <v>278</v>
      </c>
      <c r="C29" s="133"/>
      <c r="D29" s="792">
        <f>ROUND(I21/I26,2)</f>
        <v>23.17</v>
      </c>
      <c r="E29" s="133" t="s">
        <v>266</v>
      </c>
      <c r="F29" s="153"/>
      <c r="G29" s="153"/>
      <c r="H29" s="153"/>
      <c r="I29" s="153"/>
      <c r="J29" s="153"/>
      <c r="K29" s="89"/>
    </row>
    <row r="30" spans="1:11">
      <c r="A30" s="102">
        <v>12</v>
      </c>
      <c r="B30" s="133" t="s">
        <v>279</v>
      </c>
      <c r="C30" s="133" t="s">
        <v>898</v>
      </c>
      <c r="D30" s="792">
        <f>ROUND(D29/12,2)</f>
        <v>1.93</v>
      </c>
      <c r="E30" s="133" t="s">
        <v>267</v>
      </c>
      <c r="F30" s="153"/>
      <c r="G30" s="153"/>
      <c r="H30" s="153"/>
      <c r="I30" s="153"/>
      <c r="J30" s="153"/>
      <c r="K30" s="89"/>
    </row>
    <row r="31" spans="1:11">
      <c r="A31" s="102">
        <v>13</v>
      </c>
      <c r="B31" s="133" t="s">
        <v>280</v>
      </c>
      <c r="C31" s="133" t="s">
        <v>899</v>
      </c>
      <c r="D31" s="792">
        <f>ROUND(D29/52,2)</f>
        <v>0.45</v>
      </c>
      <c r="E31" s="133" t="s">
        <v>268</v>
      </c>
      <c r="F31" s="153"/>
      <c r="G31" s="153"/>
      <c r="H31" s="153"/>
      <c r="I31" s="153"/>
      <c r="J31" s="153"/>
      <c r="K31" s="89"/>
    </row>
    <row r="32" spans="1:11">
      <c r="A32" s="102">
        <v>14</v>
      </c>
      <c r="B32" s="133" t="s">
        <v>281</v>
      </c>
      <c r="C32" s="133" t="s">
        <v>269</v>
      </c>
      <c r="D32" s="793">
        <f>+D31/6</f>
        <v>7.4999999999999997E-2</v>
      </c>
      <c r="E32" s="133" t="s">
        <v>270</v>
      </c>
      <c r="F32" s="153"/>
      <c r="G32" s="153"/>
      <c r="H32" s="153"/>
      <c r="I32" s="153"/>
      <c r="J32" s="153"/>
      <c r="K32" s="89"/>
    </row>
    <row r="33" spans="1:11">
      <c r="A33" s="102">
        <v>15</v>
      </c>
      <c r="B33" s="133" t="s">
        <v>282</v>
      </c>
      <c r="C33" s="133" t="s">
        <v>271</v>
      </c>
      <c r="D33" s="793">
        <f>+D31/7</f>
        <v>6.4285714285714293E-2</v>
      </c>
      <c r="E33" s="133" t="s">
        <v>270</v>
      </c>
      <c r="F33" s="153"/>
      <c r="G33" s="153"/>
      <c r="H33" s="153"/>
      <c r="I33" s="153"/>
      <c r="J33" s="153"/>
      <c r="K33" s="89"/>
    </row>
    <row r="34" spans="1:11">
      <c r="A34" s="102">
        <v>16</v>
      </c>
      <c r="B34" s="133" t="s">
        <v>283</v>
      </c>
      <c r="C34" s="133" t="s">
        <v>272</v>
      </c>
      <c r="D34" s="792">
        <f>+D32/16*1000</f>
        <v>4.6875</v>
      </c>
      <c r="E34" s="133" t="s">
        <v>1018</v>
      </c>
      <c r="F34" s="153"/>
      <c r="G34" s="153"/>
      <c r="H34" s="153"/>
      <c r="I34" s="153"/>
      <c r="J34" s="153"/>
      <c r="K34" s="89"/>
    </row>
    <row r="35" spans="1:11">
      <c r="A35" s="102">
        <v>17</v>
      </c>
      <c r="B35" s="133" t="s">
        <v>284</v>
      </c>
      <c r="C35" s="133" t="s">
        <v>273</v>
      </c>
      <c r="D35" s="792">
        <f>+D33/24*1000</f>
        <v>2.6785714285714288</v>
      </c>
      <c r="E35" s="133" t="s">
        <v>1018</v>
      </c>
      <c r="F35" s="153"/>
      <c r="G35" s="153"/>
      <c r="H35" s="153"/>
      <c r="I35" s="153"/>
      <c r="J35" s="153"/>
      <c r="K35" s="89"/>
    </row>
    <row r="36" spans="1:11">
      <c r="B36" s="133"/>
      <c r="C36" s="133"/>
      <c r="D36" s="134"/>
      <c r="E36" s="133"/>
      <c r="F36" s="133"/>
      <c r="G36" s="133"/>
      <c r="H36" s="90"/>
      <c r="I36" s="833" t="str">
        <f>I1</f>
        <v>Projected Attachment H</v>
      </c>
      <c r="J36" s="833"/>
      <c r="K36" s="833"/>
    </row>
    <row r="37" spans="1:11">
      <c r="B37" s="133"/>
      <c r="C37" s="133"/>
      <c r="D37" s="134"/>
      <c r="E37" s="133"/>
      <c r="F37" s="133"/>
      <c r="G37" s="133"/>
      <c r="H37" s="90"/>
      <c r="I37" s="90"/>
      <c r="J37" s="832" t="s">
        <v>262</v>
      </c>
      <c r="K37" s="832"/>
    </row>
    <row r="38" spans="1:11">
      <c r="B38" s="133"/>
      <c r="C38" s="133"/>
      <c r="D38" s="134"/>
      <c r="E38" s="133"/>
      <c r="F38" s="133"/>
      <c r="G38" s="133"/>
      <c r="H38" s="90"/>
      <c r="I38" s="90"/>
      <c r="J38" s="90"/>
      <c r="K38" s="809"/>
    </row>
    <row r="39" spans="1:11">
      <c r="B39" s="134" t="s">
        <v>0</v>
      </c>
      <c r="C39" s="102" t="s">
        <v>1</v>
      </c>
      <c r="E39" s="133"/>
      <c r="F39" s="133"/>
      <c r="G39" s="133"/>
      <c r="H39" s="90"/>
      <c r="I39" s="90"/>
      <c r="J39" s="90"/>
      <c r="K39" s="811" t="str">
        <f>K4</f>
        <v>Estimated - For the 12 months ended 12/31/2020</v>
      </c>
    </row>
    <row r="40" spans="1:11">
      <c r="B40" s="133"/>
      <c r="C40" s="138" t="s">
        <v>3</v>
      </c>
      <c r="E40" s="137"/>
      <c r="F40" s="137"/>
      <c r="G40" s="137"/>
      <c r="H40" s="90"/>
      <c r="I40" s="90"/>
      <c r="J40" s="90"/>
      <c r="K40" s="89"/>
    </row>
    <row r="41" spans="1:11">
      <c r="B41" s="133"/>
      <c r="C41" s="137"/>
      <c r="E41" s="137"/>
      <c r="F41" s="137"/>
      <c r="G41" s="137"/>
      <c r="H41" s="90"/>
      <c r="I41" s="90"/>
      <c r="J41" s="90"/>
      <c r="K41" s="89"/>
    </row>
    <row r="42" spans="1:11">
      <c r="A42" s="102"/>
      <c r="C42" s="155" t="str">
        <f>C7</f>
        <v>Cheyenne Light, Fuel &amp; Power</v>
      </c>
      <c r="J42" s="137"/>
      <c r="K42" s="140"/>
    </row>
    <row r="43" spans="1:11">
      <c r="B43" s="133"/>
      <c r="C43" s="133"/>
      <c r="D43" s="133"/>
      <c r="E43" s="133"/>
      <c r="F43" s="90"/>
      <c r="G43" s="90"/>
      <c r="H43" s="90"/>
      <c r="J43" s="90"/>
      <c r="K43" s="89"/>
    </row>
    <row r="44" spans="1:11">
      <c r="B44" s="102" t="s">
        <v>15</v>
      </c>
      <c r="C44" s="102" t="s">
        <v>16</v>
      </c>
      <c r="D44" s="102" t="s">
        <v>17</v>
      </c>
      <c r="E44" s="137" t="s">
        <v>2</v>
      </c>
      <c r="F44" s="137"/>
      <c r="G44" s="156" t="s">
        <v>18</v>
      </c>
      <c r="H44" s="137"/>
      <c r="I44" s="157" t="s">
        <v>19</v>
      </c>
      <c r="J44" s="137"/>
      <c r="K44" s="158"/>
    </row>
    <row r="45" spans="1:11">
      <c r="B45" s="133"/>
      <c r="C45" s="159" t="s">
        <v>20</v>
      </c>
      <c r="D45" s="137"/>
      <c r="E45" s="137"/>
      <c r="F45" s="137"/>
      <c r="G45" s="102"/>
      <c r="H45" s="137"/>
      <c r="I45" s="160" t="s">
        <v>21</v>
      </c>
      <c r="J45" s="137"/>
      <c r="K45" s="158"/>
    </row>
    <row r="46" spans="1:11">
      <c r="A46" s="102" t="s">
        <v>4</v>
      </c>
      <c r="B46" s="133"/>
      <c r="C46" s="161" t="s">
        <v>22</v>
      </c>
      <c r="D46" s="160" t="s">
        <v>23</v>
      </c>
      <c r="E46" s="162"/>
      <c r="F46" s="160" t="s">
        <v>24</v>
      </c>
      <c r="H46" s="162"/>
      <c r="I46" s="102" t="s">
        <v>25</v>
      </c>
      <c r="J46" s="137"/>
      <c r="K46" s="158"/>
    </row>
    <row r="47" spans="1:11" ht="13.5" thickBot="1">
      <c r="A47" s="810" t="s">
        <v>6</v>
      </c>
      <c r="B47" s="163" t="s">
        <v>629</v>
      </c>
      <c r="C47" s="137"/>
      <c r="D47" s="137"/>
      <c r="E47" s="137"/>
      <c r="F47" s="137"/>
      <c r="G47" s="137"/>
      <c r="H47" s="137"/>
      <c r="I47" s="137"/>
      <c r="J47" s="137"/>
      <c r="K47" s="140"/>
    </row>
    <row r="48" spans="1:11">
      <c r="A48" s="102"/>
      <c r="B48" s="133" t="s">
        <v>703</v>
      </c>
      <c r="C48" s="137"/>
      <c r="D48" s="137"/>
      <c r="E48" s="137"/>
      <c r="F48" s="137"/>
      <c r="G48" s="137"/>
      <c r="H48" s="137"/>
      <c r="I48" s="137"/>
      <c r="J48" s="137"/>
      <c r="K48" s="140"/>
    </row>
    <row r="49" spans="1:15">
      <c r="A49" s="158">
        <v>1</v>
      </c>
      <c r="B49" s="133" t="s">
        <v>28</v>
      </c>
      <c r="C49" s="81" t="s">
        <v>712</v>
      </c>
      <c r="D49" s="385">
        <f>'P1-Trans Plant'!H44</f>
        <v>48505661.230769232</v>
      </c>
      <c r="E49" s="140"/>
      <c r="F49" s="137" t="s">
        <v>11</v>
      </c>
      <c r="G49" s="165">
        <f>$I$169</f>
        <v>1</v>
      </c>
      <c r="H49" s="137"/>
      <c r="I49" s="77">
        <f>+G49*D49</f>
        <v>48505661.230769232</v>
      </c>
      <c r="J49" s="137"/>
      <c r="K49" s="140"/>
      <c r="M49" s="166"/>
      <c r="N49" s="166"/>
      <c r="O49" s="166"/>
    </row>
    <row r="50" spans="1:15">
      <c r="A50" s="158">
        <v>2</v>
      </c>
      <c r="B50" s="133" t="s">
        <v>30</v>
      </c>
      <c r="C50" s="133" t="s">
        <v>883</v>
      </c>
      <c r="D50" s="385">
        <f>'A4-Rate Base'!F22</f>
        <v>7174826</v>
      </c>
      <c r="E50" s="137"/>
      <c r="F50" s="137" t="s">
        <v>31</v>
      </c>
      <c r="G50" s="165">
        <f>$I$186</f>
        <v>8.4955471613637312E-2</v>
      </c>
      <c r="H50" s="137"/>
      <c r="I50" s="77">
        <f>+G50*D50</f>
        <v>609540.72657578695</v>
      </c>
      <c r="J50" s="137"/>
      <c r="K50" s="140"/>
    </row>
    <row r="51" spans="1:15">
      <c r="A51" s="158">
        <v>3</v>
      </c>
      <c r="B51" s="133" t="s">
        <v>403</v>
      </c>
      <c r="C51" s="251" t="s">
        <v>684</v>
      </c>
      <c r="D51" s="815">
        <f>SUM(D49:D50)</f>
        <v>55680487.230769232</v>
      </c>
      <c r="E51" s="137"/>
      <c r="F51" s="137" t="s">
        <v>39</v>
      </c>
      <c r="G51" s="165">
        <f>$G$232</f>
        <v>8.9150344632179815E-2</v>
      </c>
      <c r="H51" s="137"/>
      <c r="I51" s="249">
        <f>SUM(I49:I50)</f>
        <v>49115201.957345016</v>
      </c>
      <c r="J51" s="137"/>
      <c r="K51" s="168"/>
    </row>
    <row r="52" spans="1:15">
      <c r="A52" s="166"/>
      <c r="B52" s="133"/>
      <c r="C52" s="140"/>
      <c r="D52" s="137"/>
      <c r="E52" s="137"/>
      <c r="F52" s="137"/>
      <c r="G52" s="165"/>
      <c r="H52" s="137"/>
      <c r="I52" s="70"/>
      <c r="J52" s="137"/>
      <c r="K52" s="168"/>
    </row>
    <row r="53" spans="1:15">
      <c r="A53" s="166"/>
      <c r="B53" s="133" t="s">
        <v>704</v>
      </c>
      <c r="C53" s="140"/>
      <c r="D53" s="137"/>
      <c r="E53" s="137"/>
      <c r="F53" s="137"/>
      <c r="G53" s="165"/>
      <c r="H53" s="137"/>
      <c r="I53" s="137"/>
      <c r="J53" s="137"/>
      <c r="K53" s="140"/>
    </row>
    <row r="54" spans="1:15">
      <c r="A54" s="158">
        <v>4</v>
      </c>
      <c r="B54" s="170" t="str">
        <f>+B49</f>
        <v xml:space="preserve">  Transmission</v>
      </c>
      <c r="C54" s="81" t="s">
        <v>713</v>
      </c>
      <c r="D54" s="385">
        <f>'P1-Trans Plant'!J44</f>
        <v>7751378.2883971017</v>
      </c>
      <c r="E54" s="137"/>
      <c r="F54" s="147" t="str">
        <f>+F49</f>
        <v>TP</v>
      </c>
      <c r="G54" s="165">
        <f>$I$169</f>
        <v>1</v>
      </c>
      <c r="H54" s="137"/>
      <c r="I54" s="77">
        <f>+G54*D54</f>
        <v>7751378.2883971017</v>
      </c>
      <c r="J54" s="137"/>
      <c r="K54" s="140"/>
    </row>
    <row r="55" spans="1:15">
      <c r="A55" s="158">
        <v>5</v>
      </c>
      <c r="B55" s="170" t="str">
        <f>+B50</f>
        <v xml:space="preserve">  General &amp; Intangible</v>
      </c>
      <c r="C55" s="133" t="s">
        <v>884</v>
      </c>
      <c r="D55" s="385">
        <f>'A4-Rate Base'!H45</f>
        <v>2875173</v>
      </c>
      <c r="E55" s="137"/>
      <c r="F55" s="147" t="str">
        <f>+F50</f>
        <v>W/S</v>
      </c>
      <c r="G55" s="165">
        <f>$I$186</f>
        <v>8.4955471613637312E-2</v>
      </c>
      <c r="H55" s="137"/>
      <c r="I55" s="77">
        <f>+G55*D55</f>
        <v>244261.67818579642</v>
      </c>
      <c r="J55" s="137"/>
      <c r="K55" s="140"/>
    </row>
    <row r="56" spans="1:15">
      <c r="A56" s="158">
        <v>6</v>
      </c>
      <c r="B56" s="133" t="s">
        <v>405</v>
      </c>
      <c r="C56" s="251" t="s">
        <v>684</v>
      </c>
      <c r="D56" s="815">
        <f>SUM(D54:D55)</f>
        <v>10626551.288397102</v>
      </c>
      <c r="E56" s="137"/>
      <c r="F56" s="137"/>
      <c r="G56" s="165"/>
      <c r="H56" s="137"/>
      <c r="I56" s="249">
        <f>SUM(I54:I55)</f>
        <v>7995639.9665828981</v>
      </c>
      <c r="J56" s="137"/>
      <c r="K56" s="140"/>
    </row>
    <row r="57" spans="1:15">
      <c r="A57" s="158"/>
      <c r="C57" s="137" t="s">
        <v>2</v>
      </c>
      <c r="E57" s="137"/>
      <c r="F57" s="137"/>
      <c r="G57" s="165"/>
      <c r="H57" s="137"/>
      <c r="J57" s="137"/>
      <c r="K57" s="168"/>
    </row>
    <row r="58" spans="1:15">
      <c r="A58" s="158"/>
      <c r="B58" s="133" t="s">
        <v>153</v>
      </c>
      <c r="C58" s="137"/>
      <c r="D58" s="137"/>
      <c r="E58" s="137"/>
      <c r="F58" s="137"/>
      <c r="G58" s="165"/>
      <c r="H58" s="137"/>
      <c r="I58" s="137"/>
      <c r="J58" s="137"/>
      <c r="K58" s="140"/>
    </row>
    <row r="59" spans="1:15">
      <c r="A59" s="158">
        <v>7</v>
      </c>
      <c r="B59" s="170" t="str">
        <f>+B54</f>
        <v xml:space="preserve">  Transmission</v>
      </c>
      <c r="C59" s="63" t="s">
        <v>687</v>
      </c>
      <c r="D59" s="816">
        <f>D49-D54</f>
        <v>40754282.942372128</v>
      </c>
      <c r="E59" s="137"/>
      <c r="F59" s="137"/>
      <c r="G59" s="165"/>
      <c r="H59" s="137"/>
      <c r="I59" s="77">
        <f>I49-I54</f>
        <v>40754282.942372128</v>
      </c>
      <c r="J59" s="137"/>
      <c r="K59" s="168"/>
    </row>
    <row r="60" spans="1:15">
      <c r="A60" s="158">
        <v>8</v>
      </c>
      <c r="B60" s="170" t="str">
        <f>+B55</f>
        <v xml:space="preserve">  General &amp; Intangible</v>
      </c>
      <c r="C60" s="63" t="s">
        <v>686</v>
      </c>
      <c r="D60" s="816">
        <f>D50-D55</f>
        <v>4299653</v>
      </c>
      <c r="E60" s="137"/>
      <c r="F60" s="137"/>
      <c r="G60" s="165"/>
      <c r="H60" s="137"/>
      <c r="I60" s="77">
        <f>I50-I55</f>
        <v>365279.04838999052</v>
      </c>
      <c r="J60" s="137"/>
      <c r="K60" s="168"/>
    </row>
    <row r="61" spans="1:15">
      <c r="A61" s="158">
        <v>9</v>
      </c>
      <c r="B61" s="133" t="s">
        <v>407</v>
      </c>
      <c r="C61" s="251" t="s">
        <v>685</v>
      </c>
      <c r="D61" s="817">
        <f>SUM(D59:D60)</f>
        <v>45053935.942372128</v>
      </c>
      <c r="E61" s="137"/>
      <c r="F61" s="137" t="s">
        <v>35</v>
      </c>
      <c r="G61" s="165">
        <f>$G$240</f>
        <v>9.5672868962500324E-2</v>
      </c>
      <c r="H61" s="137"/>
      <c r="I61" s="249">
        <f>SUM(I59:I60)</f>
        <v>41119561.990762122</v>
      </c>
      <c r="J61" s="137"/>
      <c r="K61" s="140"/>
    </row>
    <row r="62" spans="1:15" s="2" customFormat="1">
      <c r="A62" s="250"/>
      <c r="B62" s="65"/>
      <c r="C62" s="63"/>
      <c r="D62" s="66"/>
      <c r="E62" s="62"/>
      <c r="F62" s="62"/>
      <c r="G62" s="165"/>
      <c r="H62" s="62"/>
      <c r="I62" s="77"/>
      <c r="J62" s="63"/>
      <c r="K62" s="63"/>
    </row>
    <row r="63" spans="1:15" s="2" customFormat="1">
      <c r="A63" s="250">
        <v>10</v>
      </c>
      <c r="B63" s="68" t="s">
        <v>409</v>
      </c>
      <c r="C63" s="69"/>
      <c r="D63" s="385">
        <f>'A4-Rate Base'!H23</f>
        <v>0</v>
      </c>
      <c r="E63" s="71"/>
      <c r="F63" s="72" t="str">
        <f>+F71</f>
        <v>DA</v>
      </c>
      <c r="G63" s="165">
        <v>1</v>
      </c>
      <c r="H63" s="71"/>
      <c r="I63" s="74">
        <f>+G63*D63</f>
        <v>0</v>
      </c>
      <c r="J63" s="63"/>
      <c r="K63" s="63"/>
    </row>
    <row r="64" spans="1:15" s="2" customFormat="1">
      <c r="A64" s="250"/>
      <c r="B64" s="75"/>
      <c r="C64" s="63"/>
      <c r="D64" s="66"/>
      <c r="E64" s="63"/>
      <c r="F64" s="75"/>
      <c r="G64" s="165"/>
      <c r="H64" s="63"/>
      <c r="I64" s="66"/>
      <c r="J64" s="63"/>
      <c r="K64" s="76"/>
    </row>
    <row r="65" spans="1:11">
      <c r="A65" s="158"/>
      <c r="B65" s="133" t="s">
        <v>511</v>
      </c>
      <c r="C65" s="137"/>
      <c r="D65" s="137"/>
      <c r="E65" s="137"/>
      <c r="F65" s="137"/>
      <c r="G65" s="165"/>
      <c r="H65" s="137"/>
      <c r="I65" s="137"/>
      <c r="J65" s="137"/>
      <c r="K65" s="140"/>
    </row>
    <row r="66" spans="1:11">
      <c r="A66" s="250">
        <v>11</v>
      </c>
      <c r="B66" s="65" t="s">
        <v>142</v>
      </c>
      <c r="C66" s="133" t="s">
        <v>997</v>
      </c>
      <c r="D66" s="385">
        <f>'P5-ADIT'!J68</f>
        <v>0</v>
      </c>
      <c r="E66" s="79"/>
      <c r="F66" s="79" t="s">
        <v>27</v>
      </c>
      <c r="G66" s="165"/>
      <c r="H66" s="81"/>
      <c r="I66" s="77">
        <v>0</v>
      </c>
      <c r="J66" s="137"/>
      <c r="K66" s="168"/>
    </row>
    <row r="67" spans="1:11">
      <c r="A67" s="250">
        <v>12</v>
      </c>
      <c r="B67" s="65" t="s">
        <v>1025</v>
      </c>
      <c r="C67" s="133" t="s">
        <v>998</v>
      </c>
      <c r="D67" s="385">
        <f>'P5-ADIT'!J102</f>
        <v>-5554315.5186517211</v>
      </c>
      <c r="E67" s="63"/>
      <c r="F67" s="63" t="s">
        <v>11</v>
      </c>
      <c r="G67" s="165">
        <f>$I$169</f>
        <v>1</v>
      </c>
      <c r="H67" s="62"/>
      <c r="I67" s="66">
        <f>D67*G67</f>
        <v>-5554315.5186517211</v>
      </c>
      <c r="J67" s="137"/>
      <c r="K67" s="168"/>
    </row>
    <row r="68" spans="1:11">
      <c r="A68" s="250">
        <v>13</v>
      </c>
      <c r="B68" s="65" t="s">
        <v>144</v>
      </c>
      <c r="C68" s="133" t="s">
        <v>999</v>
      </c>
      <c r="D68" s="385">
        <f>'P5-ADIT'!J136</f>
        <v>-3143419</v>
      </c>
      <c r="E68" s="63"/>
      <c r="F68" s="63" t="s">
        <v>36</v>
      </c>
      <c r="G68" s="165">
        <f>$G$240</f>
        <v>9.5672868962500324E-2</v>
      </c>
      <c r="H68" s="62"/>
      <c r="I68" s="66">
        <f>D68*G68</f>
        <v>-300739.91408123379</v>
      </c>
      <c r="J68" s="137"/>
      <c r="K68" s="168"/>
    </row>
    <row r="69" spans="1:11">
      <c r="A69" s="250">
        <v>14</v>
      </c>
      <c r="B69" s="65" t="s">
        <v>145</v>
      </c>
      <c r="C69" s="133" t="s">
        <v>1000</v>
      </c>
      <c r="D69" s="385">
        <f>'P5-ADIT'!J34</f>
        <v>12621354</v>
      </c>
      <c r="E69" s="63"/>
      <c r="F69" s="63" t="s">
        <v>36</v>
      </c>
      <c r="G69" s="165">
        <f>$G$240</f>
        <v>9.5672868962500324E-2</v>
      </c>
      <c r="H69" s="62"/>
      <c r="I69" s="66">
        <f>D69*G69</f>
        <v>1207521.1473713294</v>
      </c>
      <c r="J69" s="137"/>
      <c r="K69" s="168"/>
    </row>
    <row r="70" spans="1:11">
      <c r="A70" s="250">
        <v>15</v>
      </c>
      <c r="B70" s="75" t="s">
        <v>146</v>
      </c>
      <c r="C70" s="133" t="s">
        <v>885</v>
      </c>
      <c r="D70" s="385">
        <f>'A4-Rate Base'!I69</f>
        <v>-83933</v>
      </c>
      <c r="E70" s="63"/>
      <c r="F70" s="63" t="s">
        <v>36</v>
      </c>
      <c r="G70" s="165">
        <f>$G$240</f>
        <v>9.5672868962500324E-2</v>
      </c>
      <c r="H70" s="62"/>
      <c r="I70" s="74">
        <f>D70*G70</f>
        <v>-8030.1109106295398</v>
      </c>
      <c r="J70" s="137"/>
      <c r="K70" s="168"/>
    </row>
    <row r="71" spans="1:11">
      <c r="A71" s="250">
        <v>16</v>
      </c>
      <c r="B71" s="84" t="s">
        <v>410</v>
      </c>
      <c r="C71" s="133" t="s">
        <v>886</v>
      </c>
      <c r="D71" s="385">
        <f>'A4-Rate Base'!C69</f>
        <v>0</v>
      </c>
      <c r="E71" s="72"/>
      <c r="F71" s="72" t="str">
        <f>+F72</f>
        <v>DA</v>
      </c>
      <c r="G71" s="165">
        <v>1</v>
      </c>
      <c r="H71" s="72"/>
      <c r="I71" s="74">
        <f>+G71*D71</f>
        <v>0</v>
      </c>
      <c r="J71" s="137"/>
      <c r="K71" s="168"/>
    </row>
    <row r="72" spans="1:11">
      <c r="A72" s="250">
        <v>17</v>
      </c>
      <c r="B72" s="84" t="s">
        <v>411</v>
      </c>
      <c r="C72" s="133" t="s">
        <v>887</v>
      </c>
      <c r="D72" s="385">
        <f>'A4-Rate Base'!D69</f>
        <v>0</v>
      </c>
      <c r="E72" s="71"/>
      <c r="F72" s="71" t="s">
        <v>412</v>
      </c>
      <c r="G72" s="165">
        <v>1</v>
      </c>
      <c r="H72" s="71"/>
      <c r="I72" s="74">
        <f>+G72*D72</f>
        <v>0</v>
      </c>
      <c r="J72" s="137"/>
      <c r="K72" s="168"/>
    </row>
    <row r="73" spans="1:11">
      <c r="A73" s="250">
        <v>18</v>
      </c>
      <c r="B73" s="84" t="s">
        <v>413</v>
      </c>
      <c r="C73" s="133" t="s">
        <v>683</v>
      </c>
      <c r="D73" s="385">
        <f>'Act Att-H'!D78</f>
        <v>0</v>
      </c>
      <c r="E73" s="71"/>
      <c r="F73" s="71" t="str">
        <f>+F72</f>
        <v>DA</v>
      </c>
      <c r="G73" s="165">
        <v>1</v>
      </c>
      <c r="H73" s="71"/>
      <c r="I73" s="74">
        <f>+D73*G73</f>
        <v>0</v>
      </c>
      <c r="J73" s="137"/>
      <c r="K73" s="168"/>
    </row>
    <row r="74" spans="1:11">
      <c r="A74" s="250">
        <v>19</v>
      </c>
      <c r="B74" s="170" t="s">
        <v>147</v>
      </c>
      <c r="C74" s="133" t="s">
        <v>681</v>
      </c>
      <c r="D74" s="385">
        <f>'Act Att-H'!D79</f>
        <v>169929.06</v>
      </c>
      <c r="E74" s="137"/>
      <c r="F74" s="137" t="s">
        <v>36</v>
      </c>
      <c r="G74" s="165">
        <f>$G$240</f>
        <v>9.5672868962500324E-2</v>
      </c>
      <c r="H74" s="137"/>
      <c r="I74" s="74">
        <f t="shared" ref="I74:I75" si="0">D74*G74</f>
        <v>16257.600690300855</v>
      </c>
      <c r="J74" s="137"/>
      <c r="K74" s="168"/>
    </row>
    <row r="75" spans="1:11" ht="13.5" thickBot="1">
      <c r="A75" s="158">
        <v>20</v>
      </c>
      <c r="B75" s="170" t="s">
        <v>291</v>
      </c>
      <c r="C75" s="133" t="s">
        <v>682</v>
      </c>
      <c r="D75" s="385">
        <f>'Act Att-H'!D80</f>
        <v>-42082763.5</v>
      </c>
      <c r="E75" s="137"/>
      <c r="F75" s="137" t="s">
        <v>36</v>
      </c>
      <c r="G75" s="165">
        <f>$G$240</f>
        <v>9.5672868962500324E-2</v>
      </c>
      <c r="H75" s="137"/>
      <c r="I75" s="78">
        <f t="shared" si="0"/>
        <v>-4026178.7179153915</v>
      </c>
      <c r="J75" s="137"/>
      <c r="K75" s="168"/>
    </row>
    <row r="76" spans="1:11">
      <c r="A76" s="158">
        <v>21</v>
      </c>
      <c r="B76" s="133" t="s">
        <v>419</v>
      </c>
      <c r="C76" s="63"/>
      <c r="D76" s="815">
        <f>SUM(D66:D75)</f>
        <v>-38073147.958651721</v>
      </c>
      <c r="E76" s="137"/>
      <c r="F76" s="137"/>
      <c r="G76" s="165"/>
      <c r="H76" s="137"/>
      <c r="I76" s="77">
        <f>SUM(I66:I75)</f>
        <v>-8665485.5134973451</v>
      </c>
      <c r="J76" s="137"/>
      <c r="K76" s="140"/>
    </row>
    <row r="77" spans="1:11">
      <c r="A77" s="158"/>
      <c r="C77" s="137"/>
      <c r="E77" s="137"/>
      <c r="F77" s="137"/>
      <c r="G77" s="165"/>
      <c r="H77" s="137"/>
      <c r="J77" s="137"/>
      <c r="K77" s="168"/>
    </row>
    <row r="78" spans="1:11">
      <c r="A78" s="158">
        <v>22</v>
      </c>
      <c r="B78" s="133" t="s">
        <v>37</v>
      </c>
      <c r="C78" s="133" t="s">
        <v>888</v>
      </c>
      <c r="D78" s="385">
        <f>'A4-Rate Base'!I22</f>
        <v>318000</v>
      </c>
      <c r="E78" s="137"/>
      <c r="F78" s="147" t="str">
        <f>+F54</f>
        <v>TP</v>
      </c>
      <c r="G78" s="165">
        <f>$I$169</f>
        <v>1</v>
      </c>
      <c r="H78" s="137"/>
      <c r="I78" s="77">
        <f>+G78*D78</f>
        <v>318000</v>
      </c>
      <c r="J78" s="137"/>
      <c r="K78" s="140"/>
    </row>
    <row r="79" spans="1:11">
      <c r="A79" s="158"/>
      <c r="B79" s="133"/>
      <c r="C79" s="137"/>
      <c r="D79" s="137"/>
      <c r="E79" s="137"/>
      <c r="F79" s="137"/>
      <c r="G79" s="165"/>
      <c r="H79" s="137"/>
      <c r="I79" s="137"/>
      <c r="J79" s="137"/>
      <c r="K79" s="140"/>
    </row>
    <row r="80" spans="1:11">
      <c r="A80" s="158"/>
      <c r="B80" s="133" t="s">
        <v>154</v>
      </c>
      <c r="C80" s="63"/>
      <c r="D80" s="137"/>
      <c r="E80" s="137"/>
      <c r="F80" s="137"/>
      <c r="G80" s="165"/>
      <c r="H80" s="137"/>
      <c r="I80" s="137"/>
      <c r="J80" s="137"/>
      <c r="K80" s="140"/>
    </row>
    <row r="81" spans="1:11">
      <c r="A81" s="158">
        <v>23</v>
      </c>
      <c r="B81" s="133" t="s">
        <v>109</v>
      </c>
      <c r="C81" s="75" t="s">
        <v>688</v>
      </c>
      <c r="D81" s="825">
        <f>D111/8</f>
        <v>1604952.16756217</v>
      </c>
      <c r="E81" s="137"/>
      <c r="F81" s="137"/>
      <c r="G81" s="165"/>
      <c r="H81" s="137"/>
      <c r="I81" s="77">
        <f>I111/8</f>
        <v>248158.64369707563</v>
      </c>
      <c r="J81" s="90"/>
      <c r="K81" s="168"/>
    </row>
    <row r="82" spans="1:11">
      <c r="A82" s="158">
        <v>24</v>
      </c>
      <c r="B82" s="133" t="s">
        <v>155</v>
      </c>
      <c r="C82" s="87" t="s">
        <v>890</v>
      </c>
      <c r="D82" s="385">
        <f>'A4-Rate Base'!C45</f>
        <v>613390</v>
      </c>
      <c r="E82" s="137"/>
      <c r="F82" s="137" t="s">
        <v>38</v>
      </c>
      <c r="G82" s="165">
        <f>$I$178</f>
        <v>1</v>
      </c>
      <c r="H82" s="137"/>
      <c r="I82" s="77">
        <f>+G82*D82</f>
        <v>613390</v>
      </c>
      <c r="J82" s="137" t="s">
        <v>2</v>
      </c>
      <c r="K82" s="168"/>
    </row>
    <row r="83" spans="1:11" ht="13.5" thickBot="1">
      <c r="A83" s="158">
        <v>25</v>
      </c>
      <c r="B83" s="133" t="s">
        <v>148</v>
      </c>
      <c r="C83" s="62" t="s">
        <v>889</v>
      </c>
      <c r="D83" s="385">
        <f>'A4-Rate Base'!D45</f>
        <v>1127927</v>
      </c>
      <c r="E83" s="137"/>
      <c r="F83" s="137" t="s">
        <v>39</v>
      </c>
      <c r="G83" s="165">
        <f>$G$232</f>
        <v>8.9150344632179815E-2</v>
      </c>
      <c r="H83" s="137"/>
      <c r="I83" s="78">
        <f>+G83*D83</f>
        <v>100555.08076994069</v>
      </c>
      <c r="J83" s="137"/>
      <c r="K83" s="168"/>
    </row>
    <row r="84" spans="1:11">
      <c r="A84" s="158">
        <v>26</v>
      </c>
      <c r="B84" s="133" t="s">
        <v>417</v>
      </c>
      <c r="C84" s="63"/>
      <c r="D84" s="815">
        <f>D81+D82+D83</f>
        <v>3346269.16756217</v>
      </c>
      <c r="E84" s="90"/>
      <c r="F84" s="90"/>
      <c r="G84" s="90"/>
      <c r="H84" s="90"/>
      <c r="I84" s="77">
        <f>I81+I82+I83</f>
        <v>962103.72446701629</v>
      </c>
      <c r="J84" s="90"/>
      <c r="K84" s="89"/>
    </row>
    <row r="85" spans="1:11" ht="13.5" thickBot="1">
      <c r="A85" s="166"/>
      <c r="C85" s="137"/>
      <c r="D85" s="172"/>
      <c r="E85" s="137"/>
      <c r="F85" s="137"/>
      <c r="G85" s="137"/>
      <c r="H85" s="137"/>
      <c r="I85" s="173"/>
      <c r="J85" s="137"/>
      <c r="K85" s="140"/>
    </row>
    <row r="86" spans="1:11" ht="13.5" thickBot="1">
      <c r="A86" s="158">
        <v>27</v>
      </c>
      <c r="B86" s="133" t="s">
        <v>626</v>
      </c>
      <c r="C86" s="137"/>
      <c r="D86" s="88">
        <f>+D84+D78+D76+D61</f>
        <v>10645057.151282579</v>
      </c>
      <c r="E86" s="137"/>
      <c r="F86" s="137"/>
      <c r="G86" s="169"/>
      <c r="H86" s="137"/>
      <c r="I86" s="88">
        <f>+I84+I78+I76+I61</f>
        <v>33734180.201731794</v>
      </c>
      <c r="J86" s="137"/>
      <c r="K86" s="168"/>
    </row>
    <row r="87" spans="1:11" ht="13.5" thickTop="1">
      <c r="B87" s="133"/>
      <c r="C87" s="133"/>
      <c r="D87" s="134"/>
      <c r="E87" s="133"/>
      <c r="F87" s="133"/>
      <c r="G87" s="133"/>
      <c r="H87" s="90"/>
      <c r="I87" s="235"/>
      <c r="J87" s="235"/>
      <c r="K87" s="809"/>
    </row>
    <row r="88" spans="1:11">
      <c r="B88" s="133"/>
      <c r="C88" s="133"/>
      <c r="D88" s="134"/>
      <c r="E88" s="133"/>
      <c r="F88" s="133"/>
      <c r="G88" s="133"/>
      <c r="H88" s="90"/>
      <c r="I88" s="833" t="str">
        <f>I1</f>
        <v>Projected Attachment H</v>
      </c>
      <c r="J88" s="833"/>
      <c r="K88" s="833"/>
    </row>
    <row r="89" spans="1:11">
      <c r="B89" s="133"/>
      <c r="C89" s="133"/>
      <c r="D89" s="134"/>
      <c r="E89" s="133"/>
      <c r="F89" s="133"/>
      <c r="G89" s="133"/>
      <c r="H89" s="90"/>
      <c r="I89" s="90"/>
      <c r="J89" s="832" t="s">
        <v>263</v>
      </c>
      <c r="K89" s="832"/>
    </row>
    <row r="90" spans="1:11">
      <c r="B90" s="133"/>
      <c r="C90" s="133"/>
      <c r="D90" s="134"/>
      <c r="E90" s="133"/>
      <c r="F90" s="133"/>
      <c r="G90" s="133"/>
      <c r="H90" s="90"/>
      <c r="I90" s="90"/>
      <c r="J90" s="90"/>
      <c r="K90" s="809"/>
    </row>
    <row r="91" spans="1:11">
      <c r="B91" s="134" t="s">
        <v>0</v>
      </c>
      <c r="C91" s="102" t="s">
        <v>1</v>
      </c>
      <c r="E91" s="133"/>
      <c r="F91" s="133"/>
      <c r="G91" s="133"/>
      <c r="H91" s="90"/>
      <c r="I91" s="90"/>
      <c r="J91" s="90"/>
      <c r="K91" s="811" t="str">
        <f>K4</f>
        <v>Estimated - For the 12 months ended 12/31/2020</v>
      </c>
    </row>
    <row r="92" spans="1:11">
      <c r="B92" s="133"/>
      <c r="C92" s="138" t="s">
        <v>3</v>
      </c>
      <c r="E92" s="137"/>
      <c r="F92" s="137"/>
      <c r="G92" s="137"/>
      <c r="H92" s="90"/>
      <c r="I92" s="90"/>
      <c r="J92" s="90"/>
      <c r="K92" s="89"/>
    </row>
    <row r="93" spans="1:11">
      <c r="B93" s="133"/>
      <c r="C93" s="137"/>
      <c r="E93" s="137"/>
      <c r="F93" s="137"/>
      <c r="G93" s="137"/>
      <c r="H93" s="90"/>
      <c r="I93" s="90"/>
      <c r="J93" s="90"/>
      <c r="K93" s="89"/>
    </row>
    <row r="94" spans="1:11">
      <c r="A94" s="102"/>
      <c r="C94" s="155" t="str">
        <f>C7</f>
        <v>Cheyenne Light, Fuel &amp; Power</v>
      </c>
      <c r="J94" s="137"/>
      <c r="K94" s="140"/>
    </row>
    <row r="95" spans="1:11">
      <c r="A95" s="102"/>
      <c r="D95" s="175"/>
      <c r="J95" s="137"/>
      <c r="K95" s="140"/>
    </row>
    <row r="96" spans="1:11">
      <c r="A96" s="102"/>
      <c r="B96" s="102" t="s">
        <v>15</v>
      </c>
      <c r="C96" s="102" t="s">
        <v>16</v>
      </c>
      <c r="D96" s="102" t="s">
        <v>17</v>
      </c>
      <c r="E96" s="137" t="s">
        <v>2</v>
      </c>
      <c r="F96" s="137"/>
      <c r="G96" s="156" t="s">
        <v>18</v>
      </c>
      <c r="H96" s="137"/>
      <c r="I96" s="157" t="s">
        <v>19</v>
      </c>
      <c r="J96" s="137"/>
      <c r="K96" s="140"/>
    </row>
    <row r="97" spans="1:15">
      <c r="A97" s="102" t="s">
        <v>4</v>
      </c>
      <c r="B97" s="133"/>
      <c r="C97" s="159" t="s">
        <v>20</v>
      </c>
      <c r="D97" s="137"/>
      <c r="E97" s="137"/>
      <c r="F97" s="137"/>
      <c r="G97" s="102"/>
      <c r="H97" s="137"/>
      <c r="I97" s="160" t="s">
        <v>21</v>
      </c>
      <c r="J97" s="137"/>
      <c r="K97" s="176"/>
    </row>
    <row r="98" spans="1:15" ht="13.5" thickBot="1">
      <c r="A98" s="810" t="s">
        <v>6</v>
      </c>
      <c r="B98" s="133"/>
      <c r="C98" s="161" t="s">
        <v>22</v>
      </c>
      <c r="D98" s="160" t="s">
        <v>23</v>
      </c>
      <c r="E98" s="162"/>
      <c r="F98" s="160" t="s">
        <v>24</v>
      </c>
      <c r="H98" s="162"/>
      <c r="I98" s="102" t="s">
        <v>25</v>
      </c>
      <c r="J98" s="137"/>
      <c r="K98" s="176"/>
    </row>
    <row r="99" spans="1:15">
      <c r="A99" s="102"/>
      <c r="B99" s="133" t="s">
        <v>158</v>
      </c>
      <c r="C99" s="137"/>
      <c r="D99" s="137"/>
      <c r="E99" s="137"/>
      <c r="F99" s="137"/>
      <c r="G99" s="137"/>
      <c r="H99" s="137"/>
      <c r="I99" s="137"/>
      <c r="J99" s="137"/>
      <c r="K99" s="140"/>
    </row>
    <row r="100" spans="1:15">
      <c r="A100" s="102">
        <v>1</v>
      </c>
      <c r="B100" s="133" t="s">
        <v>40</v>
      </c>
      <c r="C100" s="133" t="s">
        <v>689</v>
      </c>
      <c r="D100" s="385">
        <f>'P2-Exp. &amp; Rev. Credits'!F16</f>
        <v>21637582.197698884</v>
      </c>
      <c r="E100" s="137"/>
      <c r="F100" s="137" t="s">
        <v>38</v>
      </c>
      <c r="G100" s="165">
        <f>$I$178</f>
        <v>1</v>
      </c>
      <c r="H100" s="137"/>
      <c r="I100" s="77">
        <f>+G100*D100</f>
        <v>21637582.197698884</v>
      </c>
      <c r="J100" s="90"/>
      <c r="K100" s="140"/>
    </row>
    <row r="101" spans="1:15">
      <c r="A101" s="102">
        <v>2</v>
      </c>
      <c r="B101" s="133" t="s">
        <v>156</v>
      </c>
      <c r="C101" s="133" t="s">
        <v>690</v>
      </c>
      <c r="D101" s="385">
        <f>'P2-Exp. &amp; Rev. Credits'!F17</f>
        <v>326950.96897600999</v>
      </c>
      <c r="E101" s="137"/>
      <c r="F101" s="137" t="s">
        <v>38</v>
      </c>
      <c r="G101" s="165">
        <f>$I$178</f>
        <v>1</v>
      </c>
      <c r="H101" s="137"/>
      <c r="I101" s="66">
        <f t="shared" ref="I101:I110" si="1">+G101*D101</f>
        <v>326950.96897600999</v>
      </c>
      <c r="J101" s="90"/>
      <c r="K101" s="140"/>
    </row>
    <row r="102" spans="1:15">
      <c r="A102" s="102" t="s">
        <v>157</v>
      </c>
      <c r="B102" s="133" t="s">
        <v>41</v>
      </c>
      <c r="C102" s="133" t="s">
        <v>691</v>
      </c>
      <c r="D102" s="385">
        <f>'P2-Exp. &amp; Rev. Credits'!F18</f>
        <v>20333112.238851007</v>
      </c>
      <c r="E102" s="137"/>
      <c r="F102" s="137" t="s">
        <v>38</v>
      </c>
      <c r="G102" s="165">
        <f>$I$178</f>
        <v>1</v>
      </c>
      <c r="H102" s="137"/>
      <c r="I102" s="66">
        <f t="shared" si="1"/>
        <v>20333112.238851007</v>
      </c>
      <c r="J102" s="90"/>
      <c r="K102" s="140"/>
    </row>
    <row r="103" spans="1:15">
      <c r="A103" s="102">
        <v>3</v>
      </c>
      <c r="B103" s="133" t="s">
        <v>42</v>
      </c>
      <c r="C103" s="133" t="s">
        <v>692</v>
      </c>
      <c r="D103" s="385">
        <f>'P2-Exp. &amp; Rev. Credits'!F19</f>
        <v>13071088.104465099</v>
      </c>
      <c r="E103" s="137"/>
      <c r="F103" s="137" t="s">
        <v>31</v>
      </c>
      <c r="G103" s="165">
        <f>$I$186</f>
        <v>8.4955471613637312E-2</v>
      </c>
      <c r="H103" s="137"/>
      <c r="I103" s="77">
        <f t="shared" si="1"/>
        <v>1110460.4544182371</v>
      </c>
      <c r="J103" s="137"/>
      <c r="K103" s="140" t="s">
        <v>2</v>
      </c>
    </row>
    <row r="104" spans="1:15">
      <c r="A104" s="102">
        <v>4</v>
      </c>
      <c r="B104" s="133" t="s">
        <v>512</v>
      </c>
      <c r="C104" s="133" t="s">
        <v>693</v>
      </c>
      <c r="D104" s="385">
        <f>'P2-Exp. &amp; Rev. Credits'!F20</f>
        <v>367518.35768998408</v>
      </c>
      <c r="E104" s="137"/>
      <c r="F104" s="147" t="str">
        <f>+F103</f>
        <v>W/S</v>
      </c>
      <c r="G104" s="165">
        <f>$I$186</f>
        <v>8.4955471613637312E-2</v>
      </c>
      <c r="H104" s="137"/>
      <c r="I104" s="66">
        <f t="shared" si="1"/>
        <v>31222.695404222046</v>
      </c>
      <c r="J104" s="137"/>
      <c r="K104" s="140"/>
    </row>
    <row r="105" spans="1:15">
      <c r="A105" s="102">
        <v>5</v>
      </c>
      <c r="B105" s="812" t="s">
        <v>705</v>
      </c>
      <c r="C105" s="133" t="s">
        <v>694</v>
      </c>
      <c r="D105" s="385">
        <f>'P2-Exp. &amp; Rev. Credits'!F21</f>
        <v>412739.14182829519</v>
      </c>
      <c r="E105" s="137"/>
      <c r="F105" s="147" t="str">
        <f>+F104</f>
        <v>W/S</v>
      </c>
      <c r="G105" s="165">
        <f>$I$186</f>
        <v>8.4955471613637312E-2</v>
      </c>
      <c r="H105" s="137"/>
      <c r="I105" s="66">
        <f t="shared" si="1"/>
        <v>35064.448447430754</v>
      </c>
      <c r="J105" s="137"/>
      <c r="K105" s="140"/>
    </row>
    <row r="106" spans="1:15">
      <c r="A106" s="102" t="s">
        <v>110</v>
      </c>
      <c r="B106" s="812" t="s">
        <v>706</v>
      </c>
      <c r="C106" s="133" t="s">
        <v>695</v>
      </c>
      <c r="D106" s="385">
        <f>'P2-Exp. &amp; Rev. Credits'!F22</f>
        <v>0</v>
      </c>
      <c r="E106" s="137"/>
      <c r="F106" s="177" t="str">
        <f>+F100</f>
        <v>TE</v>
      </c>
      <c r="G106" s="165">
        <f>$I$178</f>
        <v>1</v>
      </c>
      <c r="H106" s="137"/>
      <c r="I106" s="66">
        <f>+G106*D106</f>
        <v>0</v>
      </c>
      <c r="J106" s="137"/>
      <c r="K106" s="140"/>
    </row>
    <row r="107" spans="1:15">
      <c r="A107" s="102" t="s">
        <v>165</v>
      </c>
      <c r="B107" s="812" t="s">
        <v>163</v>
      </c>
      <c r="C107" s="133" t="s">
        <v>696</v>
      </c>
      <c r="D107" s="385">
        <f>'P2-Exp. &amp; Rev. Credits'!F23</f>
        <v>431285</v>
      </c>
      <c r="E107" s="137"/>
      <c r="F107" s="147" t="s">
        <v>31</v>
      </c>
      <c r="G107" s="165">
        <f>$I$186</f>
        <v>8.4955471613637312E-2</v>
      </c>
      <c r="H107" s="137"/>
      <c r="I107" s="74">
        <f t="shared" ref="I107:I108" si="2">+G107*D107</f>
        <v>36640.020574887567</v>
      </c>
      <c r="J107" s="137"/>
      <c r="K107" s="140"/>
    </row>
    <row r="108" spans="1:15">
      <c r="A108" s="102" t="s">
        <v>166</v>
      </c>
      <c r="B108" s="812" t="s">
        <v>164</v>
      </c>
      <c r="C108" s="133" t="s">
        <v>697</v>
      </c>
      <c r="D108" s="385">
        <f>'P2-Exp. &amp; Rev. Credits'!F24</f>
        <v>860017.2543213265</v>
      </c>
      <c r="E108" s="137"/>
      <c r="F108" s="147" t="str">
        <f>+F107</f>
        <v>W/S</v>
      </c>
      <c r="G108" s="165">
        <f>$I$186</f>
        <v>8.4955471613637312E-2</v>
      </c>
      <c r="H108" s="137"/>
      <c r="I108" s="74">
        <f t="shared" si="2"/>
        <v>73063.171436733755</v>
      </c>
      <c r="J108" s="137"/>
      <c r="K108" s="140"/>
    </row>
    <row r="109" spans="1:15">
      <c r="A109" s="102">
        <v>6</v>
      </c>
      <c r="B109" s="133" t="s">
        <v>32</v>
      </c>
      <c r="C109" s="133" t="s">
        <v>698</v>
      </c>
      <c r="D109" s="385">
        <f>'P2-Exp. &amp; Rev. Credits'!F25</f>
        <v>0</v>
      </c>
      <c r="E109" s="137"/>
      <c r="F109" s="137" t="s">
        <v>70</v>
      </c>
      <c r="G109" s="165">
        <f>K190</f>
        <v>8.4955471613637312E-2</v>
      </c>
      <c r="H109" s="137"/>
      <c r="I109" s="77">
        <f t="shared" si="1"/>
        <v>0</v>
      </c>
      <c r="J109" s="137"/>
      <c r="K109" s="140"/>
    </row>
    <row r="110" spans="1:15" ht="13.5" thickBot="1">
      <c r="A110" s="102">
        <v>7</v>
      </c>
      <c r="B110" s="133" t="s">
        <v>43</v>
      </c>
      <c r="C110" s="133" t="s">
        <v>699</v>
      </c>
      <c r="D110" s="385">
        <f>'P2-Exp. &amp; Rev. Credits'!F26</f>
        <v>0</v>
      </c>
      <c r="E110" s="137"/>
      <c r="F110" s="137" t="s">
        <v>412</v>
      </c>
      <c r="G110" s="165">
        <v>1</v>
      </c>
      <c r="H110" s="137"/>
      <c r="I110" s="78">
        <f t="shared" si="1"/>
        <v>0</v>
      </c>
      <c r="J110" s="137"/>
      <c r="K110" s="140"/>
    </row>
    <row r="111" spans="1:15">
      <c r="A111" s="158">
        <v>8</v>
      </c>
      <c r="B111" s="812" t="s">
        <v>167</v>
      </c>
      <c r="C111" s="133"/>
      <c r="D111" s="815">
        <f>'P2-Exp. &amp; Rev. Credits'!F27</f>
        <v>12839617.34049736</v>
      </c>
      <c r="E111" s="140"/>
      <c r="F111" s="140"/>
      <c r="G111" s="165"/>
      <c r="H111" s="140"/>
      <c r="I111" s="77">
        <f>+I100-I101-I102+I103-I104-I105+I109+I110+I106+I107-I108</f>
        <v>1985269.1495766051</v>
      </c>
      <c r="J111" s="140"/>
      <c r="K111" s="140"/>
      <c r="L111" s="166"/>
      <c r="M111" s="166"/>
      <c r="N111" s="166"/>
      <c r="O111" s="166"/>
    </row>
    <row r="112" spans="1:15">
      <c r="A112" s="102"/>
      <c r="C112" s="137"/>
      <c r="E112" s="137"/>
      <c r="F112" s="137"/>
      <c r="G112" s="165"/>
      <c r="H112" s="137"/>
      <c r="J112" s="137"/>
      <c r="K112" s="140"/>
    </row>
    <row r="113" spans="1:11">
      <c r="A113" s="102"/>
      <c r="B113" s="133" t="s">
        <v>707</v>
      </c>
      <c r="C113" s="137"/>
      <c r="D113" s="137"/>
      <c r="E113" s="137"/>
      <c r="F113" s="137"/>
      <c r="G113" s="165"/>
      <c r="H113" s="137"/>
      <c r="I113" s="137"/>
      <c r="J113" s="137"/>
      <c r="K113" s="140"/>
    </row>
    <row r="114" spans="1:11">
      <c r="A114" s="102">
        <v>9</v>
      </c>
      <c r="B114" s="170" t="str">
        <f>+B100</f>
        <v xml:space="preserve">  Transmission </v>
      </c>
      <c r="C114" s="81" t="s">
        <v>714</v>
      </c>
      <c r="D114" s="385">
        <f>'P1-Trans Plant'!E43</f>
        <v>992723.50305816659</v>
      </c>
      <c r="E114" s="137"/>
      <c r="F114" s="137" t="s">
        <v>11</v>
      </c>
      <c r="G114" s="165">
        <f>$I$169</f>
        <v>1</v>
      </c>
      <c r="H114" s="137"/>
      <c r="I114" s="77">
        <f>+G114*D114</f>
        <v>992723.50305816659</v>
      </c>
      <c r="J114" s="137"/>
      <c r="K114" s="168"/>
    </row>
    <row r="115" spans="1:11">
      <c r="A115" s="102">
        <v>10</v>
      </c>
      <c r="B115" s="133" t="s">
        <v>136</v>
      </c>
      <c r="C115" s="133" t="s">
        <v>645</v>
      </c>
      <c r="D115" s="385">
        <f>'Act Att-H'!D120</f>
        <v>1159367</v>
      </c>
      <c r="E115" s="137"/>
      <c r="F115" s="137" t="s">
        <v>31</v>
      </c>
      <c r="G115" s="165">
        <f>+G103</f>
        <v>8.4955471613637312E-2</v>
      </c>
      <c r="H115" s="137"/>
      <c r="I115" s="77">
        <f>+G115*D115</f>
        <v>98494.570258287844</v>
      </c>
      <c r="J115" s="137"/>
      <c r="K115" s="168"/>
    </row>
    <row r="116" spans="1:11">
      <c r="A116" s="102">
        <v>11</v>
      </c>
      <c r="B116" s="170" t="str">
        <f>+B109</f>
        <v xml:space="preserve">  Common</v>
      </c>
      <c r="C116" s="133" t="s">
        <v>657</v>
      </c>
      <c r="D116" s="385">
        <f>'Act Att-H'!D121</f>
        <v>0</v>
      </c>
      <c r="E116" s="137"/>
      <c r="F116" s="137" t="s">
        <v>70</v>
      </c>
      <c r="G116" s="165">
        <f>+G109</f>
        <v>8.4955471613637312E-2</v>
      </c>
      <c r="H116" s="137"/>
      <c r="I116" s="77">
        <f>+G116*D116</f>
        <v>0</v>
      </c>
      <c r="J116" s="137"/>
      <c r="K116" s="168"/>
    </row>
    <row r="117" spans="1:11" s="2" customFormat="1" ht="13.5" thickBot="1">
      <c r="A117" s="94" t="s">
        <v>423</v>
      </c>
      <c r="B117" s="95" t="s">
        <v>429</v>
      </c>
      <c r="C117" s="133" t="s">
        <v>658</v>
      </c>
      <c r="D117" s="385">
        <f>'Act Att-H'!D122</f>
        <v>0</v>
      </c>
      <c r="E117" s="66"/>
      <c r="F117" s="66" t="s">
        <v>412</v>
      </c>
      <c r="G117" s="165">
        <v>1</v>
      </c>
      <c r="H117" s="66"/>
      <c r="I117" s="86">
        <f>+G117*D117</f>
        <v>0</v>
      </c>
      <c r="J117" s="63"/>
      <c r="K117" s="76"/>
    </row>
    <row r="118" spans="1:11">
      <c r="A118" s="102">
        <v>12</v>
      </c>
      <c r="B118" s="133" t="s">
        <v>430</v>
      </c>
      <c r="C118" s="241" t="s">
        <v>431</v>
      </c>
      <c r="D118" s="817">
        <f>SUM(D114:D117)</f>
        <v>2152090.5030581667</v>
      </c>
      <c r="E118" s="137"/>
      <c r="F118" s="137"/>
      <c r="G118" s="165"/>
      <c r="H118" s="137"/>
      <c r="I118" s="77">
        <f>SUM(I114:I117)</f>
        <v>1091218.0733164544</v>
      </c>
      <c r="J118" s="137"/>
      <c r="K118" s="140"/>
    </row>
    <row r="119" spans="1:11">
      <c r="A119" s="102"/>
      <c r="B119" s="133"/>
      <c r="C119" s="137"/>
      <c r="D119" s="137"/>
      <c r="E119" s="137"/>
      <c r="F119" s="137"/>
      <c r="G119" s="165"/>
      <c r="H119" s="137"/>
      <c r="I119" s="137"/>
      <c r="J119" s="137"/>
      <c r="K119" s="140"/>
    </row>
    <row r="120" spans="1:11">
      <c r="A120" s="102" t="s">
        <v>2</v>
      </c>
      <c r="B120" s="133" t="s">
        <v>708</v>
      </c>
      <c r="D120" s="137"/>
      <c r="E120" s="137"/>
      <c r="F120" s="137"/>
      <c r="G120" s="165"/>
      <c r="H120" s="137"/>
      <c r="I120" s="137"/>
      <c r="J120" s="137"/>
      <c r="K120" s="140"/>
    </row>
    <row r="121" spans="1:11">
      <c r="A121" s="102"/>
      <c r="B121" s="133" t="s">
        <v>44</v>
      </c>
      <c r="C121" s="133"/>
      <c r="E121" s="137"/>
      <c r="F121" s="137"/>
      <c r="G121" s="165"/>
      <c r="H121" s="137"/>
      <c r="J121" s="137"/>
      <c r="K121" s="168"/>
    </row>
    <row r="122" spans="1:11">
      <c r="A122" s="102">
        <v>13</v>
      </c>
      <c r="B122" s="133" t="s">
        <v>45</v>
      </c>
      <c r="C122" s="133" t="s">
        <v>649</v>
      </c>
      <c r="D122" s="385">
        <f>'P2-Exp. &amp; Rev. Credits'!F32</f>
        <v>1464980.5596719359</v>
      </c>
      <c r="E122" s="137"/>
      <c r="F122" s="137" t="s">
        <v>31</v>
      </c>
      <c r="G122" s="165">
        <f>+G115</f>
        <v>8.4955471613637312E-2</v>
      </c>
      <c r="H122" s="137"/>
      <c r="I122" s="77">
        <f>+G122*D122</f>
        <v>124458.11435173966</v>
      </c>
      <c r="J122" s="137"/>
      <c r="K122" s="168"/>
    </row>
    <row r="123" spans="1:11">
      <c r="A123" s="102">
        <v>14</v>
      </c>
      <c r="B123" s="133" t="s">
        <v>46</v>
      </c>
      <c r="C123" s="133" t="s">
        <v>650</v>
      </c>
      <c r="D123" s="385">
        <f>'P2-Exp. &amp; Rev. Credits'!F33</f>
        <v>0</v>
      </c>
      <c r="E123" s="137"/>
      <c r="F123" s="147" t="str">
        <f>+F122</f>
        <v>W/S</v>
      </c>
      <c r="G123" s="165">
        <f>+G122</f>
        <v>8.4955471613637312E-2</v>
      </c>
      <c r="H123" s="137"/>
      <c r="I123" s="77">
        <f>+G123*D123</f>
        <v>0</v>
      </c>
      <c r="J123" s="137"/>
      <c r="K123" s="168"/>
    </row>
    <row r="124" spans="1:11">
      <c r="A124" s="102">
        <v>15</v>
      </c>
      <c r="B124" s="133" t="s">
        <v>47</v>
      </c>
      <c r="C124" s="133" t="s">
        <v>2</v>
      </c>
      <c r="D124" s="137" t="s">
        <v>2</v>
      </c>
      <c r="E124" s="137"/>
      <c r="F124" s="137"/>
      <c r="G124" s="165"/>
      <c r="H124" s="137"/>
      <c r="J124" s="137"/>
      <c r="K124" s="168"/>
    </row>
    <row r="125" spans="1:11">
      <c r="A125" s="102">
        <v>16</v>
      </c>
      <c r="B125" s="133" t="s">
        <v>48</v>
      </c>
      <c r="C125" s="133" t="s">
        <v>651</v>
      </c>
      <c r="D125" s="385">
        <f>'P2-Exp. &amp; Rev. Credits'!F35</f>
        <v>2981503.8345003794</v>
      </c>
      <c r="E125" s="137"/>
      <c r="F125" s="137" t="s">
        <v>39</v>
      </c>
      <c r="G125" s="165">
        <f>$G$232</f>
        <v>8.9150344632179815E-2</v>
      </c>
      <c r="H125" s="137"/>
      <c r="I125" s="77">
        <f>+G125*D125</f>
        <v>265802.09436787444</v>
      </c>
      <c r="J125" s="137"/>
      <c r="K125" s="168"/>
    </row>
    <row r="126" spans="1:11">
      <c r="A126" s="102">
        <v>17</v>
      </c>
      <c r="B126" s="133" t="s">
        <v>49</v>
      </c>
      <c r="C126" s="133" t="s">
        <v>652</v>
      </c>
      <c r="D126" s="385">
        <f>'P2-Exp. &amp; Rev. Credits'!F36</f>
        <v>-7174.597915878152</v>
      </c>
      <c r="E126" s="137"/>
      <c r="F126" s="179" t="str">
        <f>+F66</f>
        <v>NA</v>
      </c>
      <c r="G126" s="165">
        <v>0</v>
      </c>
      <c r="H126" s="137"/>
      <c r="I126" s="77">
        <v>0</v>
      </c>
      <c r="J126" s="137"/>
      <c r="K126" s="168"/>
    </row>
    <row r="127" spans="1:11">
      <c r="A127" s="102">
        <v>18</v>
      </c>
      <c r="B127" s="133" t="s">
        <v>50</v>
      </c>
      <c r="C127" s="133" t="s">
        <v>653</v>
      </c>
      <c r="D127" s="385">
        <f>'P2-Exp. &amp; Rev. Credits'!F37</f>
        <v>0</v>
      </c>
      <c r="E127" s="137"/>
      <c r="F127" s="147" t="str">
        <f>+F125</f>
        <v>GP</v>
      </c>
      <c r="G127" s="165">
        <f>$G$232</f>
        <v>8.9150344632179815E-2</v>
      </c>
      <c r="H127" s="137"/>
      <c r="I127" s="77">
        <f>+G127*D127</f>
        <v>0</v>
      </c>
      <c r="J127" s="137"/>
      <c r="K127" s="168"/>
    </row>
    <row r="128" spans="1:11" ht="13.5" thickBot="1">
      <c r="A128" s="102">
        <v>19</v>
      </c>
      <c r="B128" s="133" t="s">
        <v>51</v>
      </c>
      <c r="C128" s="133" t="s">
        <v>654</v>
      </c>
      <c r="D128" s="385">
        <f>'P2-Exp. &amp; Rev. Credits'!F38</f>
        <v>0</v>
      </c>
      <c r="E128" s="137"/>
      <c r="F128" s="137" t="s">
        <v>39</v>
      </c>
      <c r="G128" s="165">
        <f>$G$232</f>
        <v>8.9150344632179815E-2</v>
      </c>
      <c r="H128" s="137"/>
      <c r="I128" s="77">
        <f>+G128*D128</f>
        <v>0</v>
      </c>
      <c r="J128" s="137"/>
      <c r="K128" s="168"/>
    </row>
    <row r="129" spans="1:11">
      <c r="A129" s="102">
        <v>20</v>
      </c>
      <c r="B129" s="133" t="s">
        <v>433</v>
      </c>
      <c r="C129" s="241" t="s">
        <v>432</v>
      </c>
      <c r="D129" s="815">
        <f>SUM(D122:D128)</f>
        <v>4439309.796256437</v>
      </c>
      <c r="E129" s="137"/>
      <c r="F129" s="137"/>
      <c r="G129" s="165"/>
      <c r="H129" s="137"/>
      <c r="I129" s="91">
        <f>SUM(I122:I128)</f>
        <v>390260.20871961408</v>
      </c>
      <c r="J129" s="137"/>
      <c r="K129" s="140"/>
    </row>
    <row r="130" spans="1:11">
      <c r="A130" s="102"/>
      <c r="B130" s="133"/>
      <c r="C130" s="137"/>
      <c r="D130" s="137"/>
      <c r="E130" s="137"/>
      <c r="F130" s="137"/>
      <c r="G130" s="165"/>
      <c r="H130" s="137"/>
      <c r="I130" s="137"/>
      <c r="J130" s="137"/>
      <c r="K130" s="140"/>
    </row>
    <row r="131" spans="1:11">
      <c r="A131" s="102" t="s">
        <v>2</v>
      </c>
      <c r="B131" s="133" t="s">
        <v>52</v>
      </c>
      <c r="C131" s="137" t="s">
        <v>700</v>
      </c>
      <c r="D131" s="137"/>
      <c r="E131" s="137"/>
      <c r="G131" s="165"/>
      <c r="H131" s="137"/>
      <c r="J131" s="137"/>
    </row>
    <row r="132" spans="1:11">
      <c r="A132" s="102">
        <v>21</v>
      </c>
      <c r="B132" s="182" t="s">
        <v>104</v>
      </c>
      <c r="C132" s="137"/>
      <c r="D132" s="183">
        <f>IF(D249&gt;0,1-(((1-D250)*(1-D249))/(1-D250*D249*D251)),0)</f>
        <v>0.20999999999999996</v>
      </c>
      <c r="E132" s="137"/>
      <c r="G132" s="165"/>
      <c r="H132" s="137"/>
      <c r="J132" s="137"/>
    </row>
    <row r="133" spans="1:11">
      <c r="A133" s="102">
        <v>22</v>
      </c>
      <c r="B133" s="132" t="s">
        <v>105</v>
      </c>
      <c r="C133" s="137"/>
      <c r="D133" s="183">
        <f>IF(I209&gt;0,(D132/(1-D132))*(1-I206/I209),0)</f>
        <v>0.17488854205639434</v>
      </c>
      <c r="E133" s="137"/>
      <c r="G133" s="165"/>
      <c r="H133" s="137"/>
      <c r="J133" s="137"/>
    </row>
    <row r="134" spans="1:11">
      <c r="A134" s="102"/>
      <c r="B134" s="133" t="s">
        <v>162</v>
      </c>
      <c r="C134" s="137"/>
      <c r="D134" s="137"/>
      <c r="E134" s="137"/>
      <c r="G134" s="165"/>
      <c r="H134" s="137"/>
      <c r="J134" s="137"/>
    </row>
    <row r="135" spans="1:11">
      <c r="A135" s="102"/>
      <c r="B135" s="133" t="s">
        <v>701</v>
      </c>
      <c r="C135" s="137"/>
      <c r="D135" s="137"/>
      <c r="E135" s="137"/>
      <c r="G135" s="165"/>
      <c r="H135" s="137"/>
      <c r="J135" s="137"/>
    </row>
    <row r="136" spans="1:11">
      <c r="A136" s="102">
        <v>23</v>
      </c>
      <c r="B136" s="182" t="s">
        <v>107</v>
      </c>
      <c r="C136" s="137"/>
      <c r="D136" s="818">
        <f>IF(D132&gt;0,1/(1-D132),0)</f>
        <v>1.2658227848101264</v>
      </c>
      <c r="E136" s="137"/>
      <c r="G136" s="165"/>
      <c r="H136" s="137"/>
      <c r="J136" s="137"/>
    </row>
    <row r="137" spans="1:11">
      <c r="A137" s="102">
        <v>24</v>
      </c>
      <c r="B137" s="133" t="s">
        <v>106</v>
      </c>
      <c r="C137" s="133" t="s">
        <v>659</v>
      </c>
      <c r="D137" s="385">
        <f>'Act Att-H'!D142</f>
        <v>0</v>
      </c>
      <c r="E137" s="137"/>
      <c r="G137" s="165"/>
      <c r="H137" s="137"/>
      <c r="J137" s="137"/>
    </row>
    <row r="138" spans="1:11">
      <c r="A138" s="102" t="s">
        <v>424</v>
      </c>
      <c r="B138" s="98" t="s">
        <v>434</v>
      </c>
      <c r="C138" s="133" t="s">
        <v>660</v>
      </c>
      <c r="D138" s="385">
        <f>'Act Att-H'!D143</f>
        <v>0</v>
      </c>
      <c r="E138" s="137"/>
      <c r="G138" s="165"/>
      <c r="H138" s="137"/>
      <c r="J138" s="137"/>
    </row>
    <row r="139" spans="1:11">
      <c r="A139" s="102" t="s">
        <v>947</v>
      </c>
      <c r="B139" s="98" t="s">
        <v>946</v>
      </c>
      <c r="C139" s="133" t="s">
        <v>948</v>
      </c>
      <c r="D139" s="385">
        <f>'Act Att-H'!D144</f>
        <v>205333</v>
      </c>
      <c r="E139" s="137"/>
      <c r="G139" s="165"/>
      <c r="H139" s="137"/>
      <c r="J139" s="137"/>
    </row>
    <row r="140" spans="1:11">
      <c r="A140" s="102" t="s">
        <v>425</v>
      </c>
      <c r="B140" s="98" t="s">
        <v>422</v>
      </c>
      <c r="C140" s="133" t="s">
        <v>661</v>
      </c>
      <c r="D140" s="385">
        <f>'Act Att-H'!D145</f>
        <v>43119.929999999993</v>
      </c>
      <c r="E140" s="137"/>
      <c r="G140" s="165"/>
      <c r="H140" s="137"/>
      <c r="J140" s="137"/>
    </row>
    <row r="141" spans="1:11">
      <c r="A141" s="102">
        <v>25</v>
      </c>
      <c r="B141" s="182" t="s">
        <v>437</v>
      </c>
      <c r="C141" s="184" t="s">
        <v>435</v>
      </c>
      <c r="D141" s="816">
        <f>D133*D148</f>
        <v>158278.48728662345</v>
      </c>
      <c r="E141" s="137"/>
      <c r="F141" s="137"/>
      <c r="G141" s="165"/>
      <c r="H141" s="137"/>
      <c r="I141" s="77">
        <f>D133*I148</f>
        <v>501584.4383269609</v>
      </c>
      <c r="J141" s="137"/>
      <c r="K141" s="185" t="s">
        <v>2</v>
      </c>
    </row>
    <row r="142" spans="1:11">
      <c r="A142" s="102">
        <v>26</v>
      </c>
      <c r="B142" s="132" t="s">
        <v>438</v>
      </c>
      <c r="C142" s="184" t="s">
        <v>436</v>
      </c>
      <c r="D142" s="816">
        <f>D136*D137</f>
        <v>0</v>
      </c>
      <c r="E142" s="137"/>
      <c r="F142" s="132" t="s">
        <v>36</v>
      </c>
      <c r="G142" s="165">
        <f>$G$240</f>
        <v>9.5672868962500324E-2</v>
      </c>
      <c r="H142" s="137"/>
      <c r="I142" s="77">
        <f>G142*D142</f>
        <v>0</v>
      </c>
      <c r="J142" s="137"/>
      <c r="K142" s="185"/>
    </row>
    <row r="143" spans="1:11">
      <c r="A143" s="102" t="s">
        <v>439</v>
      </c>
      <c r="B143" s="83" t="s">
        <v>441</v>
      </c>
      <c r="C143" s="99" t="s">
        <v>443</v>
      </c>
      <c r="D143" s="816">
        <f>D136*D138</f>
        <v>0</v>
      </c>
      <c r="E143" s="137"/>
      <c r="F143" s="132" t="s">
        <v>36</v>
      </c>
      <c r="G143" s="165">
        <f>$G$240</f>
        <v>9.5672868962500324E-2</v>
      </c>
      <c r="H143" s="137"/>
      <c r="I143" s="77">
        <f t="shared" ref="I143:I144" si="3">G143*D143</f>
        <v>0</v>
      </c>
      <c r="J143" s="137"/>
      <c r="K143" s="185"/>
    </row>
    <row r="144" spans="1:11" ht="13.5" thickBot="1">
      <c r="A144" s="102" t="s">
        <v>440</v>
      </c>
      <c r="B144" s="83" t="s">
        <v>442</v>
      </c>
      <c r="C144" s="99" t="s">
        <v>444</v>
      </c>
      <c r="D144" s="816">
        <f>D136*D140</f>
        <v>54582.189873417708</v>
      </c>
      <c r="E144" s="137"/>
      <c r="F144" s="132" t="s">
        <v>36</v>
      </c>
      <c r="G144" s="165">
        <f>$G$240</f>
        <v>9.5672868962500324E-2</v>
      </c>
      <c r="H144" s="137"/>
      <c r="I144" s="77">
        <f t="shared" si="3"/>
        <v>5222.0346994458041</v>
      </c>
      <c r="J144" s="137"/>
      <c r="K144" s="185"/>
    </row>
    <row r="145" spans="1:11">
      <c r="A145" s="102">
        <v>27</v>
      </c>
      <c r="B145" s="182" t="s">
        <v>98</v>
      </c>
      <c r="C145" s="83" t="s">
        <v>445</v>
      </c>
      <c r="D145" s="817">
        <f>+D141+D142</f>
        <v>158278.48728662345</v>
      </c>
      <c r="E145" s="137"/>
      <c r="F145" s="137" t="s">
        <v>2</v>
      </c>
      <c r="G145" s="165" t="s">
        <v>2</v>
      </c>
      <c r="H145" s="137"/>
      <c r="I145" s="91">
        <f>+I141+I142</f>
        <v>501584.4383269609</v>
      </c>
      <c r="J145" s="137"/>
      <c r="K145" s="140"/>
    </row>
    <row r="146" spans="1:11">
      <c r="A146" s="102" t="s">
        <v>2</v>
      </c>
      <c r="C146" s="186"/>
      <c r="D146" s="816"/>
      <c r="E146" s="137"/>
      <c r="F146" s="137"/>
      <c r="G146" s="165"/>
      <c r="H146" s="137"/>
      <c r="I146" s="137"/>
      <c r="J146" s="137"/>
      <c r="K146" s="140"/>
    </row>
    <row r="147" spans="1:11">
      <c r="B147" s="133" t="s">
        <v>53</v>
      </c>
      <c r="C147" s="169"/>
      <c r="G147" s="165"/>
      <c r="J147" s="137"/>
    </row>
    <row r="148" spans="1:11">
      <c r="A148" s="102">
        <v>28</v>
      </c>
      <c r="B148" s="182" t="s">
        <v>801</v>
      </c>
      <c r="C148" s="101" t="s">
        <v>799</v>
      </c>
      <c r="D148" s="77">
        <f>+$I209*D86+I212</f>
        <v>905024.91144094034</v>
      </c>
      <c r="E148" s="137"/>
      <c r="F148" s="137"/>
      <c r="G148" s="165"/>
      <c r="H148" s="137"/>
      <c r="I148" s="77">
        <f>+$I209*I86+I212</f>
        <v>2868023.441840007</v>
      </c>
      <c r="J148" s="137"/>
      <c r="K148" s="168"/>
    </row>
    <row r="149" spans="1:11">
      <c r="A149" s="102"/>
      <c r="B149" s="133"/>
      <c r="D149" s="187"/>
      <c r="E149" s="137"/>
      <c r="F149" s="137"/>
      <c r="G149" s="181"/>
      <c r="H149" s="137"/>
      <c r="I149" s="187"/>
      <c r="J149" s="137"/>
      <c r="K149" s="168"/>
    </row>
    <row r="150" spans="1:11" ht="13.5" thickBot="1">
      <c r="A150" s="102">
        <v>29</v>
      </c>
      <c r="B150" s="133" t="s">
        <v>447</v>
      </c>
      <c r="C150" s="137" t="s">
        <v>446</v>
      </c>
      <c r="D150" s="100">
        <f>+D111+D118+D129+D145+D148</f>
        <v>20494321.038539525</v>
      </c>
      <c r="E150" s="140"/>
      <c r="F150" s="140"/>
      <c r="G150" s="140"/>
      <c r="H150" s="140"/>
      <c r="I150" s="100">
        <f>+I111+I118+I129+I145+I148</f>
        <v>6836355.3117796406</v>
      </c>
      <c r="J150" s="90"/>
      <c r="K150" s="89"/>
    </row>
    <row r="151" spans="1:11" ht="13.5" thickTop="1">
      <c r="A151" s="102"/>
      <c r="B151" s="133"/>
      <c r="C151" s="137"/>
      <c r="D151" s="188"/>
      <c r="E151" s="140"/>
      <c r="F151" s="140"/>
      <c r="G151" s="140"/>
      <c r="H151" s="140"/>
      <c r="I151" s="188"/>
      <c r="J151" s="90"/>
      <c r="K151" s="89"/>
    </row>
    <row r="152" spans="1:11">
      <c r="B152" s="133"/>
      <c r="C152" s="133"/>
      <c r="D152" s="134"/>
      <c r="E152" s="133"/>
      <c r="F152" s="832"/>
      <c r="G152" s="832"/>
      <c r="H152" s="832"/>
      <c r="I152" s="832"/>
      <c r="J152" s="832"/>
      <c r="K152" s="832"/>
    </row>
    <row r="153" spans="1:11">
      <c r="B153" s="133"/>
      <c r="C153" s="133"/>
      <c r="D153" s="134"/>
      <c r="E153" s="133"/>
      <c r="F153" s="133"/>
      <c r="G153" s="133"/>
      <c r="H153" s="90"/>
      <c r="I153" s="833" t="str">
        <f>I1</f>
        <v>Projected Attachment H</v>
      </c>
      <c r="J153" s="833"/>
      <c r="K153" s="833"/>
    </row>
    <row r="154" spans="1:11">
      <c r="B154" s="133"/>
      <c r="C154" s="133"/>
      <c r="D154" s="134"/>
      <c r="E154" s="133"/>
      <c r="F154" s="133"/>
      <c r="G154" s="133"/>
      <c r="H154" s="90"/>
      <c r="I154" s="90"/>
      <c r="J154" s="832" t="s">
        <v>264</v>
      </c>
      <c r="K154" s="832"/>
    </row>
    <row r="155" spans="1:11">
      <c r="B155" s="133"/>
      <c r="C155" s="133"/>
      <c r="D155" s="134"/>
      <c r="E155" s="133"/>
      <c r="F155" s="133"/>
      <c r="G155" s="133"/>
      <c r="H155" s="90"/>
      <c r="I155" s="90"/>
      <c r="J155" s="809"/>
      <c r="K155" s="809"/>
    </row>
    <row r="156" spans="1:11">
      <c r="B156" s="134" t="s">
        <v>0</v>
      </c>
      <c r="C156" s="102" t="s">
        <v>1</v>
      </c>
      <c r="E156" s="133"/>
      <c r="F156" s="133"/>
      <c r="G156" s="837" t="str">
        <f>K4</f>
        <v>Estimated - For the 12 months ended 12/31/2020</v>
      </c>
      <c r="H156" s="837"/>
      <c r="I156" s="837"/>
      <c r="J156" s="837"/>
      <c r="K156" s="837"/>
    </row>
    <row r="157" spans="1:11">
      <c r="B157" s="133"/>
      <c r="C157" s="138" t="s">
        <v>3</v>
      </c>
      <c r="E157" s="137"/>
      <c r="F157" s="137"/>
      <c r="G157" s="137"/>
      <c r="H157" s="90"/>
      <c r="I157" s="90"/>
      <c r="J157" s="90"/>
      <c r="K157" s="89"/>
    </row>
    <row r="158" spans="1:11" ht="9" customHeight="1">
      <c r="A158" s="102"/>
      <c r="J158" s="137"/>
      <c r="K158" s="140"/>
    </row>
    <row r="159" spans="1:11">
      <c r="A159" s="102"/>
      <c r="C159" s="155" t="str">
        <f>C7</f>
        <v>Cheyenne Light, Fuel &amp; Power</v>
      </c>
      <c r="J159" s="137"/>
      <c r="K159" s="140"/>
    </row>
    <row r="160" spans="1:11">
      <c r="A160" s="102"/>
      <c r="C160" s="175"/>
      <c r="J160" s="137"/>
      <c r="K160" s="140"/>
    </row>
    <row r="161" spans="1:20">
      <c r="A161" s="102"/>
      <c r="C161" s="160" t="s">
        <v>149</v>
      </c>
      <c r="E161" s="90"/>
      <c r="F161" s="90"/>
      <c r="G161" s="90"/>
      <c r="H161" s="90"/>
      <c r="I161" s="90"/>
      <c r="J161" s="137"/>
      <c r="K161" s="140"/>
    </row>
    <row r="162" spans="1:20">
      <c r="A162" s="102" t="s">
        <v>4</v>
      </c>
      <c r="B162" s="163"/>
      <c r="C162" s="90"/>
      <c r="D162" s="90"/>
      <c r="E162" s="90"/>
      <c r="F162" s="90"/>
      <c r="G162" s="90"/>
      <c r="H162" s="90"/>
      <c r="I162" s="90"/>
      <c r="J162" s="137"/>
      <c r="K162" s="140"/>
    </row>
    <row r="163" spans="1:20" ht="13.5" thickBot="1">
      <c r="A163" s="810" t="s">
        <v>6</v>
      </c>
      <c r="B163" s="812" t="s">
        <v>140</v>
      </c>
      <c r="C163" s="89"/>
      <c r="D163" s="89"/>
      <c r="E163" s="89"/>
      <c r="F163" s="89"/>
      <c r="G163" s="89"/>
      <c r="H163" s="166"/>
      <c r="I163" s="166"/>
      <c r="J163" s="140"/>
      <c r="K163" s="140"/>
    </row>
    <row r="164" spans="1:20">
      <c r="A164" s="102">
        <v>1</v>
      </c>
      <c r="B164" s="89" t="s">
        <v>449</v>
      </c>
      <c r="C164" s="133" t="s">
        <v>677</v>
      </c>
      <c r="D164" s="140"/>
      <c r="E164" s="140"/>
      <c r="F164" s="140"/>
      <c r="G164" s="140"/>
      <c r="H164" s="140"/>
      <c r="I164" s="385">
        <f>'Act Att-H'!I169</f>
        <v>44387975.0153846</v>
      </c>
      <c r="J164" s="140"/>
      <c r="K164" s="140"/>
    </row>
    <row r="165" spans="1:20">
      <c r="A165" s="102">
        <v>2</v>
      </c>
      <c r="B165" s="89" t="s">
        <v>450</v>
      </c>
      <c r="C165" s="133" t="s">
        <v>678</v>
      </c>
      <c r="D165" s="189"/>
      <c r="E165" s="166"/>
      <c r="F165" s="166"/>
      <c r="G165" s="166"/>
      <c r="H165" s="166"/>
      <c r="I165" s="385">
        <f>'Act Att-H'!I170</f>
        <v>0</v>
      </c>
      <c r="J165" s="140"/>
      <c r="K165" s="140"/>
    </row>
    <row r="166" spans="1:20">
      <c r="A166" s="102">
        <v>3</v>
      </c>
      <c r="B166" s="201" t="s">
        <v>451</v>
      </c>
      <c r="C166" s="133" t="s">
        <v>679</v>
      </c>
      <c r="D166" s="191"/>
      <c r="E166" s="140"/>
      <c r="F166" s="140"/>
      <c r="G166" s="192"/>
      <c r="H166" s="140"/>
      <c r="I166" s="385">
        <f>'Act Att-H'!I171</f>
        <v>0</v>
      </c>
      <c r="J166" s="140"/>
      <c r="K166" s="140"/>
    </row>
    <row r="167" spans="1:20">
      <c r="A167" s="102">
        <v>4</v>
      </c>
      <c r="B167" s="246" t="s">
        <v>452</v>
      </c>
      <c r="C167" s="246" t="s">
        <v>453</v>
      </c>
      <c r="D167" s="191"/>
      <c r="E167" s="140"/>
      <c r="F167" s="140"/>
      <c r="G167" s="192"/>
      <c r="H167" s="140"/>
      <c r="I167" s="248">
        <f>I164-I165-I166</f>
        <v>44387975.0153846</v>
      </c>
      <c r="J167" s="140"/>
      <c r="K167" s="140"/>
    </row>
    <row r="168" spans="1:20" ht="9" customHeight="1">
      <c r="A168" s="102"/>
      <c r="B168" s="166"/>
      <c r="C168" s="89"/>
      <c r="D168" s="191"/>
      <c r="E168" s="140"/>
      <c r="F168" s="140"/>
      <c r="G168" s="192"/>
      <c r="H168" s="140"/>
      <c r="I168" s="166"/>
      <c r="J168" s="140"/>
      <c r="K168" s="140"/>
      <c r="N168" s="189"/>
      <c r="O168" s="189"/>
      <c r="P168" s="189"/>
      <c r="Q168" s="189"/>
      <c r="R168" s="189"/>
      <c r="S168" s="189"/>
      <c r="T168" s="189"/>
    </row>
    <row r="169" spans="1:20">
      <c r="A169" s="102">
        <v>5</v>
      </c>
      <c r="B169" s="89" t="s">
        <v>454</v>
      </c>
      <c r="C169" s="194" t="s">
        <v>455</v>
      </c>
      <c r="D169" s="195"/>
      <c r="E169" s="196"/>
      <c r="F169" s="196"/>
      <c r="G169" s="197"/>
      <c r="H169" s="140" t="s">
        <v>56</v>
      </c>
      <c r="I169" s="198">
        <f>IF(I164&gt;0,I167/I164,0)</f>
        <v>1</v>
      </c>
      <c r="J169" s="140"/>
      <c r="K169" s="140"/>
      <c r="N169" s="199"/>
      <c r="O169" s="199"/>
      <c r="P169" s="199"/>
      <c r="Q169" s="189"/>
      <c r="R169" s="189"/>
      <c r="S169" s="189"/>
      <c r="T169" s="189"/>
    </row>
    <row r="170" spans="1:20" ht="9" customHeight="1">
      <c r="A170" s="102"/>
      <c r="B170" s="166"/>
      <c r="C170" s="166"/>
      <c r="D170" s="189"/>
      <c r="E170" s="166"/>
      <c r="F170" s="166"/>
      <c r="G170" s="166"/>
      <c r="H170" s="166"/>
      <c r="I170" s="166"/>
      <c r="J170" s="140"/>
      <c r="K170" s="140"/>
      <c r="N170" s="200"/>
      <c r="O170" s="189"/>
      <c r="P170" s="191"/>
      <c r="Q170" s="200"/>
      <c r="R170" s="189"/>
      <c r="S170" s="189"/>
      <c r="T170" s="189"/>
    </row>
    <row r="171" spans="1:20">
      <c r="A171" s="102"/>
      <c r="B171" s="812" t="s">
        <v>54</v>
      </c>
      <c r="C171" s="166"/>
      <c r="D171" s="189"/>
      <c r="E171" s="166"/>
      <c r="F171" s="166"/>
      <c r="G171" s="166"/>
      <c r="H171" s="166"/>
      <c r="I171" s="166"/>
      <c r="J171" s="140"/>
      <c r="K171" s="140"/>
      <c r="N171" s="838"/>
      <c r="O171" s="838"/>
      <c r="P171" s="838"/>
      <c r="Q171" s="838"/>
      <c r="R171" s="838"/>
      <c r="S171" s="838"/>
      <c r="T171" s="189"/>
    </row>
    <row r="172" spans="1:20">
      <c r="A172" s="102">
        <v>6</v>
      </c>
      <c r="B172" s="166" t="s">
        <v>456</v>
      </c>
      <c r="C172" s="166" t="s">
        <v>466</v>
      </c>
      <c r="D172" s="201"/>
      <c r="E172" s="89"/>
      <c r="F172" s="89"/>
      <c r="G172" s="158"/>
      <c r="H172" s="89"/>
      <c r="I172" s="385">
        <f>D100</f>
        <v>21637582.197698884</v>
      </c>
      <c r="J172" s="140"/>
      <c r="K172" s="140"/>
      <c r="N172" s="189"/>
      <c r="O172" s="189"/>
      <c r="P172" s="191"/>
      <c r="Q172" s="200"/>
      <c r="R172" s="189"/>
      <c r="S172" s="189"/>
      <c r="T172" s="189"/>
    </row>
    <row r="173" spans="1:20">
      <c r="A173" s="102">
        <v>7</v>
      </c>
      <c r="B173" s="201" t="s">
        <v>465</v>
      </c>
      <c r="C173" s="133" t="s">
        <v>680</v>
      </c>
      <c r="D173" s="191"/>
      <c r="E173" s="191"/>
      <c r="F173" s="140"/>
      <c r="G173" s="140"/>
      <c r="H173" s="140"/>
      <c r="I173" s="385">
        <f>'Act Att-H'!I178</f>
        <v>0</v>
      </c>
      <c r="J173" s="140"/>
      <c r="K173" s="140"/>
      <c r="N173" s="203"/>
      <c r="O173" s="204"/>
      <c r="P173" s="191"/>
      <c r="Q173" s="200"/>
      <c r="R173" s="189"/>
      <c r="S173" s="189"/>
      <c r="T173" s="189"/>
    </row>
    <row r="174" spans="1:20">
      <c r="A174" s="102">
        <v>8</v>
      </c>
      <c r="B174" s="246" t="s">
        <v>458</v>
      </c>
      <c r="C174" s="247" t="s">
        <v>457</v>
      </c>
      <c r="D174" s="195"/>
      <c r="E174" s="196"/>
      <c r="F174" s="196"/>
      <c r="G174" s="197"/>
      <c r="H174" s="196"/>
      <c r="I174" s="248">
        <f>+I172-I173</f>
        <v>21637582.197698884</v>
      </c>
      <c r="J174" s="166"/>
      <c r="N174" s="205"/>
      <c r="O174" s="206"/>
      <c r="P174" s="207"/>
      <c r="Q174" s="207"/>
      <c r="R174" s="189"/>
      <c r="S174" s="189"/>
      <c r="T174" s="189"/>
    </row>
    <row r="175" spans="1:20">
      <c r="A175" s="102"/>
      <c r="B175" s="89"/>
      <c r="C175" s="89"/>
      <c r="D175" s="191"/>
      <c r="E175" s="140"/>
      <c r="F175" s="140"/>
      <c r="G175" s="140"/>
      <c r="H175" s="166"/>
      <c r="I175" s="166"/>
      <c r="J175" s="166"/>
      <c r="N175" s="205"/>
      <c r="O175" s="206"/>
      <c r="P175" s="189"/>
      <c r="Q175" s="189"/>
      <c r="R175" s="189"/>
      <c r="S175" s="189"/>
      <c r="T175" s="189"/>
    </row>
    <row r="176" spans="1:20">
      <c r="A176" s="102">
        <v>9</v>
      </c>
      <c r="B176" s="89" t="s">
        <v>459</v>
      </c>
      <c r="C176" s="89" t="s">
        <v>467</v>
      </c>
      <c r="D176" s="191"/>
      <c r="E176" s="140"/>
      <c r="F176" s="140"/>
      <c r="G176" s="140"/>
      <c r="H176" s="140"/>
      <c r="I176" s="178">
        <f>IF(I172&gt;0,I174/I172,0)</f>
        <v>1</v>
      </c>
      <c r="J176" s="166"/>
      <c r="N176" s="200"/>
      <c r="O176" s="208"/>
      <c r="P176" s="209"/>
      <c r="Q176" s="209"/>
      <c r="R176" s="189"/>
      <c r="S176" s="189"/>
      <c r="T176" s="189"/>
    </row>
    <row r="177" spans="1:20">
      <c r="A177" s="102">
        <v>10</v>
      </c>
      <c r="B177" s="89" t="s">
        <v>460</v>
      </c>
      <c r="C177" s="89" t="s">
        <v>461</v>
      </c>
      <c r="D177" s="140"/>
      <c r="E177" s="140"/>
      <c r="F177" s="140"/>
      <c r="G177" s="140"/>
      <c r="H177" s="89" t="s">
        <v>11</v>
      </c>
      <c r="I177" s="210">
        <f>I169</f>
        <v>1</v>
      </c>
      <c r="J177" s="166"/>
      <c r="N177" s="203"/>
      <c r="O177" s="209"/>
      <c r="P177" s="189"/>
      <c r="Q177" s="209"/>
      <c r="R177" s="189"/>
      <c r="S177" s="189"/>
      <c r="T177" s="189"/>
    </row>
    <row r="178" spans="1:20">
      <c r="A178" s="102">
        <v>11</v>
      </c>
      <c r="B178" s="89" t="s">
        <v>463</v>
      </c>
      <c r="C178" s="89" t="s">
        <v>462</v>
      </c>
      <c r="D178" s="89"/>
      <c r="E178" s="89"/>
      <c r="F178" s="89"/>
      <c r="G178" s="89"/>
      <c r="H178" s="89" t="s">
        <v>55</v>
      </c>
      <c r="I178" s="211">
        <f>+I177*I176</f>
        <v>1</v>
      </c>
      <c r="J178" s="166"/>
      <c r="N178" s="203"/>
      <c r="O178" s="209"/>
      <c r="P178" s="189"/>
      <c r="Q178" s="209"/>
      <c r="R178" s="189"/>
      <c r="S178" s="189"/>
      <c r="T178" s="189"/>
    </row>
    <row r="179" spans="1:20">
      <c r="A179" s="102"/>
      <c r="C179" s="90"/>
      <c r="D179" s="137"/>
      <c r="E179" s="137"/>
      <c r="F179" s="137"/>
      <c r="G179" s="138"/>
      <c r="H179" s="137"/>
      <c r="N179" s="203"/>
      <c r="O179" s="209"/>
      <c r="P179" s="189"/>
      <c r="Q179" s="212"/>
      <c r="R179" s="189"/>
      <c r="S179" s="189"/>
      <c r="T179" s="189"/>
    </row>
    <row r="180" spans="1:20">
      <c r="A180" s="102" t="s">
        <v>2</v>
      </c>
      <c r="B180" s="133" t="s">
        <v>57</v>
      </c>
      <c r="C180" s="137"/>
      <c r="D180" s="137"/>
      <c r="E180" s="137"/>
      <c r="F180" s="137"/>
      <c r="G180" s="137"/>
      <c r="H180" s="137"/>
      <c r="I180" s="137"/>
      <c r="J180" s="137"/>
      <c r="K180" s="140"/>
      <c r="N180" s="205"/>
      <c r="O180" s="206"/>
      <c r="P180" s="191"/>
      <c r="Q180" s="200"/>
      <c r="R180" s="189"/>
      <c r="S180" s="189"/>
      <c r="T180" s="189"/>
    </row>
    <row r="181" spans="1:20" ht="13.5" thickBot="1">
      <c r="A181" s="102" t="s">
        <v>2</v>
      </c>
      <c r="B181" s="133"/>
      <c r="C181" s="213" t="s">
        <v>635</v>
      </c>
      <c r="D181" s="214" t="s">
        <v>59</v>
      </c>
      <c r="E181" s="214" t="s">
        <v>11</v>
      </c>
      <c r="F181" s="137"/>
      <c r="G181" s="214" t="s">
        <v>60</v>
      </c>
      <c r="H181" s="137"/>
      <c r="I181" s="137"/>
      <c r="J181" s="137"/>
      <c r="K181" s="140"/>
      <c r="N181" s="205"/>
      <c r="O181" s="206"/>
      <c r="P181" s="191"/>
      <c r="Q181" s="200"/>
      <c r="R181" s="189"/>
      <c r="S181" s="189"/>
      <c r="T181" s="189"/>
    </row>
    <row r="182" spans="1:20">
      <c r="A182" s="102">
        <v>12</v>
      </c>
      <c r="B182" s="133" t="s">
        <v>26</v>
      </c>
      <c r="C182" s="133" t="s">
        <v>662</v>
      </c>
      <c r="D182" s="385">
        <f>'Act Att-H'!D187</f>
        <v>3254875</v>
      </c>
      <c r="E182" s="215">
        <v>0</v>
      </c>
      <c r="F182" s="215"/>
      <c r="G182" s="147">
        <f>D182*E182</f>
        <v>0</v>
      </c>
      <c r="H182" s="137"/>
      <c r="I182" s="137"/>
      <c r="J182" s="137"/>
      <c r="K182" s="140"/>
      <c r="N182" s="189"/>
      <c r="O182" s="189"/>
      <c r="P182" s="189"/>
      <c r="Q182" s="189"/>
      <c r="R182" s="189"/>
      <c r="S182" s="189"/>
      <c r="T182" s="189"/>
    </row>
    <row r="183" spans="1:20">
      <c r="A183" s="102">
        <v>13</v>
      </c>
      <c r="B183" s="133" t="s">
        <v>28</v>
      </c>
      <c r="C183" s="133" t="s">
        <v>663</v>
      </c>
      <c r="D183" s="385">
        <f>'Act Att-H'!D188</f>
        <v>472099</v>
      </c>
      <c r="E183" s="216">
        <f>+I169</f>
        <v>1</v>
      </c>
      <c r="F183" s="215"/>
      <c r="G183" s="147">
        <f>D183*E183</f>
        <v>472099</v>
      </c>
      <c r="H183" s="137"/>
      <c r="I183" s="137"/>
      <c r="J183" s="137"/>
      <c r="K183" s="140"/>
      <c r="N183" s="189"/>
      <c r="O183" s="189"/>
      <c r="P183" s="189"/>
      <c r="Q183" s="189"/>
      <c r="R183" s="189"/>
      <c r="S183" s="189"/>
      <c r="T183" s="189"/>
    </row>
    <row r="184" spans="1:20">
      <c r="A184" s="102">
        <v>14</v>
      </c>
      <c r="B184" s="133" t="s">
        <v>29</v>
      </c>
      <c r="C184" s="133" t="s">
        <v>664</v>
      </c>
      <c r="D184" s="385">
        <f>'Act Att-H'!D189</f>
        <v>1538575</v>
      </c>
      <c r="E184" s="215">
        <v>0</v>
      </c>
      <c r="F184" s="215"/>
      <c r="G184" s="147">
        <f>D184*E184</f>
        <v>0</v>
      </c>
      <c r="H184" s="137"/>
      <c r="I184" s="217" t="s">
        <v>61</v>
      </c>
      <c r="J184" s="137"/>
      <c r="K184" s="140"/>
    </row>
    <row r="185" spans="1:20" ht="13.5" thickBot="1">
      <c r="A185" s="102">
        <v>15</v>
      </c>
      <c r="B185" s="133" t="s">
        <v>62</v>
      </c>
      <c r="C185" s="133" t="s">
        <v>665</v>
      </c>
      <c r="D185" s="385">
        <f>'Act Att-H'!D190</f>
        <v>291468</v>
      </c>
      <c r="E185" s="215">
        <v>0</v>
      </c>
      <c r="F185" s="215"/>
      <c r="G185" s="218">
        <f>D185*E185</f>
        <v>0</v>
      </c>
      <c r="H185" s="137"/>
      <c r="I185" s="810" t="s">
        <v>63</v>
      </c>
      <c r="J185" s="137"/>
      <c r="K185" s="140"/>
    </row>
    <row r="186" spans="1:20">
      <c r="A186" s="102">
        <v>16</v>
      </c>
      <c r="B186" s="133" t="s">
        <v>469</v>
      </c>
      <c r="C186" s="137" t="s">
        <v>468</v>
      </c>
      <c r="D186" s="242">
        <f>SUM(D182:D185)</f>
        <v>5557017</v>
      </c>
      <c r="E186" s="137"/>
      <c r="F186" s="137"/>
      <c r="G186" s="147">
        <f>SUM(G182:G185)</f>
        <v>472099</v>
      </c>
      <c r="H186" s="102" t="s">
        <v>64</v>
      </c>
      <c r="I186" s="165">
        <f>IF(G186&gt;0,G186/D186,0)</f>
        <v>8.4955471613637312E-2</v>
      </c>
      <c r="J186" s="138" t="s">
        <v>64</v>
      </c>
      <c r="K186" s="185" t="s">
        <v>108</v>
      </c>
    </row>
    <row r="187" spans="1:20" ht="9" customHeight="1">
      <c r="A187" s="102"/>
      <c r="B187" s="133"/>
      <c r="C187" s="137"/>
      <c r="D187" s="137"/>
      <c r="E187" s="137"/>
      <c r="F187" s="137"/>
      <c r="G187" s="137"/>
      <c r="H187" s="137"/>
      <c r="I187" s="137"/>
      <c r="J187" s="137"/>
      <c r="K187" s="140"/>
    </row>
    <row r="188" spans="1:20">
      <c r="A188" s="102"/>
      <c r="B188" s="133" t="s">
        <v>170</v>
      </c>
      <c r="C188" s="137"/>
      <c r="D188" s="138" t="s">
        <v>59</v>
      </c>
      <c r="E188" s="137"/>
      <c r="F188" s="137"/>
      <c r="G188" s="138" t="s">
        <v>65</v>
      </c>
      <c r="H188" s="181" t="s">
        <v>2</v>
      </c>
      <c r="I188" s="167" t="str">
        <f>+I184</f>
        <v>W&amp;S Allocator</v>
      </c>
      <c r="J188" s="137"/>
      <c r="K188" s="140"/>
    </row>
    <row r="189" spans="1:20">
      <c r="A189" s="102">
        <v>17</v>
      </c>
      <c r="B189" s="133" t="s">
        <v>66</v>
      </c>
      <c r="C189" s="133" t="s">
        <v>666</v>
      </c>
      <c r="D189" s="385">
        <f>'Act Att-H'!D194</f>
        <v>546095055</v>
      </c>
      <c r="E189" s="137"/>
      <c r="G189" s="102" t="s">
        <v>68</v>
      </c>
      <c r="H189" s="181"/>
      <c r="I189" s="102" t="s">
        <v>69</v>
      </c>
      <c r="J189" s="137"/>
      <c r="K189" s="158" t="s">
        <v>70</v>
      </c>
    </row>
    <row r="190" spans="1:20">
      <c r="A190" s="102">
        <v>18</v>
      </c>
      <c r="B190" s="133" t="s">
        <v>71</v>
      </c>
      <c r="C190" s="133" t="s">
        <v>667</v>
      </c>
      <c r="D190" s="385">
        <v>0</v>
      </c>
      <c r="E190" s="137"/>
      <c r="G190" s="146">
        <f>IF(D192&gt;0,D189/D192,0)</f>
        <v>1</v>
      </c>
      <c r="H190" s="138" t="s">
        <v>72</v>
      </c>
      <c r="I190" s="146">
        <f>I186</f>
        <v>8.4955471613637312E-2</v>
      </c>
      <c r="J190" s="181" t="s">
        <v>64</v>
      </c>
      <c r="K190" s="219">
        <f>I190*G190</f>
        <v>8.4955471613637312E-2</v>
      </c>
    </row>
    <row r="191" spans="1:20">
      <c r="A191" s="102">
        <v>19</v>
      </c>
      <c r="B191" s="243" t="s">
        <v>73</v>
      </c>
      <c r="C191" s="133" t="s">
        <v>668</v>
      </c>
      <c r="D191" s="385">
        <v>0</v>
      </c>
      <c r="E191" s="137"/>
      <c r="F191" s="137"/>
      <c r="G191" s="137" t="s">
        <v>2</v>
      </c>
      <c r="H191" s="137"/>
      <c r="I191" s="137"/>
      <c r="J191" s="137"/>
      <c r="K191" s="140"/>
    </row>
    <row r="192" spans="1:20">
      <c r="A192" s="102">
        <v>20</v>
      </c>
      <c r="B192" s="244" t="s">
        <v>469</v>
      </c>
      <c r="C192" s="245" t="s">
        <v>470</v>
      </c>
      <c r="D192" s="242">
        <f>D189+D190+D191</f>
        <v>546095055</v>
      </c>
      <c r="E192" s="137"/>
      <c r="F192" s="137"/>
      <c r="G192" s="137"/>
      <c r="H192" s="137"/>
      <c r="I192" s="137"/>
      <c r="J192" s="137"/>
      <c r="K192" s="140"/>
    </row>
    <row r="193" spans="1:11" ht="9" customHeight="1">
      <c r="A193" s="102"/>
      <c r="B193" s="133"/>
      <c r="C193" s="137"/>
      <c r="E193" s="137"/>
      <c r="F193" s="137"/>
      <c r="G193" s="137"/>
      <c r="H193" s="137"/>
      <c r="I193" s="137"/>
      <c r="J193" s="137"/>
      <c r="K193" s="140"/>
    </row>
    <row r="194" spans="1:11" ht="13.5" thickBot="1">
      <c r="A194" s="102"/>
      <c r="B194" s="133" t="s">
        <v>74</v>
      </c>
      <c r="C194" s="137"/>
      <c r="D194" s="137"/>
      <c r="E194" s="137"/>
      <c r="F194" s="137"/>
      <c r="G194" s="137"/>
      <c r="H194" s="137"/>
      <c r="I194" s="214" t="s">
        <v>59</v>
      </c>
      <c r="J194" s="137"/>
      <c r="K194" s="140"/>
    </row>
    <row r="195" spans="1:11">
      <c r="A195" s="102">
        <v>21</v>
      </c>
      <c r="B195" s="137" t="s">
        <v>473</v>
      </c>
      <c r="C195" s="133" t="s">
        <v>669</v>
      </c>
      <c r="D195" s="137"/>
      <c r="E195" s="137"/>
      <c r="F195" s="137"/>
      <c r="G195" s="137"/>
      <c r="H195" s="137"/>
      <c r="I195" s="385">
        <f>'Act Att-H'!I200</f>
        <v>12711631</v>
      </c>
      <c r="J195" s="137"/>
      <c r="K195" s="140"/>
    </row>
    <row r="196" spans="1:11" ht="9" customHeight="1">
      <c r="A196" s="102"/>
      <c r="B196" s="137"/>
      <c r="C196" s="140"/>
      <c r="D196" s="137"/>
      <c r="E196" s="137"/>
      <c r="F196" s="137"/>
      <c r="G196" s="137"/>
      <c r="H196" s="137"/>
      <c r="I196" s="137"/>
      <c r="J196" s="137"/>
      <c r="K196" s="140"/>
    </row>
    <row r="197" spans="1:11">
      <c r="A197" s="102">
        <v>22</v>
      </c>
      <c r="B197" s="137" t="s">
        <v>472</v>
      </c>
      <c r="C197" s="133" t="s">
        <v>670</v>
      </c>
      <c r="D197" s="137"/>
      <c r="E197" s="137"/>
      <c r="F197" s="137"/>
      <c r="G197" s="137"/>
      <c r="H197" s="140"/>
      <c r="I197" s="385">
        <f>'Act Att-H'!I202</f>
        <v>0</v>
      </c>
      <c r="J197" s="137"/>
      <c r="K197" s="140"/>
    </row>
    <row r="198" spans="1:11" ht="9" customHeight="1">
      <c r="A198" s="102"/>
      <c r="B198" s="133"/>
      <c r="C198" s="137"/>
      <c r="D198" s="137"/>
      <c r="E198" s="137"/>
      <c r="F198" s="137"/>
      <c r="G198" s="137"/>
      <c r="H198" s="137"/>
      <c r="I198" s="137"/>
      <c r="J198" s="137"/>
      <c r="K198" s="140"/>
    </row>
    <row r="199" spans="1:11">
      <c r="A199" s="102"/>
      <c r="B199" s="223" t="s">
        <v>474</v>
      </c>
      <c r="C199" s="137"/>
      <c r="D199" s="137"/>
      <c r="E199" s="137"/>
      <c r="F199" s="137"/>
      <c r="G199" s="137"/>
      <c r="H199" s="137"/>
      <c r="I199" s="137"/>
      <c r="J199" s="137"/>
      <c r="K199" s="140"/>
    </row>
    <row r="200" spans="1:11">
      <c r="A200" s="102">
        <v>23</v>
      </c>
      <c r="B200" s="137" t="s">
        <v>478</v>
      </c>
      <c r="C200" s="133" t="s">
        <v>671</v>
      </c>
      <c r="D200" s="90"/>
      <c r="E200" s="137"/>
      <c r="F200" s="137"/>
      <c r="G200" s="137"/>
      <c r="H200" s="137"/>
      <c r="I200" s="385">
        <f>'Act Att-H'!I205</f>
        <v>235072508</v>
      </c>
      <c r="J200" s="137"/>
      <c r="K200" s="140"/>
    </row>
    <row r="201" spans="1:11">
      <c r="A201" s="102">
        <v>24</v>
      </c>
      <c r="B201" s="137" t="s">
        <v>479</v>
      </c>
      <c r="C201" s="133" t="s">
        <v>672</v>
      </c>
      <c r="D201" s="137"/>
      <c r="E201" s="137"/>
      <c r="F201" s="137"/>
      <c r="G201" s="137"/>
      <c r="H201" s="137"/>
      <c r="I201" s="385">
        <f>'Act Att-H'!I206</f>
        <v>0</v>
      </c>
      <c r="J201" s="137"/>
      <c r="K201" s="140"/>
    </row>
    <row r="202" spans="1:11">
      <c r="A202" s="102">
        <v>25</v>
      </c>
      <c r="B202" s="201" t="s">
        <v>480</v>
      </c>
      <c r="C202" s="133" t="s">
        <v>673</v>
      </c>
      <c r="D202" s="137"/>
      <c r="E202" s="137"/>
      <c r="F202" s="137"/>
      <c r="G202" s="137"/>
      <c r="H202" s="137"/>
      <c r="I202" s="385">
        <f>'Act Att-H'!I207</f>
        <v>0</v>
      </c>
      <c r="J202" s="137"/>
      <c r="K202" s="140"/>
    </row>
    <row r="203" spans="1:11">
      <c r="A203" s="102">
        <v>26</v>
      </c>
      <c r="B203" s="246" t="s">
        <v>75</v>
      </c>
      <c r="C203" s="247" t="s">
        <v>76</v>
      </c>
      <c r="D203" s="147"/>
      <c r="E203" s="90"/>
      <c r="F203" s="90"/>
      <c r="G203" s="90"/>
      <c r="H203" s="90"/>
      <c r="I203" s="242">
        <f>+I200+I201+I202</f>
        <v>235072508</v>
      </c>
      <c r="J203" s="137"/>
      <c r="K203" s="140"/>
    </row>
    <row r="204" spans="1:11">
      <c r="A204" s="102"/>
      <c r="B204" s="133"/>
      <c r="C204" s="137"/>
      <c r="D204" s="137"/>
      <c r="E204" s="137"/>
      <c r="F204" s="137"/>
      <c r="G204" s="138"/>
      <c r="H204" s="137"/>
      <c r="I204" s="137"/>
      <c r="J204" s="137"/>
      <c r="K204" s="140"/>
    </row>
    <row r="205" spans="1:11" ht="13.5" thickBot="1">
      <c r="A205" s="102"/>
      <c r="B205" s="133"/>
      <c r="C205" s="137"/>
      <c r="D205" s="810" t="s">
        <v>59</v>
      </c>
      <c r="E205" s="810" t="s">
        <v>78</v>
      </c>
      <c r="F205" s="137"/>
      <c r="G205" s="252" t="s">
        <v>77</v>
      </c>
      <c r="H205" s="137"/>
      <c r="I205" s="810" t="s">
        <v>79</v>
      </c>
      <c r="J205" s="137"/>
      <c r="K205" s="140"/>
    </row>
    <row r="206" spans="1:11">
      <c r="A206" s="102">
        <v>27</v>
      </c>
      <c r="B206" s="133" t="s">
        <v>485</v>
      </c>
      <c r="C206" s="133" t="s">
        <v>674</v>
      </c>
      <c r="D206" s="385">
        <f>'Act Att-H'!D211</f>
        <v>202000000</v>
      </c>
      <c r="E206" s="224">
        <f>IF($D$209&gt;0,D206/$D$209,0)</f>
        <v>0.46216587935107556</v>
      </c>
      <c r="F206" s="225"/>
      <c r="G206" s="226">
        <f>IF(D206&gt;0,I195/D206,0)</f>
        <v>6.2928866336633665E-2</v>
      </c>
      <c r="I206" s="226">
        <f>G206*E206</f>
        <v>2.9083574847036595E-2</v>
      </c>
      <c r="J206" s="227" t="s">
        <v>80</v>
      </c>
    </row>
    <row r="207" spans="1:11">
      <c r="A207" s="102">
        <v>28</v>
      </c>
      <c r="B207" s="133" t="s">
        <v>486</v>
      </c>
      <c r="C207" s="133" t="s">
        <v>675</v>
      </c>
      <c r="D207" s="385">
        <f>'Act Att-H'!D212</f>
        <v>0</v>
      </c>
      <c r="E207" s="224">
        <f>IF($D$209&gt;0,D207/$D$209,0)</f>
        <v>0</v>
      </c>
      <c r="F207" s="225"/>
      <c r="G207" s="226">
        <f>IF(D207&gt;0,I197/D207,0)</f>
        <v>0</v>
      </c>
      <c r="I207" s="226">
        <f>G207*E207</f>
        <v>0</v>
      </c>
      <c r="J207" s="137"/>
    </row>
    <row r="208" spans="1:11" ht="13.5" thickBot="1">
      <c r="A208" s="102">
        <v>29</v>
      </c>
      <c r="B208" s="201" t="s">
        <v>487</v>
      </c>
      <c r="C208" s="133" t="s">
        <v>676</v>
      </c>
      <c r="D208" s="385">
        <f>'Act Att-H'!D213</f>
        <v>235072508</v>
      </c>
      <c r="E208" s="224">
        <f>IF($D$209&gt;0,D208/$D$209,0)</f>
        <v>0.53783412064892444</v>
      </c>
      <c r="F208" s="225"/>
      <c r="G208" s="819">
        <f>'Act Att-H'!G213</f>
        <v>0.104</v>
      </c>
      <c r="I208" s="228">
        <f>G208*E208</f>
        <v>5.5934748547488138E-2</v>
      </c>
      <c r="J208" s="137"/>
    </row>
    <row r="209" spans="1:11">
      <c r="A209" s="102">
        <v>30</v>
      </c>
      <c r="B209" s="246" t="s">
        <v>428</v>
      </c>
      <c r="C209" s="247" t="s">
        <v>1037</v>
      </c>
      <c r="D209" s="242">
        <f>D208+D207+D206</f>
        <v>437072508</v>
      </c>
      <c r="E209" s="137" t="s">
        <v>2</v>
      </c>
      <c r="F209" s="137"/>
      <c r="G209" s="137"/>
      <c r="H209" s="137"/>
      <c r="I209" s="226">
        <f>SUM(I206:I208)</f>
        <v>8.5018323394524725E-2</v>
      </c>
      <c r="J209" s="227" t="s">
        <v>81</v>
      </c>
    </row>
    <row r="210" spans="1:11" ht="9" customHeight="1">
      <c r="E210" s="137"/>
      <c r="F210" s="137"/>
      <c r="G210" s="137"/>
      <c r="H210" s="137"/>
    </row>
    <row r="211" spans="1:11">
      <c r="A211" s="812"/>
      <c r="B211" s="812"/>
      <c r="C211" s="812"/>
      <c r="D211" s="137"/>
      <c r="E211" s="137"/>
      <c r="F211" s="169"/>
      <c r="G211" s="140"/>
      <c r="H211" s="140"/>
      <c r="I211" s="140"/>
      <c r="J211" s="140"/>
      <c r="K211" s="140"/>
    </row>
    <row r="212" spans="1:11">
      <c r="A212" s="102">
        <v>31</v>
      </c>
      <c r="B212" s="133" t="s">
        <v>794</v>
      </c>
      <c r="C212" s="133" t="s">
        <v>817</v>
      </c>
      <c r="D212" s="134"/>
      <c r="E212" s="133"/>
      <c r="F212" s="133"/>
      <c r="G212" s="812"/>
      <c r="H212" s="467"/>
      <c r="I212" s="385">
        <f>'P4-IncentPlant'!F47</f>
        <v>0</v>
      </c>
      <c r="J212" s="467"/>
      <c r="K212" s="467"/>
    </row>
    <row r="213" spans="1:11">
      <c r="B213" s="133"/>
      <c r="C213" s="133"/>
      <c r="D213" s="134"/>
      <c r="E213" s="133"/>
      <c r="F213" s="133"/>
      <c r="G213" s="832"/>
      <c r="H213" s="832"/>
      <c r="I213" s="832"/>
      <c r="J213" s="832"/>
      <c r="K213" s="832"/>
    </row>
    <row r="214" spans="1:11">
      <c r="B214" s="133"/>
      <c r="C214" s="133"/>
      <c r="D214" s="134"/>
      <c r="E214" s="133"/>
      <c r="F214" s="133"/>
      <c r="G214" s="133"/>
      <c r="H214" s="90"/>
      <c r="I214" s="833" t="str">
        <f>I1</f>
        <v>Projected Attachment H</v>
      </c>
      <c r="J214" s="833"/>
      <c r="K214" s="833"/>
    </row>
    <row r="215" spans="1:11">
      <c r="B215" s="133"/>
      <c r="C215" s="133"/>
      <c r="D215" s="134"/>
      <c r="E215" s="133"/>
      <c r="F215" s="133"/>
      <c r="G215" s="133"/>
      <c r="H215" s="90"/>
      <c r="I215" s="90"/>
      <c r="J215" s="832" t="s">
        <v>395</v>
      </c>
      <c r="K215" s="832"/>
    </row>
    <row r="216" spans="1:11">
      <c r="B216" s="133"/>
      <c r="C216" s="133"/>
      <c r="D216" s="134"/>
      <c r="E216" s="133"/>
      <c r="F216" s="133"/>
      <c r="G216" s="133"/>
      <c r="H216" s="90"/>
      <c r="I216" s="90"/>
      <c r="J216" s="90"/>
      <c r="K216" s="809"/>
    </row>
    <row r="217" spans="1:11">
      <c r="B217" s="134" t="s">
        <v>0</v>
      </c>
      <c r="C217" s="102" t="s">
        <v>1</v>
      </c>
      <c r="E217" s="133"/>
      <c r="F217" s="133"/>
      <c r="G217" s="133"/>
      <c r="H217" s="90"/>
      <c r="I217" s="90"/>
      <c r="J217" s="90"/>
      <c r="K217" s="811" t="str">
        <f>K4</f>
        <v>Estimated - For the 12 months ended 12/31/2020</v>
      </c>
    </row>
    <row r="218" spans="1:11">
      <c r="B218" s="133"/>
      <c r="C218" s="138" t="s">
        <v>3</v>
      </c>
      <c r="E218" s="137"/>
      <c r="F218" s="137"/>
      <c r="G218" s="137"/>
      <c r="H218" s="90"/>
      <c r="I218" s="90"/>
      <c r="J218" s="90"/>
      <c r="K218" s="89"/>
    </row>
    <row r="219" spans="1:11">
      <c r="A219" s="102"/>
      <c r="B219" s="229"/>
      <c r="C219" s="137"/>
      <c r="E219" s="137"/>
      <c r="F219" s="137"/>
      <c r="G219" s="137"/>
      <c r="H219" s="90"/>
      <c r="I219" s="230"/>
      <c r="J219" s="166"/>
      <c r="K219" s="140"/>
    </row>
    <row r="220" spans="1:11">
      <c r="A220" s="102"/>
      <c r="B220" s="229"/>
      <c r="C220" s="231" t="str">
        <f>C7</f>
        <v>Cheyenne Light, Fuel &amp; Power</v>
      </c>
      <c r="E220" s="137"/>
      <c r="F220" s="137"/>
      <c r="G220" s="137"/>
      <c r="H220" s="90"/>
      <c r="I220" s="230"/>
      <c r="J220" s="166"/>
      <c r="K220" s="140"/>
    </row>
    <row r="221" spans="1:11">
      <c r="A221" s="102"/>
      <c r="B221" s="229"/>
      <c r="C221" s="231"/>
      <c r="E221" s="137"/>
      <c r="F221" s="137"/>
      <c r="G221" s="137"/>
      <c r="H221" s="90"/>
      <c r="I221" s="230"/>
      <c r="J221" s="166"/>
      <c r="K221" s="140"/>
    </row>
    <row r="222" spans="1:11" ht="15.75" customHeight="1">
      <c r="A222" s="102"/>
      <c r="B222" s="102" t="s">
        <v>15</v>
      </c>
      <c r="C222" s="102" t="s">
        <v>16</v>
      </c>
      <c r="D222" s="102" t="s">
        <v>17</v>
      </c>
      <c r="E222" s="137" t="s">
        <v>2</v>
      </c>
      <c r="F222" s="137"/>
      <c r="G222" s="156" t="s">
        <v>18</v>
      </c>
      <c r="H222" s="137"/>
      <c r="I222" s="157" t="s">
        <v>19</v>
      </c>
      <c r="J222" s="166"/>
      <c r="K222" s="140"/>
    </row>
    <row r="223" spans="1:11">
      <c r="A223" s="102" t="s">
        <v>4</v>
      </c>
      <c r="B223" s="133"/>
      <c r="C223" s="159"/>
      <c r="D223" s="137"/>
      <c r="E223" s="137"/>
      <c r="F223" s="137"/>
      <c r="G223" s="102"/>
      <c r="H223" s="137"/>
      <c r="I223" s="160" t="s">
        <v>21</v>
      </c>
      <c r="J223" s="137"/>
      <c r="K223" s="140"/>
    </row>
    <row r="224" spans="1:11" ht="13.5" thickBot="1">
      <c r="A224" s="810" t="s">
        <v>6</v>
      </c>
      <c r="B224" s="133"/>
      <c r="C224" s="161" t="s">
        <v>635</v>
      </c>
      <c r="D224" s="160" t="s">
        <v>23</v>
      </c>
      <c r="E224" s="162"/>
      <c r="F224" s="160" t="s">
        <v>24</v>
      </c>
      <c r="H224" s="162"/>
      <c r="I224" s="102" t="s">
        <v>25</v>
      </c>
      <c r="J224" s="137"/>
      <c r="K224" s="140"/>
    </row>
    <row r="225" spans="1:11">
      <c r="A225" s="102"/>
      <c r="B225" s="229"/>
      <c r="C225" s="102"/>
      <c r="D225" s="137"/>
      <c r="E225" s="137"/>
      <c r="F225" s="137"/>
      <c r="G225" s="137"/>
      <c r="H225" s="90"/>
      <c r="I225" s="230"/>
      <c r="J225" s="137"/>
      <c r="K225" s="140"/>
    </row>
    <row r="226" spans="1:11">
      <c r="A226" s="102"/>
      <c r="B226" s="133" t="s">
        <v>851</v>
      </c>
      <c r="C226" s="137"/>
      <c r="D226" s="138" t="s">
        <v>59</v>
      </c>
      <c r="E226" s="137"/>
      <c r="F226" s="137"/>
      <c r="G226" s="138"/>
      <c r="H226" s="181" t="s">
        <v>2</v>
      </c>
      <c r="I226" s="167"/>
      <c r="J226" s="137"/>
      <c r="K226" s="140"/>
    </row>
    <row r="227" spans="1:11">
      <c r="A227" s="102">
        <v>1</v>
      </c>
      <c r="B227" s="133" t="s">
        <v>26</v>
      </c>
      <c r="C227" s="137" t="s">
        <v>853</v>
      </c>
      <c r="D227" s="385">
        <f>'Act Att-H'!D45</f>
        <v>304803321.26615387</v>
      </c>
      <c r="E227" s="137"/>
      <c r="F227" s="137" t="s">
        <v>27</v>
      </c>
      <c r="G227" s="164" t="s">
        <v>2</v>
      </c>
      <c r="H227" s="137"/>
      <c r="I227" s="137" t="s">
        <v>2</v>
      </c>
      <c r="J227" s="137"/>
      <c r="K227" s="158"/>
    </row>
    <row r="228" spans="1:11">
      <c r="A228" s="102">
        <v>2</v>
      </c>
      <c r="B228" s="133" t="s">
        <v>28</v>
      </c>
      <c r="C228" s="140" t="s">
        <v>861</v>
      </c>
      <c r="D228" s="385">
        <f>D49</f>
        <v>48505661.230769232</v>
      </c>
      <c r="E228" s="137"/>
      <c r="F228" s="137" t="s">
        <v>11</v>
      </c>
      <c r="G228" s="165">
        <f>I169</f>
        <v>1</v>
      </c>
      <c r="H228" s="137"/>
      <c r="I228" s="77">
        <f>+G228*D228</f>
        <v>48505661.230769232</v>
      </c>
      <c r="J228" s="181"/>
      <c r="K228" s="219"/>
    </row>
    <row r="229" spans="1:11">
      <c r="A229" s="102">
        <v>3</v>
      </c>
      <c r="B229" s="133" t="s">
        <v>29</v>
      </c>
      <c r="C229" s="137" t="s">
        <v>858</v>
      </c>
      <c r="D229" s="385">
        <f>'Act Att-H'!D47</f>
        <v>190478376.23846155</v>
      </c>
      <c r="E229" s="137"/>
      <c r="F229" s="137" t="s">
        <v>27</v>
      </c>
      <c r="G229" s="164" t="s">
        <v>2</v>
      </c>
      <c r="H229" s="137"/>
      <c r="I229" s="77" t="s">
        <v>2</v>
      </c>
      <c r="J229" s="137"/>
      <c r="K229" s="140"/>
    </row>
    <row r="230" spans="1:11">
      <c r="A230" s="102">
        <v>4</v>
      </c>
      <c r="B230" s="133" t="s">
        <v>30</v>
      </c>
      <c r="C230" s="137" t="s">
        <v>859</v>
      </c>
      <c r="D230" s="385">
        <f>'Act Att-H'!D48</f>
        <v>6396091.7930769231</v>
      </c>
      <c r="E230" s="137"/>
      <c r="F230" s="137" t="s">
        <v>31</v>
      </c>
      <c r="G230" s="165">
        <f>I186</f>
        <v>8.4955471613637312E-2</v>
      </c>
      <c r="H230" s="137"/>
      <c r="I230" s="77">
        <f>+G230*D230</f>
        <v>543382.99476496514</v>
      </c>
      <c r="J230" s="137"/>
      <c r="K230" s="140"/>
    </row>
    <row r="231" spans="1:11">
      <c r="A231" s="102">
        <v>5</v>
      </c>
      <c r="B231" s="133" t="s">
        <v>32</v>
      </c>
      <c r="C231" s="137" t="s">
        <v>860</v>
      </c>
      <c r="D231" s="385">
        <f>'Act Att-H'!D49</f>
        <v>0</v>
      </c>
      <c r="E231" s="137"/>
      <c r="F231" s="137" t="s">
        <v>70</v>
      </c>
      <c r="G231" s="165">
        <f>K190</f>
        <v>8.4955471613637312E-2</v>
      </c>
      <c r="H231" s="137"/>
      <c r="I231" s="77">
        <f>+G231*D231</f>
        <v>0</v>
      </c>
      <c r="J231" s="137"/>
      <c r="K231" s="140"/>
    </row>
    <row r="232" spans="1:11">
      <c r="A232" s="102">
        <v>6</v>
      </c>
      <c r="B232" s="244" t="s">
        <v>469</v>
      </c>
      <c r="C232" s="245" t="s">
        <v>470</v>
      </c>
      <c r="D232" s="242">
        <f>SUM(D227:D231)</f>
        <v>550183450.52846158</v>
      </c>
      <c r="E232" s="137"/>
      <c r="F232" s="245" t="s">
        <v>34</v>
      </c>
      <c r="G232" s="710">
        <f>IF(I232&gt;0,I232/D232,0)</f>
        <v>8.9150344632179815E-2</v>
      </c>
      <c r="H232" s="137"/>
      <c r="I232" s="249">
        <f>SUM(I227:I231)</f>
        <v>49049044.225534201</v>
      </c>
      <c r="J232" s="137"/>
      <c r="K232" s="140"/>
    </row>
    <row r="233" spans="1:11">
      <c r="A233" s="102"/>
      <c r="B233" s="243"/>
      <c r="C233" s="187"/>
      <c r="D233" s="511"/>
      <c r="E233" s="137"/>
      <c r="F233" s="137"/>
      <c r="G233" s="137"/>
      <c r="H233" s="137"/>
      <c r="I233" s="137"/>
      <c r="J233" s="137"/>
      <c r="K233" s="140"/>
    </row>
    <row r="234" spans="1:11">
      <c r="A234" s="102"/>
      <c r="B234" s="133" t="s">
        <v>852</v>
      </c>
      <c r="C234" s="137"/>
      <c r="D234" s="138" t="s">
        <v>59</v>
      </c>
      <c r="E234" s="137"/>
      <c r="F234" s="137"/>
      <c r="G234" s="138"/>
      <c r="H234" s="181" t="s">
        <v>2</v>
      </c>
      <c r="I234" s="167"/>
      <c r="J234" s="137"/>
      <c r="K234" s="140"/>
    </row>
    <row r="235" spans="1:11">
      <c r="A235" s="102">
        <v>7</v>
      </c>
      <c r="B235" s="133" t="s">
        <v>26</v>
      </c>
      <c r="C235" s="137" t="s">
        <v>854</v>
      </c>
      <c r="D235" s="385">
        <f>'Act Att-H'!D61</f>
        <v>256204458.1216459</v>
      </c>
      <c r="E235" s="137"/>
      <c r="F235" s="137" t="s">
        <v>27</v>
      </c>
      <c r="G235" s="164" t="s">
        <v>2</v>
      </c>
      <c r="H235" s="137"/>
      <c r="I235" s="137" t="s">
        <v>2</v>
      </c>
      <c r="J235" s="137"/>
      <c r="K235" s="158"/>
    </row>
    <row r="236" spans="1:11">
      <c r="A236" s="102">
        <v>8</v>
      </c>
      <c r="B236" s="133" t="s">
        <v>28</v>
      </c>
      <c r="C236" s="140" t="s">
        <v>862</v>
      </c>
      <c r="D236" s="385">
        <f>D59</f>
        <v>40754282.942372128</v>
      </c>
      <c r="E236" s="137"/>
      <c r="F236" s="137" t="s">
        <v>11</v>
      </c>
      <c r="G236" s="165">
        <f>G228</f>
        <v>1</v>
      </c>
      <c r="H236" s="137"/>
      <c r="I236" s="77">
        <f>+G236*D236</f>
        <v>40754282.942372128</v>
      </c>
      <c r="J236" s="181"/>
      <c r="K236" s="219"/>
    </row>
    <row r="237" spans="1:11">
      <c r="A237" s="102">
        <v>9</v>
      </c>
      <c r="B237" s="133" t="s">
        <v>29</v>
      </c>
      <c r="C237" s="137" t="s">
        <v>855</v>
      </c>
      <c r="D237" s="385">
        <f>'Act Att-H'!D63</f>
        <v>128587423.77262974</v>
      </c>
      <c r="E237" s="137"/>
      <c r="F237" s="137" t="s">
        <v>27</v>
      </c>
      <c r="G237" s="164" t="s">
        <v>2</v>
      </c>
      <c r="H237" s="137"/>
      <c r="I237" s="77" t="s">
        <v>2</v>
      </c>
      <c r="J237" s="137"/>
      <c r="K237" s="140"/>
    </row>
    <row r="238" spans="1:11">
      <c r="A238" s="102">
        <v>10</v>
      </c>
      <c r="B238" s="133" t="s">
        <v>30</v>
      </c>
      <c r="C238" s="137" t="s">
        <v>856</v>
      </c>
      <c r="D238" s="385">
        <f>'Act Att-H'!D64</f>
        <v>3831198.4826539885</v>
      </c>
      <c r="E238" s="137"/>
      <c r="F238" s="137" t="s">
        <v>31</v>
      </c>
      <c r="G238" s="165">
        <f>G230</f>
        <v>8.4955471613637312E-2</v>
      </c>
      <c r="H238" s="137"/>
      <c r="I238" s="77">
        <f>+G238*D238</f>
        <v>325481.27393932128</v>
      </c>
      <c r="J238" s="137"/>
      <c r="K238" s="140"/>
    </row>
    <row r="239" spans="1:11">
      <c r="A239" s="102">
        <v>11</v>
      </c>
      <c r="B239" s="133" t="s">
        <v>32</v>
      </c>
      <c r="C239" s="137" t="s">
        <v>857</v>
      </c>
      <c r="D239" s="385">
        <f>'Act Att-H'!D65</f>
        <v>0</v>
      </c>
      <c r="E239" s="137"/>
      <c r="F239" s="137" t="s">
        <v>70</v>
      </c>
      <c r="G239" s="165">
        <f>G231</f>
        <v>8.4955471613637312E-2</v>
      </c>
      <c r="H239" s="137"/>
      <c r="I239" s="77">
        <f>+G239*D239</f>
        <v>0</v>
      </c>
      <c r="J239" s="137"/>
      <c r="K239" s="140"/>
    </row>
    <row r="240" spans="1:11">
      <c r="A240" s="102">
        <v>12</v>
      </c>
      <c r="B240" s="244" t="s">
        <v>469</v>
      </c>
      <c r="C240" s="245" t="s">
        <v>470</v>
      </c>
      <c r="D240" s="242">
        <f>SUM(D235:D239)</f>
        <v>429377363.31930172</v>
      </c>
      <c r="E240" s="137"/>
      <c r="F240" s="245" t="s">
        <v>35</v>
      </c>
      <c r="G240" s="710">
        <f>IF(I240&gt;0,I240/D240,0)</f>
        <v>9.5672868962500324E-2</v>
      </c>
      <c r="H240" s="137"/>
      <c r="I240" s="249">
        <f>SUM(I235:I239)</f>
        <v>41079764.216311447</v>
      </c>
      <c r="J240" s="137"/>
      <c r="K240" s="140"/>
    </row>
    <row r="241" spans="1:11">
      <c r="A241" s="102"/>
      <c r="B241" s="243"/>
      <c r="C241" s="187"/>
      <c r="D241" s="511"/>
      <c r="E241" s="137"/>
      <c r="F241" s="137"/>
      <c r="G241" s="137"/>
      <c r="H241" s="137"/>
      <c r="I241" s="137"/>
      <c r="J241" s="90"/>
      <c r="K241" s="140"/>
    </row>
    <row r="242" spans="1:11">
      <c r="A242" s="102"/>
      <c r="B242" s="243"/>
      <c r="C242" s="187"/>
      <c r="D242" s="511"/>
      <c r="E242" s="137"/>
      <c r="F242" s="137"/>
      <c r="G242" s="137"/>
      <c r="H242" s="137"/>
      <c r="I242" s="137"/>
      <c r="J242" s="90"/>
      <c r="K242" s="140"/>
    </row>
    <row r="243" spans="1:11">
      <c r="A243" s="102"/>
      <c r="B243" s="243"/>
      <c r="C243" s="187"/>
      <c r="D243" s="511"/>
      <c r="E243" s="137"/>
      <c r="F243" s="137"/>
      <c r="G243" s="137"/>
      <c r="H243" s="137"/>
      <c r="I243" s="137"/>
      <c r="J243" s="90"/>
      <c r="K243" s="140"/>
    </row>
    <row r="244" spans="1:11">
      <c r="A244" s="102"/>
      <c r="B244" s="133" t="s">
        <v>129</v>
      </c>
      <c r="C244" s="102"/>
      <c r="D244" s="137"/>
      <c r="E244" s="137"/>
      <c r="F244" s="137"/>
      <c r="G244" s="137"/>
      <c r="H244" s="90"/>
      <c r="I244" s="137"/>
      <c r="J244" s="90"/>
      <c r="K244" s="140"/>
    </row>
    <row r="245" spans="1:11" ht="41.25" customHeight="1">
      <c r="A245" s="102"/>
      <c r="B245" s="232" t="s">
        <v>128</v>
      </c>
      <c r="C245" s="102"/>
      <c r="D245" s="137"/>
      <c r="E245" s="137"/>
      <c r="F245" s="137"/>
      <c r="G245" s="137"/>
      <c r="H245" s="90"/>
      <c r="I245" s="137"/>
      <c r="J245" s="808"/>
      <c r="K245" s="808"/>
    </row>
    <row r="246" spans="1:11">
      <c r="A246" s="102" t="s">
        <v>82</v>
      </c>
      <c r="B246" s="133"/>
      <c r="C246" s="90"/>
      <c r="D246" s="137"/>
      <c r="E246" s="137"/>
      <c r="F246" s="137"/>
      <c r="G246" s="137"/>
      <c r="H246" s="90"/>
      <c r="I246" s="137"/>
      <c r="J246" s="89"/>
      <c r="K246" s="89"/>
    </row>
    <row r="247" spans="1:11" ht="13.5" thickBot="1">
      <c r="A247" s="810" t="s">
        <v>83</v>
      </c>
      <c r="B247" s="133"/>
      <c r="C247" s="90"/>
      <c r="D247" s="137"/>
      <c r="E247" s="137"/>
      <c r="F247" s="137"/>
      <c r="G247" s="137"/>
      <c r="H247" s="90"/>
      <c r="I247" s="137"/>
      <c r="J247" s="89"/>
      <c r="K247" s="89"/>
    </row>
    <row r="248" spans="1:11" ht="63.75" customHeight="1">
      <c r="A248" s="104" t="s">
        <v>84</v>
      </c>
      <c r="B248" s="836" t="s">
        <v>161</v>
      </c>
      <c r="C248" s="836"/>
      <c r="D248" s="836"/>
      <c r="E248" s="836"/>
      <c r="F248" s="836"/>
      <c r="G248" s="836"/>
      <c r="H248" s="836"/>
      <c r="I248" s="836"/>
      <c r="J248" s="89"/>
      <c r="K248" s="89"/>
    </row>
    <row r="249" spans="1:11">
      <c r="A249" s="110" t="s">
        <v>2</v>
      </c>
      <c r="B249" s="89" t="s">
        <v>495</v>
      </c>
      <c r="C249" s="89" t="s">
        <v>99</v>
      </c>
      <c r="D249" s="233">
        <v>0.21</v>
      </c>
      <c r="E249" s="89" t="s">
        <v>496</v>
      </c>
      <c r="F249" s="89"/>
      <c r="G249" s="89"/>
      <c r="H249" s="89"/>
      <c r="I249" s="89"/>
      <c r="J249" s="117"/>
      <c r="K249" s="117"/>
    </row>
    <row r="250" spans="1:11">
      <c r="A250" s="110"/>
      <c r="B250" s="89"/>
      <c r="C250" s="89" t="s">
        <v>100</v>
      </c>
      <c r="D250" s="233">
        <v>0</v>
      </c>
      <c r="E250" s="89" t="s">
        <v>101</v>
      </c>
      <c r="F250" s="89"/>
      <c r="G250" s="89"/>
      <c r="H250" s="89"/>
      <c r="I250" s="89"/>
      <c r="J250" s="117"/>
      <c r="K250" s="117"/>
    </row>
    <row r="251" spans="1:11">
      <c r="A251" s="110"/>
      <c r="B251" s="89"/>
      <c r="C251" s="89" t="s">
        <v>102</v>
      </c>
      <c r="D251" s="233">
        <v>0</v>
      </c>
      <c r="E251" s="89" t="s">
        <v>103</v>
      </c>
      <c r="F251" s="89"/>
      <c r="G251" s="89"/>
      <c r="H251" s="89"/>
      <c r="I251" s="89"/>
      <c r="J251" s="117"/>
      <c r="K251" s="117"/>
    </row>
    <row r="252" spans="1:11">
      <c r="A252" s="118"/>
      <c r="B252" s="844"/>
      <c r="C252" s="844"/>
      <c r="D252" s="844"/>
      <c r="E252" s="844"/>
      <c r="F252" s="844"/>
      <c r="G252" s="844"/>
      <c r="H252" s="844"/>
      <c r="I252" s="844"/>
      <c r="J252" s="117"/>
      <c r="K252" s="117"/>
    </row>
    <row r="253" spans="1:11">
      <c r="A253" s="118"/>
      <c r="J253" s="117"/>
      <c r="K253" s="117"/>
    </row>
    <row r="254" spans="1:11">
      <c r="A254" s="115"/>
      <c r="J254" s="117"/>
      <c r="K254" s="117"/>
    </row>
    <row r="255" spans="1:11">
      <c r="A255" s="115"/>
      <c r="B255" s="843"/>
      <c r="C255" s="843"/>
      <c r="D255" s="843"/>
      <c r="E255" s="843"/>
      <c r="F255" s="843"/>
      <c r="G255" s="843"/>
      <c r="H255" s="843"/>
      <c r="I255" s="843"/>
      <c r="J255" s="114"/>
      <c r="K255" s="114"/>
    </row>
    <row r="256" spans="1:11">
      <c r="A256" s="118"/>
      <c r="B256" s="844"/>
      <c r="C256" s="844"/>
      <c r="D256" s="844"/>
      <c r="E256" s="844"/>
      <c r="F256" s="844"/>
      <c r="G256" s="844"/>
      <c r="H256" s="844"/>
      <c r="I256" s="844"/>
      <c r="J256" s="114"/>
      <c r="K256" s="114"/>
    </row>
    <row r="257" spans="1:11">
      <c r="A257" s="115"/>
      <c r="C257" s="117"/>
      <c r="D257" s="117"/>
      <c r="E257" s="117"/>
      <c r="F257" s="117"/>
      <c r="G257" s="117"/>
      <c r="H257" s="117"/>
      <c r="I257" s="117"/>
      <c r="J257" s="121"/>
      <c r="K257" s="121"/>
    </row>
    <row r="258" spans="1:11">
      <c r="A258" s="120"/>
      <c r="B258" s="119"/>
      <c r="C258" s="114"/>
      <c r="D258" s="114"/>
      <c r="E258" s="114"/>
      <c r="F258" s="114"/>
      <c r="G258" s="114"/>
      <c r="H258" s="114"/>
      <c r="I258" s="114"/>
    </row>
    <row r="259" spans="1:11">
      <c r="A259" s="120"/>
      <c r="B259" s="114"/>
      <c r="C259" s="114"/>
      <c r="D259" s="114"/>
      <c r="E259" s="114"/>
      <c r="F259" s="114"/>
      <c r="G259" s="114"/>
      <c r="H259" s="114"/>
      <c r="I259" s="114"/>
    </row>
    <row r="260" spans="1:11">
      <c r="A260" s="118"/>
      <c r="B260" s="845"/>
      <c r="C260" s="845"/>
      <c r="D260" s="845"/>
      <c r="E260" s="845"/>
      <c r="F260" s="845"/>
      <c r="G260" s="845"/>
      <c r="H260" s="845"/>
      <c r="I260" s="845"/>
      <c r="J260" s="126"/>
      <c r="K260" s="127"/>
    </row>
    <row r="261" spans="1:11" ht="25.5" customHeight="1">
      <c r="A261" s="118"/>
      <c r="J261" s="128"/>
      <c r="K261" s="128"/>
    </row>
    <row r="262" spans="1:11">
      <c r="A262" s="118"/>
      <c r="J262" s="114"/>
      <c r="K262" s="114"/>
    </row>
    <row r="263" spans="1:11">
      <c r="A263" s="115"/>
      <c r="B263" s="122"/>
      <c r="C263" s="123"/>
      <c r="D263" s="123"/>
      <c r="E263" s="123"/>
      <c r="F263" s="123"/>
      <c r="G263" s="123"/>
      <c r="H263" s="124"/>
      <c r="I263" s="125"/>
      <c r="J263" s="114"/>
      <c r="K263" s="114"/>
    </row>
    <row r="264" spans="1:11">
      <c r="A264" s="115"/>
      <c r="J264" s="114"/>
      <c r="K264" s="114"/>
    </row>
    <row r="265" spans="1:11">
      <c r="A265" s="129"/>
      <c r="B265" s="114"/>
      <c r="C265" s="114"/>
      <c r="D265" s="114"/>
      <c r="E265" s="114"/>
      <c r="F265" s="114"/>
      <c r="G265" s="114"/>
      <c r="H265" s="114"/>
      <c r="I265" s="114"/>
      <c r="J265" s="114"/>
      <c r="K265" s="114"/>
    </row>
    <row r="266" spans="1:11">
      <c r="A266" s="129"/>
      <c r="B266" s="114"/>
      <c r="C266" s="114"/>
      <c r="D266" s="114"/>
      <c r="E266" s="114"/>
      <c r="F266" s="114"/>
      <c r="G266" s="114"/>
      <c r="H266" s="114"/>
      <c r="I266" s="114"/>
      <c r="J266" s="114"/>
      <c r="K266" s="114"/>
    </row>
    <row r="267" spans="1:11">
      <c r="A267" s="129"/>
      <c r="C267" s="114"/>
      <c r="D267" s="114"/>
      <c r="E267" s="114"/>
      <c r="F267" s="114"/>
      <c r="G267" s="114"/>
      <c r="H267" s="114"/>
      <c r="I267" s="114"/>
      <c r="J267" s="114"/>
      <c r="K267" s="114"/>
    </row>
    <row r="268" spans="1:11">
      <c r="A268" s="118"/>
      <c r="B268" s="842"/>
      <c r="C268" s="842"/>
      <c r="D268" s="842"/>
      <c r="E268" s="842"/>
      <c r="F268" s="842"/>
      <c r="G268" s="842"/>
      <c r="H268" s="842"/>
      <c r="I268" s="842"/>
    </row>
    <row r="269" spans="1:11">
      <c r="A269" s="129"/>
      <c r="B269" s="130"/>
      <c r="C269" s="114"/>
      <c r="D269" s="114"/>
      <c r="E269" s="114"/>
      <c r="F269" s="114"/>
      <c r="G269" s="114"/>
      <c r="H269" s="114"/>
      <c r="I269" s="114"/>
    </row>
    <row r="270" spans="1:11">
      <c r="A270" s="131"/>
      <c r="B270" s="130"/>
      <c r="C270" s="114"/>
      <c r="D270" s="114"/>
      <c r="E270" s="114"/>
      <c r="F270" s="114"/>
      <c r="G270" s="114"/>
      <c r="H270" s="114"/>
      <c r="I270" s="114"/>
    </row>
  </sheetData>
  <sheetProtection formatCells="0" formatColumns="0"/>
  <mergeCells count="20">
    <mergeCell ref="B260:I260"/>
    <mergeCell ref="B268:I268"/>
    <mergeCell ref="B252:I252"/>
    <mergeCell ref="B255:I255"/>
    <mergeCell ref="G213:K213"/>
    <mergeCell ref="I214:K214"/>
    <mergeCell ref="J215:K215"/>
    <mergeCell ref="B256:I256"/>
    <mergeCell ref="B248:I248"/>
    <mergeCell ref="N171:S171"/>
    <mergeCell ref="I1:K1"/>
    <mergeCell ref="J2:K2"/>
    <mergeCell ref="I36:K36"/>
    <mergeCell ref="J37:K37"/>
    <mergeCell ref="I88:K88"/>
    <mergeCell ref="J89:K89"/>
    <mergeCell ref="F152:K152"/>
    <mergeCell ref="I153:K153"/>
    <mergeCell ref="J154:K154"/>
    <mergeCell ref="G156:K156"/>
  </mergeCells>
  <pageMargins left="0.75" right="0.75" top="1" bottom="1" header="0.5" footer="0.5"/>
  <pageSetup scale="48" fitToHeight="5" orientation="portrait" r:id="rId1"/>
  <headerFooter alignWithMargins="0"/>
  <rowBreaks count="4" manualBreakCount="4">
    <brk id="35" max="10" man="1"/>
    <brk id="87" max="10" man="1"/>
    <brk id="152" max="10" man="1"/>
    <brk id="213" max="10" man="1"/>
  </rowBreaks>
  <ignoredErrors>
    <ignoredError sqref="D100:D111 D114:D118 D122:D129 D63 D56 D51 D59:D61 D139:D140 I164:I166 I173 D182:D185 D189 I195:I202 D206:D208 D54 I212 D227:D228 D235:D236 D229:D231 D237:D239 G208 D78 D82:D84 D30:D33 D136:D138 D70:D76 D34:D35 D66 D68:D69 I88 I153 I214 D142:D14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autoPageBreaks="0"/>
  </sheetPr>
  <dimension ref="A1:AL50"/>
  <sheetViews>
    <sheetView zoomScale="80" zoomScaleNormal="80" zoomScaleSheetLayoutView="90" workbookViewId="0">
      <selection activeCell="L18" sqref="L18:M41"/>
    </sheetView>
  </sheetViews>
  <sheetFormatPr defaultColWidth="8.88671875" defaultRowHeight="12.75"/>
  <cols>
    <col min="1" max="1" width="3.109375" style="777" customWidth="1"/>
    <col min="2" max="2" width="11.33203125" style="377" customWidth="1"/>
    <col min="3" max="3" width="0.109375" style="377" customWidth="1"/>
    <col min="4" max="4" width="12.33203125" style="377" customWidth="1"/>
    <col min="5" max="5" width="11.21875" style="377" bestFit="1" customWidth="1"/>
    <col min="6" max="6" width="11.109375" style="377" bestFit="1" customWidth="1"/>
    <col min="7" max="7" width="16.109375" style="377" customWidth="1"/>
    <col min="8" max="8" width="12" style="377" bestFit="1" customWidth="1"/>
    <col min="9" max="9" width="13.109375" style="377" bestFit="1" customWidth="1"/>
    <col min="10" max="10" width="10.33203125" style="377" bestFit="1" customWidth="1"/>
    <col min="11" max="12" width="10.33203125" style="377" customWidth="1"/>
    <col min="13" max="14" width="10.77734375" style="377" customWidth="1"/>
    <col min="15" max="15" width="9.5546875" style="377" bestFit="1" customWidth="1"/>
    <col min="16" max="17" width="13.5546875" style="377" customWidth="1"/>
    <col min="18" max="18" width="11.109375" style="377" customWidth="1"/>
    <col min="19" max="20" width="9.5546875" style="377" customWidth="1"/>
    <col min="21" max="21" width="11.109375" style="377" customWidth="1"/>
    <col min="22" max="22" width="11.6640625" style="377" customWidth="1"/>
    <col min="23" max="27" width="11.109375" style="377" customWidth="1"/>
    <col min="28" max="28" width="11.21875" style="377" customWidth="1"/>
    <col min="29" max="29" width="10.33203125" style="377" customWidth="1"/>
    <col min="30" max="30" width="8.88671875" style="377"/>
    <col min="31" max="31" width="12.88671875" style="377" customWidth="1"/>
    <col min="32" max="32" width="13" style="377" customWidth="1"/>
    <col min="33" max="33" width="13.44140625" style="377" customWidth="1"/>
    <col min="34" max="34" width="10.5546875" style="377" customWidth="1"/>
    <col min="35" max="35" width="8.88671875" style="377"/>
    <col min="36" max="36" width="9.5546875" style="377" customWidth="1"/>
    <col min="37" max="37" width="13.44140625" style="377" customWidth="1"/>
    <col min="38" max="38" width="10.88671875" style="377" customWidth="1"/>
    <col min="39" max="39" width="10.33203125" style="377" customWidth="1"/>
    <col min="40" max="40" width="11.109375" style="377" customWidth="1"/>
    <col min="41" max="16384" width="8.88671875" style="377"/>
  </cols>
  <sheetData>
    <row r="1" spans="1:38" ht="12.95" customHeight="1">
      <c r="A1" s="775"/>
      <c r="B1" s="700" t="s">
        <v>592</v>
      </c>
      <c r="C1" s="700"/>
      <c r="D1" s="700"/>
      <c r="E1" s="700"/>
      <c r="F1" s="700"/>
      <c r="G1" s="700"/>
      <c r="H1" s="700"/>
      <c r="I1" s="700"/>
      <c r="J1" s="700"/>
      <c r="K1" s="716"/>
      <c r="L1" s="716"/>
      <c r="M1" s="642"/>
      <c r="N1" s="715"/>
      <c r="Q1" s="796"/>
      <c r="AA1" s="879"/>
      <c r="AB1" s="879"/>
      <c r="AK1" s="879" t="s">
        <v>536</v>
      </c>
      <c r="AL1" s="879"/>
    </row>
    <row r="2" spans="1:38" ht="12.95" customHeight="1">
      <c r="A2" s="775"/>
      <c r="B2" s="700" t="s">
        <v>613</v>
      </c>
      <c r="C2" s="700"/>
      <c r="D2" s="700"/>
      <c r="E2" s="700"/>
      <c r="F2" s="700"/>
      <c r="G2" s="700"/>
      <c r="H2" s="700"/>
      <c r="I2" s="700"/>
      <c r="J2" s="700"/>
      <c r="K2" s="716"/>
      <c r="L2" s="716"/>
      <c r="M2" s="643"/>
      <c r="N2" s="643"/>
      <c r="Q2" s="643"/>
      <c r="AB2" s="643"/>
      <c r="AL2" s="643"/>
    </row>
    <row r="3" spans="1:38" ht="12.95" customHeight="1">
      <c r="A3" s="776"/>
      <c r="B3" s="700" t="str">
        <f>'Act Att-H'!C7</f>
        <v>Cheyenne Light, Fuel &amp; Power</v>
      </c>
      <c r="C3" s="700"/>
      <c r="D3" s="700"/>
      <c r="E3" s="700"/>
      <c r="F3" s="700"/>
      <c r="G3" s="700"/>
      <c r="H3" s="700"/>
      <c r="I3" s="700"/>
      <c r="J3" s="700"/>
      <c r="K3" s="716"/>
      <c r="L3" s="716"/>
    </row>
    <row r="4" spans="1:38" ht="12.95" customHeight="1">
      <c r="I4" s="378"/>
      <c r="J4" s="378" t="s">
        <v>980</v>
      </c>
      <c r="K4" s="378"/>
      <c r="L4" s="378"/>
      <c r="P4" s="378"/>
      <c r="Q4" s="378" t="s">
        <v>537</v>
      </c>
      <c r="V4" s="378" t="s">
        <v>538</v>
      </c>
      <c r="AA4" s="378" t="s">
        <v>981</v>
      </c>
      <c r="AL4" s="377" t="s">
        <v>538</v>
      </c>
    </row>
    <row r="5" spans="1:38">
      <c r="G5" s="66"/>
      <c r="H5" s="66"/>
      <c r="I5" s="66"/>
      <c r="J5" s="66"/>
      <c r="K5" s="66"/>
      <c r="L5" s="66"/>
      <c r="AA5" s="378"/>
    </row>
    <row r="6" spans="1:38">
      <c r="B6" s="873"/>
      <c r="C6" s="873"/>
      <c r="D6" s="873"/>
      <c r="E6" s="873"/>
      <c r="F6" s="874"/>
      <c r="G6" s="644"/>
      <c r="H6" s="645"/>
      <c r="I6" s="645"/>
      <c r="J6" s="646"/>
      <c r="K6" s="381"/>
      <c r="L6" s="381"/>
      <c r="M6" s="381"/>
      <c r="N6" s="381"/>
      <c r="Q6" s="381"/>
      <c r="X6" s="382"/>
    </row>
    <row r="7" spans="1:38">
      <c r="B7" s="875" t="s">
        <v>822</v>
      </c>
      <c r="C7" s="875"/>
      <c r="D7" s="875"/>
      <c r="E7" s="875"/>
      <c r="F7" s="875"/>
      <c r="G7" s="876" t="s">
        <v>544</v>
      </c>
      <c r="H7" s="877"/>
      <c r="I7" s="877"/>
      <c r="J7" s="878"/>
      <c r="K7" s="765"/>
      <c r="L7" s="765"/>
      <c r="M7" s="468"/>
      <c r="N7" s="468"/>
      <c r="Q7" s="468"/>
    </row>
    <row r="8" spans="1:38">
      <c r="G8" s="647"/>
      <c r="H8" s="541"/>
      <c r="I8" s="541"/>
      <c r="J8" s="783"/>
      <c r="K8" s="797"/>
      <c r="L8" s="798"/>
      <c r="M8" s="645"/>
      <c r="N8" s="645"/>
      <c r="O8" s="645"/>
      <c r="P8" s="529"/>
      <c r="Q8" s="820"/>
      <c r="R8" s="644"/>
      <c r="S8" s="883" t="s">
        <v>1041</v>
      </c>
      <c r="T8" s="883"/>
      <c r="U8" s="883"/>
      <c r="V8" s="884"/>
      <c r="W8" s="883" t="s">
        <v>1042</v>
      </c>
      <c r="X8" s="883"/>
      <c r="Y8" s="883"/>
      <c r="Z8" s="883"/>
      <c r="AA8" s="884"/>
    </row>
    <row r="9" spans="1:38">
      <c r="G9" s="469"/>
      <c r="H9" s="541"/>
      <c r="I9" s="541" t="s">
        <v>545</v>
      </c>
      <c r="J9" s="648" t="s">
        <v>545</v>
      </c>
      <c r="K9" s="649"/>
      <c r="L9" s="880" t="s">
        <v>987</v>
      </c>
      <c r="M9" s="880"/>
      <c r="N9" s="813"/>
      <c r="O9" s="813"/>
      <c r="P9" s="881" t="s">
        <v>1020</v>
      </c>
      <c r="Q9" s="882"/>
      <c r="R9" s="471"/>
      <c r="S9" s="380"/>
      <c r="T9" s="380"/>
      <c r="V9" s="388"/>
      <c r="X9" s="380"/>
      <c r="Y9" s="380"/>
      <c r="AA9" s="388"/>
    </row>
    <row r="10" spans="1:38">
      <c r="B10" s="519" t="s">
        <v>294</v>
      </c>
      <c r="G10" s="649" t="s">
        <v>546</v>
      </c>
      <c r="H10" s="403"/>
      <c r="I10" s="403" t="s">
        <v>540</v>
      </c>
      <c r="J10" s="650" t="s">
        <v>547</v>
      </c>
      <c r="K10" s="649" t="s">
        <v>994</v>
      </c>
      <c r="L10" s="880" t="s">
        <v>986</v>
      </c>
      <c r="M10" s="880"/>
      <c r="N10" s="880" t="s">
        <v>1019</v>
      </c>
      <c r="O10" s="880"/>
      <c r="P10" s="881" t="s">
        <v>1043</v>
      </c>
      <c r="Q10" s="882"/>
      <c r="R10" s="649" t="s">
        <v>995</v>
      </c>
      <c r="S10" s="813" t="s">
        <v>989</v>
      </c>
      <c r="T10" s="813" t="s">
        <v>990</v>
      </c>
      <c r="U10" s="813"/>
      <c r="V10" s="650"/>
      <c r="W10" s="813" t="s">
        <v>995</v>
      </c>
      <c r="X10" s="813" t="s">
        <v>989</v>
      </c>
      <c r="Y10" s="813" t="s">
        <v>990</v>
      </c>
      <c r="Z10" s="813"/>
      <c r="AA10" s="650"/>
    </row>
    <row r="11" spans="1:38" ht="16.5" customHeight="1" thickBot="1">
      <c r="A11" s="779" t="s">
        <v>996</v>
      </c>
      <c r="B11" s="651" t="s">
        <v>725</v>
      </c>
      <c r="C11" s="651"/>
      <c r="D11" s="651" t="s">
        <v>539</v>
      </c>
      <c r="E11" s="651" t="s">
        <v>540</v>
      </c>
      <c r="F11" s="651" t="s">
        <v>541</v>
      </c>
      <c r="G11" s="652" t="s">
        <v>709</v>
      </c>
      <c r="H11" s="653" t="s">
        <v>548</v>
      </c>
      <c r="I11" s="653" t="s">
        <v>710</v>
      </c>
      <c r="J11" s="654" t="s">
        <v>540</v>
      </c>
      <c r="K11" s="769" t="s">
        <v>993</v>
      </c>
      <c r="L11" s="770" t="s">
        <v>1041</v>
      </c>
      <c r="M11" s="770" t="s">
        <v>1042</v>
      </c>
      <c r="N11" s="770" t="s">
        <v>1041</v>
      </c>
      <c r="O11" s="770" t="s">
        <v>1042</v>
      </c>
      <c r="P11" s="770" t="s">
        <v>1041</v>
      </c>
      <c r="Q11" s="770" t="s">
        <v>1042</v>
      </c>
      <c r="R11" s="773" t="s">
        <v>619</v>
      </c>
      <c r="S11" s="771" t="s">
        <v>540</v>
      </c>
      <c r="T11" s="771" t="s">
        <v>983</v>
      </c>
      <c r="U11" s="771" t="s">
        <v>984</v>
      </c>
      <c r="V11" s="774" t="s">
        <v>985</v>
      </c>
      <c r="W11" s="771" t="s">
        <v>619</v>
      </c>
      <c r="X11" s="771" t="s">
        <v>540</v>
      </c>
      <c r="Y11" s="771" t="s">
        <v>983</v>
      </c>
      <c r="Z11" s="771" t="s">
        <v>984</v>
      </c>
      <c r="AA11" s="774" t="s">
        <v>985</v>
      </c>
    </row>
    <row r="12" spans="1:38">
      <c r="A12" s="778">
        <v>1</v>
      </c>
      <c r="G12" s="471"/>
      <c r="H12" s="655"/>
      <c r="I12" s="656">
        <f>IF('Act Att-H'!D46=0,0,ROUND('Act Att-H'!D119/'Act Att-H'!D46,6)/12)</f>
        <v>1.7119166666666665E-3</v>
      </c>
      <c r="J12" s="657"/>
      <c r="P12" s="399"/>
      <c r="Q12" s="399"/>
    </row>
    <row r="13" spans="1:38">
      <c r="A13" s="778">
        <v>2</v>
      </c>
      <c r="G13" s="471"/>
      <c r="H13" s="380"/>
      <c r="I13" s="658"/>
      <c r="J13" s="388"/>
      <c r="K13" s="380"/>
      <c r="L13" s="380"/>
      <c r="M13" s="380"/>
      <c r="N13" s="380" t="s">
        <v>988</v>
      </c>
      <c r="P13" s="383"/>
      <c r="Q13" s="383"/>
      <c r="R13" s="380"/>
    </row>
    <row r="14" spans="1:38" ht="25.5" customHeight="1">
      <c r="A14" s="778">
        <v>3</v>
      </c>
      <c r="B14" s="397"/>
      <c r="C14" s="397"/>
      <c r="D14" s="659"/>
      <c r="E14" s="660"/>
      <c r="F14" s="387"/>
      <c r="G14" s="791" t="s">
        <v>1045</v>
      </c>
      <c r="H14" s="470">
        <f>'A4-Rate Base'!D22</f>
        <v>47611813</v>
      </c>
      <c r="I14" s="660"/>
      <c r="J14" s="386">
        <f>'A4-Rate Base'!F45</f>
        <v>6271609</v>
      </c>
      <c r="K14" s="380"/>
      <c r="L14" s="380"/>
      <c r="M14" s="387"/>
      <c r="N14" s="387"/>
      <c r="P14" s="824">
        <v>1313239.1692377673</v>
      </c>
      <c r="Q14" s="824">
        <v>1254376.8852670887</v>
      </c>
    </row>
    <row r="15" spans="1:38">
      <c r="G15" s="471"/>
      <c r="H15" s="380"/>
      <c r="I15" s="380"/>
      <c r="J15" s="388"/>
      <c r="K15" s="380"/>
      <c r="L15" s="380"/>
      <c r="M15" s="380"/>
      <c r="N15" s="380"/>
      <c r="P15" s="399"/>
      <c r="Q15" s="399"/>
    </row>
    <row r="16" spans="1:38" s="787" customFormat="1">
      <c r="A16" s="785"/>
      <c r="B16" s="786" t="s">
        <v>564</v>
      </c>
      <c r="C16" s="786"/>
      <c r="D16" s="786" t="s">
        <v>565</v>
      </c>
      <c r="E16" s="786" t="s">
        <v>566</v>
      </c>
      <c r="F16" s="786" t="s">
        <v>567</v>
      </c>
      <c r="G16" s="788" t="s">
        <v>568</v>
      </c>
      <c r="H16" s="786" t="s">
        <v>569</v>
      </c>
      <c r="I16" s="786" t="s">
        <v>1001</v>
      </c>
      <c r="J16" s="789" t="s">
        <v>1002</v>
      </c>
      <c r="K16" s="786" t="s">
        <v>1003</v>
      </c>
      <c r="L16" s="786" t="s">
        <v>1004</v>
      </c>
      <c r="M16" s="784" t="s">
        <v>1005</v>
      </c>
      <c r="N16" s="786" t="s">
        <v>1006</v>
      </c>
      <c r="O16" s="786" t="s">
        <v>1007</v>
      </c>
      <c r="P16" s="821"/>
      <c r="Q16" s="822"/>
      <c r="R16" s="786" t="s">
        <v>1011</v>
      </c>
      <c r="S16" s="786" t="s">
        <v>1008</v>
      </c>
      <c r="T16" s="786" t="s">
        <v>1009</v>
      </c>
      <c r="U16" s="786" t="s">
        <v>1014</v>
      </c>
      <c r="V16" s="786" t="s">
        <v>1010</v>
      </c>
      <c r="W16" s="786" t="s">
        <v>1011</v>
      </c>
      <c r="X16" s="786" t="s">
        <v>1012</v>
      </c>
      <c r="Y16" s="786" t="s">
        <v>1013</v>
      </c>
      <c r="Z16" s="786" t="s">
        <v>1014</v>
      </c>
      <c r="AA16" s="786" t="s">
        <v>1015</v>
      </c>
    </row>
    <row r="17" spans="1:27">
      <c r="G17" s="472"/>
      <c r="H17" s="389"/>
      <c r="I17" s="380"/>
      <c r="J17" s="388"/>
      <c r="K17" s="380"/>
      <c r="L17" s="380"/>
      <c r="M17" s="380"/>
      <c r="N17" s="380"/>
      <c r="P17" s="399"/>
      <c r="Q17" s="383"/>
    </row>
    <row r="18" spans="1:27">
      <c r="A18" s="778">
        <f>+A14+1</f>
        <v>4</v>
      </c>
      <c r="B18" s="390" t="s">
        <v>1052</v>
      </c>
      <c r="C18" s="661"/>
      <c r="D18" s="538">
        <f>H18</f>
        <v>47611813</v>
      </c>
      <c r="E18" s="538">
        <f>I18</f>
        <v>81507.456204916656</v>
      </c>
      <c r="F18" s="538">
        <f>J18</f>
        <v>6353116.4562049164</v>
      </c>
      <c r="G18" s="662">
        <v>0</v>
      </c>
      <c r="H18" s="663">
        <f>H$14+G18</f>
        <v>47611813</v>
      </c>
      <c r="I18" s="664">
        <f>I$12*H14</f>
        <v>81507.456204916656</v>
      </c>
      <c r="J18" s="665">
        <f>J14+I18</f>
        <v>6353116.4562049164</v>
      </c>
      <c r="K18" s="663">
        <f>G18</f>
        <v>0</v>
      </c>
      <c r="L18" s="768">
        <v>3.7499999999999999E-2</v>
      </c>
      <c r="M18" s="768">
        <v>7.2190000000000004E-2</v>
      </c>
      <c r="N18" s="377">
        <f t="shared" ref="N18:N29" si="0">K18*L18</f>
        <v>0</v>
      </c>
      <c r="O18" s="377">
        <f t="shared" ref="O18:O29" si="1">K18*M18</f>
        <v>0</v>
      </c>
      <c r="P18" s="399">
        <f t="shared" ref="P18:P29" si="2">(P$14)/12</f>
        <v>109436.59743648062</v>
      </c>
      <c r="Q18" s="766"/>
      <c r="R18" s="377">
        <f>N$42/12+P18</f>
        <v>114741.99118648062</v>
      </c>
      <c r="S18" s="767">
        <f>E18</f>
        <v>81507.456204916656</v>
      </c>
      <c r="T18" s="767">
        <f>S18-R18</f>
        <v>-33234.534981563964</v>
      </c>
      <c r="U18" s="550">
        <f>+'Proj Att-H'!$D$132</f>
        <v>0.20999999999999996</v>
      </c>
      <c r="V18" s="767">
        <f>T18*U18</f>
        <v>-6979.2523461284309</v>
      </c>
      <c r="W18" s="766"/>
      <c r="X18" s="766"/>
      <c r="Y18" s="766"/>
      <c r="Z18" s="766"/>
      <c r="AA18" s="766"/>
    </row>
    <row r="19" spans="1:27">
      <c r="A19" s="778">
        <f t="shared" ref="A19:A41" si="3">+A18+1</f>
        <v>5</v>
      </c>
      <c r="B19" s="390" t="s">
        <v>1053</v>
      </c>
      <c r="C19" s="661"/>
      <c r="D19" s="538">
        <f t="shared" ref="D19:D41" si="4">H19</f>
        <v>47611813</v>
      </c>
      <c r="E19" s="538">
        <f t="shared" ref="E19:E41" si="5">I19</f>
        <v>81507.456204916656</v>
      </c>
      <c r="F19" s="538">
        <f t="shared" ref="F19:F41" si="6">J19</f>
        <v>6434623.9124098327</v>
      </c>
      <c r="G19" s="662">
        <v>0</v>
      </c>
      <c r="H19" s="663">
        <f t="shared" ref="H19:H41" si="7">H$14+G19</f>
        <v>47611813</v>
      </c>
      <c r="I19" s="664">
        <f>I$12*H18</f>
        <v>81507.456204916656</v>
      </c>
      <c r="J19" s="665">
        <f t="shared" ref="J19:J41" si="8">J18+I19</f>
        <v>6434623.9124098327</v>
      </c>
      <c r="K19" s="663">
        <f>G19-G18</f>
        <v>0</v>
      </c>
      <c r="L19" s="768">
        <v>3.7499999999999999E-2</v>
      </c>
      <c r="M19" s="768">
        <v>7.2190000000000004E-2</v>
      </c>
      <c r="N19" s="377">
        <f t="shared" si="0"/>
        <v>0</v>
      </c>
      <c r="O19" s="377">
        <f t="shared" si="1"/>
        <v>0</v>
      </c>
      <c r="P19" s="399">
        <f t="shared" si="2"/>
        <v>109436.59743648062</v>
      </c>
      <c r="Q19" s="766"/>
      <c r="R19" s="377">
        <f t="shared" ref="R19:R29" si="9">N$42/12+P19</f>
        <v>114741.99118648062</v>
      </c>
      <c r="S19" s="767">
        <f t="shared" ref="S19:S29" si="10">E19</f>
        <v>81507.456204916656</v>
      </c>
      <c r="T19" s="767">
        <f t="shared" ref="T19:T29" si="11">S19-R19</f>
        <v>-33234.534981563964</v>
      </c>
      <c r="U19" s="550">
        <f>+'Proj Att-H'!$D$132</f>
        <v>0.20999999999999996</v>
      </c>
      <c r="V19" s="767">
        <f t="shared" ref="V19:V29" si="12">T19*U19</f>
        <v>-6979.2523461284309</v>
      </c>
      <c r="W19" s="766"/>
      <c r="X19" s="766"/>
      <c r="Y19" s="766"/>
      <c r="Z19" s="766"/>
      <c r="AA19" s="766"/>
    </row>
    <row r="20" spans="1:27">
      <c r="A20" s="778">
        <f t="shared" si="3"/>
        <v>6</v>
      </c>
      <c r="B20" s="390" t="s">
        <v>1054</v>
      </c>
      <c r="C20" s="661"/>
      <c r="D20" s="538">
        <f t="shared" si="4"/>
        <v>47611813</v>
      </c>
      <c r="E20" s="538">
        <f t="shared" si="5"/>
        <v>81507.456204916656</v>
      </c>
      <c r="F20" s="538">
        <f t="shared" si="6"/>
        <v>6516131.3686147491</v>
      </c>
      <c r="G20" s="662">
        <v>0</v>
      </c>
      <c r="H20" s="663">
        <f t="shared" si="7"/>
        <v>47611813</v>
      </c>
      <c r="I20" s="664">
        <f t="shared" ref="I20:I41" si="13">I$12*H19</f>
        <v>81507.456204916656</v>
      </c>
      <c r="J20" s="665">
        <f t="shared" si="8"/>
        <v>6516131.3686147491</v>
      </c>
      <c r="K20" s="663">
        <f t="shared" ref="K20:K41" si="14">G20-G19</f>
        <v>0</v>
      </c>
      <c r="L20" s="768">
        <v>3.7499999999999999E-2</v>
      </c>
      <c r="M20" s="768">
        <v>7.2190000000000004E-2</v>
      </c>
      <c r="N20" s="377">
        <f t="shared" si="0"/>
        <v>0</v>
      </c>
      <c r="O20" s="377">
        <f t="shared" si="1"/>
        <v>0</v>
      </c>
      <c r="P20" s="399">
        <f t="shared" si="2"/>
        <v>109436.59743648062</v>
      </c>
      <c r="Q20" s="766"/>
      <c r="R20" s="377">
        <f t="shared" si="9"/>
        <v>114741.99118648062</v>
      </c>
      <c r="S20" s="767">
        <f t="shared" si="10"/>
        <v>81507.456204916656</v>
      </c>
      <c r="T20" s="767">
        <f t="shared" si="11"/>
        <v>-33234.534981563964</v>
      </c>
      <c r="U20" s="550">
        <f>+'Proj Att-H'!$D$132</f>
        <v>0.20999999999999996</v>
      </c>
      <c r="V20" s="767">
        <f t="shared" si="12"/>
        <v>-6979.2523461284309</v>
      </c>
      <c r="W20" s="766"/>
      <c r="X20" s="766"/>
      <c r="Y20" s="766"/>
      <c r="Z20" s="766"/>
      <c r="AA20" s="766"/>
    </row>
    <row r="21" spans="1:27">
      <c r="A21" s="778">
        <f t="shared" si="3"/>
        <v>7</v>
      </c>
      <c r="B21" s="390" t="s">
        <v>1055</v>
      </c>
      <c r="C21" s="661"/>
      <c r="D21" s="538">
        <f t="shared" si="4"/>
        <v>47611813</v>
      </c>
      <c r="E21" s="538">
        <f t="shared" si="5"/>
        <v>81507.456204916656</v>
      </c>
      <c r="F21" s="538">
        <f t="shared" si="6"/>
        <v>6597638.8248196654</v>
      </c>
      <c r="G21" s="662">
        <v>0</v>
      </c>
      <c r="H21" s="663">
        <f t="shared" si="7"/>
        <v>47611813</v>
      </c>
      <c r="I21" s="664">
        <f t="shared" si="13"/>
        <v>81507.456204916656</v>
      </c>
      <c r="J21" s="665">
        <f t="shared" si="8"/>
        <v>6597638.8248196654</v>
      </c>
      <c r="K21" s="663">
        <f t="shared" si="14"/>
        <v>0</v>
      </c>
      <c r="L21" s="768">
        <v>3.7499999999999999E-2</v>
      </c>
      <c r="M21" s="768">
        <v>7.2190000000000004E-2</v>
      </c>
      <c r="N21" s="377">
        <f t="shared" si="0"/>
        <v>0</v>
      </c>
      <c r="O21" s="377">
        <f t="shared" si="1"/>
        <v>0</v>
      </c>
      <c r="P21" s="399">
        <f t="shared" si="2"/>
        <v>109436.59743648062</v>
      </c>
      <c r="Q21" s="766"/>
      <c r="R21" s="377">
        <f t="shared" si="9"/>
        <v>114741.99118648062</v>
      </c>
      <c r="S21" s="767">
        <f t="shared" si="10"/>
        <v>81507.456204916656</v>
      </c>
      <c r="T21" s="767">
        <f t="shared" si="11"/>
        <v>-33234.534981563964</v>
      </c>
      <c r="U21" s="550">
        <f>+'Proj Att-H'!$D$132</f>
        <v>0.20999999999999996</v>
      </c>
      <c r="V21" s="767">
        <f t="shared" si="12"/>
        <v>-6979.2523461284309</v>
      </c>
      <c r="W21" s="766"/>
      <c r="X21" s="766"/>
      <c r="Y21" s="766"/>
      <c r="Z21" s="766"/>
      <c r="AA21" s="766"/>
    </row>
    <row r="22" spans="1:27">
      <c r="A22" s="778">
        <f t="shared" si="3"/>
        <v>8</v>
      </c>
      <c r="B22" s="390">
        <v>43586</v>
      </c>
      <c r="C22" s="661"/>
      <c r="D22" s="538">
        <f t="shared" si="4"/>
        <v>47611813</v>
      </c>
      <c r="E22" s="538">
        <f t="shared" si="5"/>
        <v>81507.456204916656</v>
      </c>
      <c r="F22" s="538">
        <f t="shared" si="6"/>
        <v>6679146.2810245818</v>
      </c>
      <c r="G22" s="662">
        <v>0</v>
      </c>
      <c r="H22" s="663">
        <f t="shared" si="7"/>
        <v>47611813</v>
      </c>
      <c r="I22" s="664">
        <f t="shared" si="13"/>
        <v>81507.456204916656</v>
      </c>
      <c r="J22" s="665">
        <f t="shared" si="8"/>
        <v>6679146.2810245818</v>
      </c>
      <c r="K22" s="663">
        <f t="shared" si="14"/>
        <v>0</v>
      </c>
      <c r="L22" s="768">
        <v>3.7499999999999999E-2</v>
      </c>
      <c r="M22" s="768">
        <v>7.2190000000000004E-2</v>
      </c>
      <c r="N22" s="377">
        <f t="shared" si="0"/>
        <v>0</v>
      </c>
      <c r="O22" s="377">
        <f t="shared" si="1"/>
        <v>0</v>
      </c>
      <c r="P22" s="399">
        <f t="shared" si="2"/>
        <v>109436.59743648062</v>
      </c>
      <c r="Q22" s="766"/>
      <c r="R22" s="377">
        <f t="shared" si="9"/>
        <v>114741.99118648062</v>
      </c>
      <c r="S22" s="767">
        <f t="shared" si="10"/>
        <v>81507.456204916656</v>
      </c>
      <c r="T22" s="767">
        <f t="shared" si="11"/>
        <v>-33234.534981563964</v>
      </c>
      <c r="U22" s="550">
        <f>+'Proj Att-H'!$D$132</f>
        <v>0.20999999999999996</v>
      </c>
      <c r="V22" s="767">
        <f t="shared" si="12"/>
        <v>-6979.2523461284309</v>
      </c>
      <c r="W22" s="766"/>
      <c r="X22" s="766"/>
      <c r="Y22" s="766"/>
      <c r="Z22" s="766"/>
      <c r="AA22" s="766"/>
    </row>
    <row r="23" spans="1:27">
      <c r="A23" s="778">
        <f t="shared" si="3"/>
        <v>9</v>
      </c>
      <c r="B23" s="390">
        <v>43617</v>
      </c>
      <c r="C23" s="661"/>
      <c r="D23" s="538">
        <f t="shared" si="4"/>
        <v>47853135.130000003</v>
      </c>
      <c r="E23" s="538">
        <f t="shared" si="5"/>
        <v>81507.456204916656</v>
      </c>
      <c r="F23" s="538">
        <f t="shared" si="6"/>
        <v>6760653.7372294981</v>
      </c>
      <c r="G23" s="662">
        <v>241322.12999999998</v>
      </c>
      <c r="H23" s="663">
        <f t="shared" si="7"/>
        <v>47853135.130000003</v>
      </c>
      <c r="I23" s="664">
        <f t="shared" si="13"/>
        <v>81507.456204916656</v>
      </c>
      <c r="J23" s="665">
        <f t="shared" si="8"/>
        <v>6760653.7372294981</v>
      </c>
      <c r="K23" s="663">
        <f t="shared" si="14"/>
        <v>241322.12999999998</v>
      </c>
      <c r="L23" s="768">
        <v>3.7499999999999999E-2</v>
      </c>
      <c r="M23" s="768">
        <v>7.2190000000000004E-2</v>
      </c>
      <c r="N23" s="377">
        <f t="shared" si="0"/>
        <v>9049.5798749999994</v>
      </c>
      <c r="O23" s="377">
        <f t="shared" si="1"/>
        <v>17421.044564699998</v>
      </c>
      <c r="P23" s="399">
        <f t="shared" si="2"/>
        <v>109436.59743648062</v>
      </c>
      <c r="Q23" s="766"/>
      <c r="R23" s="377">
        <f t="shared" si="9"/>
        <v>114741.99118648062</v>
      </c>
      <c r="S23" s="767">
        <f t="shared" si="10"/>
        <v>81507.456204916656</v>
      </c>
      <c r="T23" s="767">
        <f t="shared" si="11"/>
        <v>-33234.534981563964</v>
      </c>
      <c r="U23" s="550">
        <f>+'Proj Att-H'!$D$132</f>
        <v>0.20999999999999996</v>
      </c>
      <c r="V23" s="767">
        <f t="shared" si="12"/>
        <v>-6979.2523461284309</v>
      </c>
      <c r="W23" s="766"/>
      <c r="X23" s="766"/>
      <c r="Y23" s="766"/>
      <c r="Z23" s="766"/>
      <c r="AA23" s="766"/>
    </row>
    <row r="24" spans="1:27">
      <c r="A24" s="778">
        <f t="shared" si="3"/>
        <v>10</v>
      </c>
      <c r="B24" s="390">
        <v>43647</v>
      </c>
      <c r="C24" s="661"/>
      <c r="D24" s="538">
        <f t="shared" si="4"/>
        <v>47848505.869999997</v>
      </c>
      <c r="E24" s="538">
        <f t="shared" si="5"/>
        <v>81920.579581299156</v>
      </c>
      <c r="F24" s="538">
        <f t="shared" si="6"/>
        <v>6842574.316810797</v>
      </c>
      <c r="G24" s="662">
        <v>236692.87000000002</v>
      </c>
      <c r="H24" s="663">
        <f t="shared" si="7"/>
        <v>47848505.869999997</v>
      </c>
      <c r="I24" s="664">
        <f t="shared" si="13"/>
        <v>81920.579581299156</v>
      </c>
      <c r="J24" s="665">
        <f t="shared" si="8"/>
        <v>6842574.316810797</v>
      </c>
      <c r="K24" s="663">
        <f t="shared" si="14"/>
        <v>-4629.2599999999511</v>
      </c>
      <c r="L24" s="768">
        <v>3.7499999999999999E-2</v>
      </c>
      <c r="M24" s="768">
        <v>7.2190000000000004E-2</v>
      </c>
      <c r="N24" s="377">
        <f t="shared" si="0"/>
        <v>-173.59724999999816</v>
      </c>
      <c r="O24" s="377">
        <f t="shared" si="1"/>
        <v>-334.18627939999647</v>
      </c>
      <c r="P24" s="399">
        <f t="shared" si="2"/>
        <v>109436.59743648062</v>
      </c>
      <c r="Q24" s="766"/>
      <c r="R24" s="377">
        <f t="shared" si="9"/>
        <v>114741.99118648062</v>
      </c>
      <c r="S24" s="767">
        <f t="shared" si="10"/>
        <v>81920.579581299156</v>
      </c>
      <c r="T24" s="767">
        <f t="shared" si="11"/>
        <v>-32821.411605181464</v>
      </c>
      <c r="U24" s="550">
        <f>+'Proj Att-H'!$D$132</f>
        <v>0.20999999999999996</v>
      </c>
      <c r="V24" s="767">
        <f t="shared" si="12"/>
        <v>-6892.4964370881062</v>
      </c>
      <c r="W24" s="766"/>
      <c r="X24" s="766"/>
      <c r="Y24" s="766"/>
      <c r="Z24" s="766"/>
      <c r="AA24" s="766"/>
    </row>
    <row r="25" spans="1:27">
      <c r="A25" s="778">
        <f t="shared" si="3"/>
        <v>11</v>
      </c>
      <c r="B25" s="390">
        <v>43678</v>
      </c>
      <c r="C25" s="661"/>
      <c r="D25" s="538">
        <f t="shared" si="4"/>
        <v>48091529</v>
      </c>
      <c r="E25" s="538">
        <f t="shared" si="5"/>
        <v>81912.654673950819</v>
      </c>
      <c r="F25" s="538">
        <f t="shared" si="6"/>
        <v>6924486.9714847477</v>
      </c>
      <c r="G25" s="662">
        <v>479716</v>
      </c>
      <c r="H25" s="663">
        <f t="shared" si="7"/>
        <v>48091529</v>
      </c>
      <c r="I25" s="664">
        <f t="shared" si="13"/>
        <v>81912.654673950819</v>
      </c>
      <c r="J25" s="665">
        <f t="shared" si="8"/>
        <v>6924486.9714847477</v>
      </c>
      <c r="K25" s="663">
        <f t="shared" si="14"/>
        <v>243023.12999999998</v>
      </c>
      <c r="L25" s="768">
        <v>3.7499999999999999E-2</v>
      </c>
      <c r="M25" s="768">
        <v>7.2190000000000004E-2</v>
      </c>
      <c r="N25" s="377">
        <f t="shared" si="0"/>
        <v>9113.367374999998</v>
      </c>
      <c r="O25" s="377">
        <f t="shared" si="1"/>
        <v>17543.839754699999</v>
      </c>
      <c r="P25" s="399">
        <f t="shared" si="2"/>
        <v>109436.59743648062</v>
      </c>
      <c r="Q25" s="766"/>
      <c r="R25" s="377">
        <f t="shared" si="9"/>
        <v>114741.99118648062</v>
      </c>
      <c r="S25" s="767">
        <f t="shared" si="10"/>
        <v>81912.654673950819</v>
      </c>
      <c r="T25" s="767">
        <f t="shared" si="11"/>
        <v>-32829.336512529801</v>
      </c>
      <c r="U25" s="550">
        <f>+'Proj Att-H'!$D$132</f>
        <v>0.20999999999999996</v>
      </c>
      <c r="V25" s="767">
        <f t="shared" si="12"/>
        <v>-6894.1606676312567</v>
      </c>
      <c r="W25" s="766"/>
      <c r="X25" s="766"/>
      <c r="Y25" s="766"/>
      <c r="Z25" s="766"/>
      <c r="AA25" s="766"/>
    </row>
    <row r="26" spans="1:27">
      <c r="A26" s="778">
        <f t="shared" si="3"/>
        <v>12</v>
      </c>
      <c r="B26" s="390">
        <v>43709</v>
      </c>
      <c r="C26" s="661"/>
      <c r="D26" s="538">
        <f t="shared" si="4"/>
        <v>48150211</v>
      </c>
      <c r="E26" s="538">
        <f t="shared" si="5"/>
        <v>82328.690020583323</v>
      </c>
      <c r="F26" s="538">
        <f t="shared" si="6"/>
        <v>7006815.6615053313</v>
      </c>
      <c r="G26" s="662">
        <v>538398</v>
      </c>
      <c r="H26" s="663">
        <f t="shared" si="7"/>
        <v>48150211</v>
      </c>
      <c r="I26" s="664">
        <f t="shared" si="13"/>
        <v>82328.690020583323</v>
      </c>
      <c r="J26" s="665">
        <f t="shared" si="8"/>
        <v>7006815.6615053313</v>
      </c>
      <c r="K26" s="663">
        <f t="shared" si="14"/>
        <v>58682</v>
      </c>
      <c r="L26" s="768">
        <v>3.7499999999999999E-2</v>
      </c>
      <c r="M26" s="768">
        <v>7.2190000000000004E-2</v>
      </c>
      <c r="N26" s="377">
        <f t="shared" si="0"/>
        <v>2200.5749999999998</v>
      </c>
      <c r="O26" s="377">
        <f t="shared" si="1"/>
        <v>4236.2535800000005</v>
      </c>
      <c r="P26" s="399">
        <f t="shared" si="2"/>
        <v>109436.59743648062</v>
      </c>
      <c r="Q26" s="766"/>
      <c r="R26" s="377">
        <f t="shared" si="9"/>
        <v>114741.99118648062</v>
      </c>
      <c r="S26" s="767">
        <f t="shared" si="10"/>
        <v>82328.690020583323</v>
      </c>
      <c r="T26" s="767">
        <f t="shared" si="11"/>
        <v>-32413.301165897297</v>
      </c>
      <c r="U26" s="550">
        <f>+'Proj Att-H'!$D$132</f>
        <v>0.20999999999999996</v>
      </c>
      <c r="V26" s="767">
        <f t="shared" si="12"/>
        <v>-6806.7932448384308</v>
      </c>
      <c r="W26" s="766"/>
      <c r="X26" s="766"/>
      <c r="Y26" s="766"/>
      <c r="Z26" s="766"/>
      <c r="AA26" s="766"/>
    </row>
    <row r="27" spans="1:27">
      <c r="A27" s="778">
        <f t="shared" si="3"/>
        <v>13</v>
      </c>
      <c r="B27" s="390">
        <v>43739</v>
      </c>
      <c r="C27" s="661"/>
      <c r="D27" s="538">
        <f t="shared" si="4"/>
        <v>48150032</v>
      </c>
      <c r="E27" s="538">
        <f t="shared" si="5"/>
        <v>82429.14871441666</v>
      </c>
      <c r="F27" s="538">
        <f t="shared" si="6"/>
        <v>7089244.8102197479</v>
      </c>
      <c r="G27" s="662">
        <v>538219</v>
      </c>
      <c r="H27" s="663">
        <f t="shared" si="7"/>
        <v>48150032</v>
      </c>
      <c r="I27" s="664">
        <f t="shared" si="13"/>
        <v>82429.14871441666</v>
      </c>
      <c r="J27" s="665">
        <f t="shared" si="8"/>
        <v>7089244.8102197479</v>
      </c>
      <c r="K27" s="663">
        <f t="shared" si="14"/>
        <v>-179</v>
      </c>
      <c r="L27" s="768">
        <v>3.7499999999999999E-2</v>
      </c>
      <c r="M27" s="768">
        <v>7.2190000000000004E-2</v>
      </c>
      <c r="N27" s="377">
        <f t="shared" si="0"/>
        <v>-6.7124999999999995</v>
      </c>
      <c r="O27" s="377">
        <f t="shared" si="1"/>
        <v>-12.92201</v>
      </c>
      <c r="P27" s="399">
        <f t="shared" si="2"/>
        <v>109436.59743648062</v>
      </c>
      <c r="Q27" s="766"/>
      <c r="R27" s="377">
        <f t="shared" si="9"/>
        <v>114741.99118648062</v>
      </c>
      <c r="S27" s="767">
        <f t="shared" si="10"/>
        <v>82429.14871441666</v>
      </c>
      <c r="T27" s="767">
        <f t="shared" si="11"/>
        <v>-32312.84247206396</v>
      </c>
      <c r="U27" s="550">
        <f>+'Proj Att-H'!$D$132</f>
        <v>0.20999999999999996</v>
      </c>
      <c r="V27" s="767">
        <f t="shared" si="12"/>
        <v>-6785.6969191334301</v>
      </c>
      <c r="W27" s="766"/>
      <c r="X27" s="766"/>
      <c r="Y27" s="766"/>
      <c r="Z27" s="766"/>
      <c r="AA27" s="766"/>
    </row>
    <row r="28" spans="1:27">
      <c r="A28" s="778">
        <f t="shared" si="3"/>
        <v>14</v>
      </c>
      <c r="B28" s="390">
        <v>43770</v>
      </c>
      <c r="C28" s="661"/>
      <c r="D28" s="538">
        <f t="shared" si="4"/>
        <v>48320290</v>
      </c>
      <c r="E28" s="538">
        <f t="shared" si="5"/>
        <v>82428.842281333331</v>
      </c>
      <c r="F28" s="538">
        <f t="shared" si="6"/>
        <v>7171673.6525010811</v>
      </c>
      <c r="G28" s="662">
        <v>708477</v>
      </c>
      <c r="H28" s="663">
        <f t="shared" si="7"/>
        <v>48320290</v>
      </c>
      <c r="I28" s="664">
        <f t="shared" si="13"/>
        <v>82428.842281333331</v>
      </c>
      <c r="J28" s="665">
        <f t="shared" si="8"/>
        <v>7171673.6525010811</v>
      </c>
      <c r="K28" s="663">
        <f t="shared" si="14"/>
        <v>170258</v>
      </c>
      <c r="L28" s="768">
        <v>3.7499999999999999E-2</v>
      </c>
      <c r="M28" s="768">
        <v>7.2190000000000004E-2</v>
      </c>
      <c r="N28" s="377">
        <f t="shared" si="0"/>
        <v>6384.6750000000002</v>
      </c>
      <c r="O28" s="377">
        <f t="shared" si="1"/>
        <v>12290.925020000001</v>
      </c>
      <c r="P28" s="399">
        <f t="shared" si="2"/>
        <v>109436.59743648062</v>
      </c>
      <c r="Q28" s="766"/>
      <c r="R28" s="377">
        <f t="shared" si="9"/>
        <v>114741.99118648062</v>
      </c>
      <c r="S28" s="767">
        <f t="shared" si="10"/>
        <v>82428.842281333331</v>
      </c>
      <c r="T28" s="767">
        <f t="shared" si="11"/>
        <v>-32313.148905147289</v>
      </c>
      <c r="U28" s="550">
        <f>+'Proj Att-H'!$D$132</f>
        <v>0.20999999999999996</v>
      </c>
      <c r="V28" s="767">
        <f t="shared" si="12"/>
        <v>-6785.7612700809295</v>
      </c>
      <c r="W28" s="766"/>
      <c r="X28" s="766"/>
      <c r="Y28" s="766"/>
      <c r="Z28" s="766"/>
      <c r="AA28" s="766"/>
    </row>
    <row r="29" spans="1:27">
      <c r="A29" s="778">
        <f t="shared" si="3"/>
        <v>15</v>
      </c>
      <c r="B29" s="390">
        <v>43800</v>
      </c>
      <c r="C29" s="661"/>
      <c r="D29" s="538">
        <f t="shared" si="4"/>
        <v>49309539</v>
      </c>
      <c r="E29" s="538">
        <f t="shared" si="5"/>
        <v>82720.309789166655</v>
      </c>
      <c r="F29" s="538">
        <f t="shared" si="6"/>
        <v>7254393.9622902479</v>
      </c>
      <c r="G29" s="662">
        <v>1697726</v>
      </c>
      <c r="H29" s="663">
        <f t="shared" si="7"/>
        <v>49309539</v>
      </c>
      <c r="I29" s="664">
        <f>I$12*H28</f>
        <v>82720.309789166655</v>
      </c>
      <c r="J29" s="665">
        <f t="shared" si="8"/>
        <v>7254393.9622902479</v>
      </c>
      <c r="K29" s="663">
        <f t="shared" si="14"/>
        <v>989249</v>
      </c>
      <c r="L29" s="768">
        <v>3.7499999999999999E-2</v>
      </c>
      <c r="M29" s="768">
        <v>7.2190000000000004E-2</v>
      </c>
      <c r="N29" s="377">
        <f t="shared" si="0"/>
        <v>37096.837500000001</v>
      </c>
      <c r="O29" s="377">
        <f t="shared" si="1"/>
        <v>71413.885309999998</v>
      </c>
      <c r="P29" s="399">
        <f t="shared" si="2"/>
        <v>109436.59743648062</v>
      </c>
      <c r="Q29" s="766"/>
      <c r="R29" s="377">
        <f t="shared" si="9"/>
        <v>114741.99118648062</v>
      </c>
      <c r="S29" s="767">
        <f t="shared" si="10"/>
        <v>82720.309789166655</v>
      </c>
      <c r="T29" s="767">
        <f t="shared" si="11"/>
        <v>-32021.681397313965</v>
      </c>
      <c r="U29" s="550">
        <f>+'Proj Att-H'!$D$132</f>
        <v>0.20999999999999996</v>
      </c>
      <c r="V29" s="767">
        <f t="shared" si="12"/>
        <v>-6724.5530934359313</v>
      </c>
      <c r="W29" s="766"/>
      <c r="X29" s="766"/>
      <c r="Y29" s="766"/>
      <c r="Z29" s="766"/>
      <c r="AA29" s="766"/>
    </row>
    <row r="30" spans="1:27">
      <c r="A30" s="778">
        <f>+A29+1</f>
        <v>16</v>
      </c>
      <c r="B30" s="390">
        <v>43831</v>
      </c>
      <c r="C30" s="661"/>
      <c r="D30" s="538">
        <f t="shared" si="4"/>
        <v>48124330</v>
      </c>
      <c r="E30" s="538">
        <f t="shared" si="5"/>
        <v>84413.821639749993</v>
      </c>
      <c r="F30" s="538">
        <f t="shared" si="6"/>
        <v>7338807.7839299981</v>
      </c>
      <c r="G30" s="662">
        <v>512517</v>
      </c>
      <c r="H30" s="663">
        <f t="shared" si="7"/>
        <v>48124330</v>
      </c>
      <c r="I30" s="664">
        <f t="shared" si="13"/>
        <v>84413.821639749993</v>
      </c>
      <c r="J30" s="665">
        <f t="shared" si="8"/>
        <v>7338807.7839299981</v>
      </c>
      <c r="K30" s="663">
        <f t="shared" si="14"/>
        <v>-1185209</v>
      </c>
      <c r="L30" s="768">
        <v>3.7499999999999999E-2</v>
      </c>
      <c r="M30" s="768">
        <v>7.2190000000000004E-2</v>
      </c>
      <c r="N30" s="766"/>
      <c r="O30" s="377">
        <f t="shared" ref="O30:O41" si="15">K30*L30</f>
        <v>-44445.337500000001</v>
      </c>
      <c r="P30" s="766"/>
      <c r="Q30" s="399">
        <f>(Q$14)/12</f>
        <v>104531.40710559073</v>
      </c>
      <c r="R30" s="766"/>
      <c r="S30" s="766"/>
      <c r="T30" s="766"/>
      <c r="U30" s="766"/>
      <c r="V30" s="766"/>
      <c r="W30" s="767">
        <f>(O$42/12)+Q30</f>
        <v>119038.3031422574</v>
      </c>
      <c r="X30" s="767">
        <f>E30</f>
        <v>84413.821639749993</v>
      </c>
      <c r="Y30" s="767">
        <f>X30-W30</f>
        <v>-34624.481502507406</v>
      </c>
      <c r="Z30" s="550">
        <f>+'Proj Att-H'!$D$132</f>
        <v>0.20999999999999996</v>
      </c>
      <c r="AA30" s="767">
        <f>Z30*Y30</f>
        <v>-7271.1411155265541</v>
      </c>
    </row>
    <row r="31" spans="1:27">
      <c r="A31" s="778">
        <f t="shared" si="3"/>
        <v>17</v>
      </c>
      <c r="B31" s="390">
        <v>43862</v>
      </c>
      <c r="C31" s="661"/>
      <c r="D31" s="538">
        <f t="shared" si="4"/>
        <v>48107912</v>
      </c>
      <c r="E31" s="538">
        <f t="shared" si="5"/>
        <v>82384.842599166659</v>
      </c>
      <c r="F31" s="538">
        <f t="shared" si="6"/>
        <v>7421192.6265291646</v>
      </c>
      <c r="G31" s="662">
        <v>496099</v>
      </c>
      <c r="H31" s="663">
        <f t="shared" si="7"/>
        <v>48107912</v>
      </c>
      <c r="I31" s="664">
        <f t="shared" si="13"/>
        <v>82384.842599166659</v>
      </c>
      <c r="J31" s="665">
        <f t="shared" si="8"/>
        <v>7421192.6265291646</v>
      </c>
      <c r="K31" s="663">
        <f t="shared" si="14"/>
        <v>-16418</v>
      </c>
      <c r="L31" s="768">
        <v>3.7499999999999999E-2</v>
      </c>
      <c r="M31" s="768">
        <v>7.2190000000000004E-2</v>
      </c>
      <c r="N31" s="766"/>
      <c r="O31" s="377">
        <f t="shared" si="15"/>
        <v>-615.67499999999995</v>
      </c>
      <c r="P31" s="766"/>
      <c r="Q31" s="399">
        <f t="shared" ref="Q31:Q41" si="16">(Q$14)/12</f>
        <v>104531.40710559073</v>
      </c>
      <c r="R31" s="766"/>
      <c r="S31" s="766"/>
      <c r="T31" s="766"/>
      <c r="U31" s="766"/>
      <c r="V31" s="766"/>
      <c r="W31" s="767">
        <f t="shared" ref="W31:W41" si="17">(O$42/12)+Q31</f>
        <v>119038.3031422574</v>
      </c>
      <c r="X31" s="767">
        <f t="shared" ref="X31:X41" si="18">E31</f>
        <v>82384.842599166659</v>
      </c>
      <c r="Y31" s="767">
        <f t="shared" ref="Y31:Y41" si="19">X31-W31</f>
        <v>-36653.46054309074</v>
      </c>
      <c r="Z31" s="550">
        <f>+'Proj Att-H'!$D$132</f>
        <v>0.20999999999999996</v>
      </c>
      <c r="AA31" s="767">
        <f t="shared" ref="AA31:AA41" si="20">Z31*Y31</f>
        <v>-7697.226714049054</v>
      </c>
    </row>
    <row r="32" spans="1:27">
      <c r="A32" s="778">
        <f t="shared" si="3"/>
        <v>18</v>
      </c>
      <c r="B32" s="390">
        <v>43891</v>
      </c>
      <c r="C32" s="661"/>
      <c r="D32" s="538">
        <f t="shared" si="4"/>
        <v>47663533</v>
      </c>
      <c r="E32" s="538">
        <f t="shared" si="5"/>
        <v>82356.736351333326</v>
      </c>
      <c r="F32" s="538">
        <f t="shared" si="6"/>
        <v>7503549.3628804982</v>
      </c>
      <c r="G32" s="662">
        <v>51720</v>
      </c>
      <c r="H32" s="663">
        <f t="shared" si="7"/>
        <v>47663533</v>
      </c>
      <c r="I32" s="664">
        <f t="shared" si="13"/>
        <v>82356.736351333326</v>
      </c>
      <c r="J32" s="665">
        <f t="shared" si="8"/>
        <v>7503549.3628804982</v>
      </c>
      <c r="K32" s="663">
        <f t="shared" si="14"/>
        <v>-444379</v>
      </c>
      <c r="L32" s="768">
        <v>3.7499999999999999E-2</v>
      </c>
      <c r="M32" s="768">
        <v>7.2190000000000004E-2</v>
      </c>
      <c r="N32" s="766"/>
      <c r="O32" s="377">
        <f t="shared" si="15"/>
        <v>-16664.212499999998</v>
      </c>
      <c r="P32" s="766"/>
      <c r="Q32" s="399">
        <f t="shared" si="16"/>
        <v>104531.40710559073</v>
      </c>
      <c r="R32" s="766"/>
      <c r="S32" s="766"/>
      <c r="T32" s="766"/>
      <c r="U32" s="766"/>
      <c r="V32" s="766"/>
      <c r="W32" s="767">
        <f t="shared" si="17"/>
        <v>119038.3031422574</v>
      </c>
      <c r="X32" s="767">
        <f t="shared" si="18"/>
        <v>82356.736351333326</v>
      </c>
      <c r="Y32" s="767">
        <f t="shared" si="19"/>
        <v>-36681.566790924073</v>
      </c>
      <c r="Z32" s="550">
        <f>+'Proj Att-H'!$D$132</f>
        <v>0.20999999999999996</v>
      </c>
      <c r="AA32" s="767">
        <f t="shared" si="20"/>
        <v>-7703.1290260940541</v>
      </c>
    </row>
    <row r="33" spans="1:27">
      <c r="A33" s="778">
        <f t="shared" si="3"/>
        <v>19</v>
      </c>
      <c r="B33" s="390">
        <v>43922</v>
      </c>
      <c r="C33" s="661"/>
      <c r="D33" s="538">
        <f t="shared" si="4"/>
        <v>47666959</v>
      </c>
      <c r="E33" s="538">
        <f t="shared" si="5"/>
        <v>81595.99653491666</v>
      </c>
      <c r="F33" s="538">
        <f t="shared" si="6"/>
        <v>7585145.3594154147</v>
      </c>
      <c r="G33" s="662">
        <v>55146</v>
      </c>
      <c r="H33" s="663">
        <f t="shared" si="7"/>
        <v>47666959</v>
      </c>
      <c r="I33" s="664">
        <f t="shared" si="13"/>
        <v>81595.99653491666</v>
      </c>
      <c r="J33" s="665">
        <f t="shared" si="8"/>
        <v>7585145.3594154147</v>
      </c>
      <c r="K33" s="663">
        <f t="shared" si="14"/>
        <v>3426</v>
      </c>
      <c r="L33" s="768">
        <v>3.7499999999999999E-2</v>
      </c>
      <c r="M33" s="768">
        <v>7.2190000000000004E-2</v>
      </c>
      <c r="N33" s="766"/>
      <c r="O33" s="377">
        <f t="shared" si="15"/>
        <v>128.47499999999999</v>
      </c>
      <c r="P33" s="766"/>
      <c r="Q33" s="399">
        <f t="shared" si="16"/>
        <v>104531.40710559073</v>
      </c>
      <c r="R33" s="766"/>
      <c r="S33" s="766"/>
      <c r="T33" s="766"/>
      <c r="U33" s="766"/>
      <c r="V33" s="766"/>
      <c r="W33" s="767">
        <f t="shared" si="17"/>
        <v>119038.3031422574</v>
      </c>
      <c r="X33" s="767">
        <f t="shared" si="18"/>
        <v>81595.99653491666</v>
      </c>
      <c r="Y33" s="767">
        <f t="shared" si="19"/>
        <v>-37442.306607340739</v>
      </c>
      <c r="Z33" s="550">
        <f>+'Proj Att-H'!$D$132</f>
        <v>0.20999999999999996</v>
      </c>
      <c r="AA33" s="767">
        <f t="shared" si="20"/>
        <v>-7862.8843875415541</v>
      </c>
    </row>
    <row r="34" spans="1:27">
      <c r="A34" s="778">
        <f t="shared" si="3"/>
        <v>20</v>
      </c>
      <c r="B34" s="390">
        <v>43952</v>
      </c>
      <c r="C34" s="661"/>
      <c r="D34" s="538">
        <f t="shared" si="4"/>
        <v>47716979</v>
      </c>
      <c r="E34" s="538">
        <f t="shared" si="5"/>
        <v>81601.861561416663</v>
      </c>
      <c r="F34" s="538">
        <f t="shared" si="6"/>
        <v>7666747.2209768314</v>
      </c>
      <c r="G34" s="662">
        <v>105166</v>
      </c>
      <c r="H34" s="663">
        <f t="shared" si="7"/>
        <v>47716979</v>
      </c>
      <c r="I34" s="664">
        <f t="shared" si="13"/>
        <v>81601.861561416663</v>
      </c>
      <c r="J34" s="665">
        <f t="shared" si="8"/>
        <v>7666747.2209768314</v>
      </c>
      <c r="K34" s="663">
        <f t="shared" si="14"/>
        <v>50020</v>
      </c>
      <c r="L34" s="768">
        <v>3.7499999999999999E-2</v>
      </c>
      <c r="M34" s="768">
        <v>7.2190000000000004E-2</v>
      </c>
      <c r="N34" s="766"/>
      <c r="O34" s="377">
        <f t="shared" si="15"/>
        <v>1875.75</v>
      </c>
      <c r="P34" s="766"/>
      <c r="Q34" s="399">
        <f t="shared" si="16"/>
        <v>104531.40710559073</v>
      </c>
      <c r="R34" s="766"/>
      <c r="S34" s="766"/>
      <c r="T34" s="766"/>
      <c r="U34" s="766"/>
      <c r="V34" s="766"/>
      <c r="W34" s="767">
        <f t="shared" si="17"/>
        <v>119038.3031422574</v>
      </c>
      <c r="X34" s="767">
        <f t="shared" si="18"/>
        <v>81601.861561416663</v>
      </c>
      <c r="Y34" s="767">
        <f t="shared" si="19"/>
        <v>-37436.441580840736</v>
      </c>
      <c r="Z34" s="550">
        <f>+'Proj Att-H'!$D$132</f>
        <v>0.20999999999999996</v>
      </c>
      <c r="AA34" s="767">
        <f t="shared" si="20"/>
        <v>-7861.6527319765528</v>
      </c>
    </row>
    <row r="35" spans="1:27">
      <c r="A35" s="778">
        <f t="shared" si="3"/>
        <v>21</v>
      </c>
      <c r="B35" s="390">
        <v>43983</v>
      </c>
      <c r="C35" s="661"/>
      <c r="D35" s="538">
        <f t="shared" si="4"/>
        <v>47727235</v>
      </c>
      <c r="E35" s="538">
        <f t="shared" si="5"/>
        <v>81687.491633083322</v>
      </c>
      <c r="F35" s="538">
        <f t="shared" si="6"/>
        <v>7748434.7126099151</v>
      </c>
      <c r="G35" s="662">
        <v>115422</v>
      </c>
      <c r="H35" s="663">
        <f t="shared" si="7"/>
        <v>47727235</v>
      </c>
      <c r="I35" s="664">
        <f t="shared" si="13"/>
        <v>81687.491633083322</v>
      </c>
      <c r="J35" s="665">
        <f t="shared" si="8"/>
        <v>7748434.7126099151</v>
      </c>
      <c r="K35" s="663">
        <f t="shared" si="14"/>
        <v>10256</v>
      </c>
      <c r="L35" s="768">
        <v>3.7499999999999999E-2</v>
      </c>
      <c r="M35" s="768">
        <v>7.2190000000000004E-2</v>
      </c>
      <c r="N35" s="766"/>
      <c r="O35" s="377">
        <f t="shared" si="15"/>
        <v>384.59999999999997</v>
      </c>
      <c r="P35" s="766"/>
      <c r="Q35" s="399">
        <f t="shared" si="16"/>
        <v>104531.40710559073</v>
      </c>
      <c r="R35" s="766"/>
      <c r="S35" s="766"/>
      <c r="T35" s="766"/>
      <c r="U35" s="766"/>
      <c r="V35" s="766"/>
      <c r="W35" s="767">
        <f t="shared" si="17"/>
        <v>119038.3031422574</v>
      </c>
      <c r="X35" s="767">
        <f t="shared" si="18"/>
        <v>81687.491633083322</v>
      </c>
      <c r="Y35" s="767">
        <f t="shared" si="19"/>
        <v>-37350.811509174076</v>
      </c>
      <c r="Z35" s="550">
        <f>+'Proj Att-H'!$D$132</f>
        <v>0.20999999999999996</v>
      </c>
      <c r="AA35" s="767">
        <f t="shared" si="20"/>
        <v>-7843.6704169265549</v>
      </c>
    </row>
    <row r="36" spans="1:27">
      <c r="A36" s="778">
        <f t="shared" si="3"/>
        <v>22</v>
      </c>
      <c r="B36" s="390">
        <v>44013</v>
      </c>
      <c r="C36" s="661"/>
      <c r="D36" s="538">
        <f t="shared" si="4"/>
        <v>52832659</v>
      </c>
      <c r="E36" s="538">
        <f t="shared" si="5"/>
        <v>81705.049050416652</v>
      </c>
      <c r="F36" s="538">
        <f t="shared" si="6"/>
        <v>7830139.7616603319</v>
      </c>
      <c r="G36" s="662">
        <v>5220846</v>
      </c>
      <c r="H36" s="663">
        <f t="shared" si="7"/>
        <v>52832659</v>
      </c>
      <c r="I36" s="664">
        <f t="shared" si="13"/>
        <v>81705.049050416652</v>
      </c>
      <c r="J36" s="665">
        <f t="shared" si="8"/>
        <v>7830139.7616603319</v>
      </c>
      <c r="K36" s="663">
        <f t="shared" si="14"/>
        <v>5105424</v>
      </c>
      <c r="L36" s="768">
        <v>3.7499999999999999E-2</v>
      </c>
      <c r="M36" s="768">
        <v>7.2190000000000004E-2</v>
      </c>
      <c r="N36" s="766"/>
      <c r="O36" s="377">
        <f t="shared" si="15"/>
        <v>191453.4</v>
      </c>
      <c r="P36" s="766"/>
      <c r="Q36" s="399">
        <f t="shared" si="16"/>
        <v>104531.40710559073</v>
      </c>
      <c r="R36" s="766"/>
      <c r="S36" s="766"/>
      <c r="T36" s="766"/>
      <c r="U36" s="766"/>
      <c r="V36" s="766"/>
      <c r="W36" s="767">
        <f t="shared" si="17"/>
        <v>119038.3031422574</v>
      </c>
      <c r="X36" s="767">
        <f t="shared" si="18"/>
        <v>81705.049050416652</v>
      </c>
      <c r="Y36" s="767">
        <f t="shared" si="19"/>
        <v>-37333.254091840747</v>
      </c>
      <c r="Z36" s="550">
        <f>+'Proj Att-H'!$D$132</f>
        <v>0.20999999999999996</v>
      </c>
      <c r="AA36" s="767">
        <f t="shared" si="20"/>
        <v>-7839.9833592865552</v>
      </c>
    </row>
    <row r="37" spans="1:27">
      <c r="A37" s="778">
        <f t="shared" si="3"/>
        <v>23</v>
      </c>
      <c r="B37" s="390">
        <v>44044</v>
      </c>
      <c r="C37" s="661"/>
      <c r="D37" s="538">
        <f t="shared" si="4"/>
        <v>47729175</v>
      </c>
      <c r="E37" s="538">
        <f t="shared" si="5"/>
        <v>90445.109486416652</v>
      </c>
      <c r="F37" s="538">
        <f t="shared" si="6"/>
        <v>7920584.8711467488</v>
      </c>
      <c r="G37" s="662">
        <v>117362</v>
      </c>
      <c r="H37" s="663">
        <f t="shared" si="7"/>
        <v>47729175</v>
      </c>
      <c r="I37" s="664">
        <f t="shared" si="13"/>
        <v>90445.109486416652</v>
      </c>
      <c r="J37" s="665">
        <f t="shared" si="8"/>
        <v>7920584.8711467488</v>
      </c>
      <c r="K37" s="663">
        <f t="shared" si="14"/>
        <v>-5103484</v>
      </c>
      <c r="L37" s="768">
        <v>3.7499999999999999E-2</v>
      </c>
      <c r="M37" s="768">
        <v>7.2190000000000004E-2</v>
      </c>
      <c r="N37" s="766"/>
      <c r="O37" s="377">
        <f t="shared" si="15"/>
        <v>-191380.65</v>
      </c>
      <c r="P37" s="766"/>
      <c r="Q37" s="399">
        <f t="shared" si="16"/>
        <v>104531.40710559073</v>
      </c>
      <c r="R37" s="766"/>
      <c r="S37" s="766"/>
      <c r="T37" s="766"/>
      <c r="U37" s="766"/>
      <c r="V37" s="766"/>
      <c r="W37" s="767">
        <f t="shared" si="17"/>
        <v>119038.3031422574</v>
      </c>
      <c r="X37" s="767">
        <f t="shared" si="18"/>
        <v>90445.109486416652</v>
      </c>
      <c r="Y37" s="767">
        <f t="shared" si="19"/>
        <v>-28593.193655840747</v>
      </c>
      <c r="Z37" s="550">
        <f>+'Proj Att-H'!$D$132</f>
        <v>0.20999999999999996</v>
      </c>
      <c r="AA37" s="767">
        <f t="shared" si="20"/>
        <v>-6004.5706677265562</v>
      </c>
    </row>
    <row r="38" spans="1:27">
      <c r="A38" s="778">
        <f t="shared" si="3"/>
        <v>24</v>
      </c>
      <c r="B38" s="390">
        <v>44075</v>
      </c>
      <c r="C38" s="661"/>
      <c r="D38" s="538">
        <f t="shared" si="4"/>
        <v>47699063</v>
      </c>
      <c r="E38" s="538">
        <f t="shared" si="5"/>
        <v>81708.370168749985</v>
      </c>
      <c r="F38" s="538">
        <f t="shared" si="6"/>
        <v>8002293.2413154989</v>
      </c>
      <c r="G38" s="662">
        <v>87250</v>
      </c>
      <c r="H38" s="663">
        <f t="shared" si="7"/>
        <v>47699063</v>
      </c>
      <c r="I38" s="664">
        <f t="shared" si="13"/>
        <v>81708.370168749985</v>
      </c>
      <c r="J38" s="665">
        <f t="shared" si="8"/>
        <v>8002293.2413154989</v>
      </c>
      <c r="K38" s="663">
        <f t="shared" si="14"/>
        <v>-30112</v>
      </c>
      <c r="L38" s="768">
        <v>3.7499999999999999E-2</v>
      </c>
      <c r="M38" s="768">
        <v>7.2190000000000004E-2</v>
      </c>
      <c r="N38" s="766"/>
      <c r="O38" s="377">
        <f t="shared" si="15"/>
        <v>-1129.2</v>
      </c>
      <c r="P38" s="766"/>
      <c r="Q38" s="399">
        <f t="shared" si="16"/>
        <v>104531.40710559073</v>
      </c>
      <c r="R38" s="766"/>
      <c r="S38" s="766"/>
      <c r="T38" s="766"/>
      <c r="U38" s="766"/>
      <c r="V38" s="766"/>
      <c r="W38" s="767">
        <f t="shared" si="17"/>
        <v>119038.3031422574</v>
      </c>
      <c r="X38" s="767">
        <f t="shared" si="18"/>
        <v>81708.370168749985</v>
      </c>
      <c r="Y38" s="767">
        <f t="shared" si="19"/>
        <v>-37329.932973507413</v>
      </c>
      <c r="Z38" s="550">
        <f>+'Proj Att-H'!$D$132</f>
        <v>0.20999999999999996</v>
      </c>
      <c r="AA38" s="767">
        <f t="shared" si="20"/>
        <v>-7839.2859244365554</v>
      </c>
    </row>
    <row r="39" spans="1:27">
      <c r="A39" s="778">
        <f t="shared" si="3"/>
        <v>25</v>
      </c>
      <c r="B39" s="390">
        <v>44105</v>
      </c>
      <c r="C39" s="661"/>
      <c r="D39" s="538">
        <f t="shared" si="4"/>
        <v>47672447</v>
      </c>
      <c r="E39" s="538">
        <f t="shared" si="5"/>
        <v>81656.820934083327</v>
      </c>
      <c r="F39" s="538">
        <f t="shared" si="6"/>
        <v>8083950.0622495823</v>
      </c>
      <c r="G39" s="662">
        <v>60634</v>
      </c>
      <c r="H39" s="663">
        <f t="shared" si="7"/>
        <v>47672447</v>
      </c>
      <c r="I39" s="664">
        <f t="shared" si="13"/>
        <v>81656.820934083327</v>
      </c>
      <c r="J39" s="665">
        <f t="shared" si="8"/>
        <v>8083950.0622495823</v>
      </c>
      <c r="K39" s="663">
        <f t="shared" si="14"/>
        <v>-26616</v>
      </c>
      <c r="L39" s="768">
        <v>3.7499999999999999E-2</v>
      </c>
      <c r="M39" s="768">
        <v>7.2190000000000004E-2</v>
      </c>
      <c r="N39" s="766"/>
      <c r="O39" s="377">
        <f t="shared" si="15"/>
        <v>-998.09999999999991</v>
      </c>
      <c r="P39" s="766"/>
      <c r="Q39" s="399">
        <f t="shared" si="16"/>
        <v>104531.40710559073</v>
      </c>
      <c r="R39" s="766"/>
      <c r="S39" s="766"/>
      <c r="T39" s="766"/>
      <c r="U39" s="766"/>
      <c r="V39" s="766"/>
      <c r="W39" s="767">
        <f t="shared" si="17"/>
        <v>119038.3031422574</v>
      </c>
      <c r="X39" s="767">
        <f t="shared" si="18"/>
        <v>81656.820934083327</v>
      </c>
      <c r="Y39" s="767">
        <f t="shared" si="19"/>
        <v>-37381.482208174071</v>
      </c>
      <c r="Z39" s="550">
        <f>+'Proj Att-H'!$D$132</f>
        <v>0.20999999999999996</v>
      </c>
      <c r="AA39" s="767">
        <f t="shared" si="20"/>
        <v>-7850.1112637165534</v>
      </c>
    </row>
    <row r="40" spans="1:27">
      <c r="A40" s="778">
        <f t="shared" si="3"/>
        <v>26</v>
      </c>
      <c r="B40" s="390">
        <v>44136</v>
      </c>
      <c r="C40" s="661"/>
      <c r="D40" s="538">
        <f t="shared" si="4"/>
        <v>47640255</v>
      </c>
      <c r="E40" s="538">
        <f t="shared" si="5"/>
        <v>81611.256560083319</v>
      </c>
      <c r="F40" s="538">
        <f t="shared" si="6"/>
        <v>8165561.3188096657</v>
      </c>
      <c r="G40" s="662">
        <v>28442</v>
      </c>
      <c r="H40" s="663">
        <f t="shared" si="7"/>
        <v>47640255</v>
      </c>
      <c r="I40" s="664">
        <f t="shared" si="13"/>
        <v>81611.256560083319</v>
      </c>
      <c r="J40" s="665">
        <f t="shared" si="8"/>
        <v>8165561.3188096657</v>
      </c>
      <c r="K40" s="663">
        <f t="shared" si="14"/>
        <v>-32192</v>
      </c>
      <c r="L40" s="768">
        <v>3.7499999999999999E-2</v>
      </c>
      <c r="M40" s="768">
        <v>7.2190000000000004E-2</v>
      </c>
      <c r="N40" s="766"/>
      <c r="O40" s="377">
        <f t="shared" si="15"/>
        <v>-1207.2</v>
      </c>
      <c r="P40" s="766"/>
      <c r="Q40" s="399">
        <f t="shared" si="16"/>
        <v>104531.40710559073</v>
      </c>
      <c r="R40" s="766"/>
      <c r="S40" s="766"/>
      <c r="T40" s="766"/>
      <c r="U40" s="766"/>
      <c r="V40" s="766"/>
      <c r="W40" s="767">
        <f t="shared" si="17"/>
        <v>119038.3031422574</v>
      </c>
      <c r="X40" s="767">
        <f t="shared" si="18"/>
        <v>81611.256560083319</v>
      </c>
      <c r="Y40" s="767">
        <f t="shared" si="19"/>
        <v>-37427.04658217408</v>
      </c>
      <c r="Z40" s="550">
        <f>+'Proj Att-H'!$D$132</f>
        <v>0.20999999999999996</v>
      </c>
      <c r="AA40" s="767">
        <f t="shared" si="20"/>
        <v>-7859.6797822565559</v>
      </c>
    </row>
    <row r="41" spans="1:27">
      <c r="A41" s="778">
        <f t="shared" si="3"/>
        <v>27</v>
      </c>
      <c r="B41" s="390">
        <v>44166</v>
      </c>
      <c r="C41" s="661"/>
      <c r="D41" s="538">
        <f t="shared" si="4"/>
        <v>50683510</v>
      </c>
      <c r="E41" s="538">
        <f t="shared" si="5"/>
        <v>81556.146538749992</v>
      </c>
      <c r="F41" s="538">
        <f t="shared" si="6"/>
        <v>8247117.465348416</v>
      </c>
      <c r="G41" s="662">
        <v>3071697</v>
      </c>
      <c r="H41" s="663">
        <f t="shared" si="7"/>
        <v>50683510</v>
      </c>
      <c r="I41" s="664">
        <f t="shared" si="13"/>
        <v>81556.146538749992</v>
      </c>
      <c r="J41" s="665">
        <f t="shared" si="8"/>
        <v>8247117.465348416</v>
      </c>
      <c r="K41" s="663">
        <f t="shared" si="14"/>
        <v>3043255</v>
      </c>
      <c r="L41" s="768">
        <v>3.7499999999999999E-2</v>
      </c>
      <c r="M41" s="768">
        <v>7.2190000000000004E-2</v>
      </c>
      <c r="N41" s="766"/>
      <c r="O41" s="377">
        <f t="shared" si="15"/>
        <v>114122.0625</v>
      </c>
      <c r="P41" s="766"/>
      <c r="Q41" s="399">
        <f t="shared" si="16"/>
        <v>104531.40710559073</v>
      </c>
      <c r="R41" s="766"/>
      <c r="S41" s="766"/>
      <c r="T41" s="766"/>
      <c r="U41" s="766"/>
      <c r="V41" s="766"/>
      <c r="W41" s="767">
        <f t="shared" si="17"/>
        <v>119038.3031422574</v>
      </c>
      <c r="X41" s="767">
        <f t="shared" si="18"/>
        <v>81556.146538749992</v>
      </c>
      <c r="Y41" s="767">
        <f t="shared" si="19"/>
        <v>-37482.156603507407</v>
      </c>
      <c r="Z41" s="550">
        <f>+'Proj Att-H'!$D$132</f>
        <v>0.20999999999999996</v>
      </c>
      <c r="AA41" s="767">
        <f t="shared" si="20"/>
        <v>-7871.2528867365536</v>
      </c>
    </row>
    <row r="42" spans="1:27">
      <c r="A42" s="777" t="s">
        <v>1016</v>
      </c>
      <c r="B42" s="666"/>
      <c r="C42" s="666"/>
      <c r="G42" s="667"/>
      <c r="H42" s="396"/>
      <c r="I42" s="396"/>
      <c r="J42" s="395"/>
      <c r="K42" s="396"/>
      <c r="L42" s="396"/>
      <c r="M42" s="380"/>
      <c r="N42" s="772">
        <f t="shared" ref="N42:T42" si="21">SUM(N18:N41)</f>
        <v>63664.724999999999</v>
      </c>
      <c r="O42" s="772">
        <f t="shared" si="21"/>
        <v>174082.75244000001</v>
      </c>
      <c r="P42" s="823">
        <f t="shared" si="21"/>
        <v>1313239.1692377673</v>
      </c>
      <c r="Q42" s="823">
        <f t="shared" si="21"/>
        <v>1254376.8852670884</v>
      </c>
      <c r="R42" s="772">
        <f t="shared" si="21"/>
        <v>1376903.8942377674</v>
      </c>
      <c r="S42" s="772">
        <f t="shared" si="21"/>
        <v>982784.96229024988</v>
      </c>
      <c r="T42" s="772">
        <f t="shared" si="21"/>
        <v>-394118.93194751756</v>
      </c>
      <c r="U42" s="767"/>
      <c r="V42" s="772">
        <f>T42*'Proj Att-H'!D132</f>
        <v>-82764.975708978673</v>
      </c>
      <c r="W42" s="772">
        <f>SUM(W18:W41)</f>
        <v>1428459.6377070891</v>
      </c>
      <c r="X42" s="772">
        <f>SUM(X18:X41)</f>
        <v>992723.50305816659</v>
      </c>
      <c r="Y42" s="772">
        <f>SUM(Y18:Y41)</f>
        <v>-435736.13464892225</v>
      </c>
      <c r="Z42" s="767"/>
      <c r="AA42" s="772">
        <f>SUM(AA18:AA41)</f>
        <v>-91504.588276273644</v>
      </c>
    </row>
    <row r="43" spans="1:27">
      <c r="A43" s="778">
        <f>A41+1</f>
        <v>28</v>
      </c>
      <c r="B43" s="397" t="s">
        <v>542</v>
      </c>
      <c r="C43" s="397"/>
      <c r="D43" s="538"/>
      <c r="E43" s="668">
        <f>SUM(E30:E41)</f>
        <v>992723.50305816659</v>
      </c>
      <c r="F43" s="538"/>
      <c r="G43" s="471"/>
      <c r="H43" s="668"/>
      <c r="I43" s="668">
        <f>SUM(I30:I41)</f>
        <v>992723.50305816659</v>
      </c>
      <c r="J43" s="395"/>
      <c r="K43" s="396"/>
      <c r="L43" s="396"/>
      <c r="M43" s="383"/>
      <c r="N43" s="383"/>
      <c r="Q43" s="383"/>
    </row>
    <row r="44" spans="1:27">
      <c r="A44" s="778">
        <f>+A43+1</f>
        <v>29</v>
      </c>
      <c r="B44" s="397" t="s">
        <v>543</v>
      </c>
      <c r="C44" s="538"/>
      <c r="D44" s="538">
        <f>SUM(D29:D41)/13</f>
        <v>48505661.230769232</v>
      </c>
      <c r="E44" s="396"/>
      <c r="F44" s="538">
        <f>SUM(F29:F41)/13</f>
        <v>7751378.2883971017</v>
      </c>
      <c r="G44" s="669"/>
      <c r="H44" s="670">
        <f>SUM(H29:H41)/13</f>
        <v>48505661.230769232</v>
      </c>
      <c r="I44" s="671"/>
      <c r="J44" s="672">
        <f>SUM(J29:J41)/13</f>
        <v>7751378.2883971017</v>
      </c>
      <c r="K44" s="396"/>
      <c r="L44" s="396"/>
      <c r="M44" s="387"/>
      <c r="N44" s="387"/>
      <c r="Q44" s="387"/>
    </row>
    <row r="45" spans="1:27">
      <c r="B45" s="397"/>
      <c r="D45" s="398"/>
      <c r="E45" s="398"/>
      <c r="F45" s="398"/>
      <c r="J45" s="399"/>
      <c r="K45" s="399"/>
      <c r="L45" s="399"/>
      <c r="M45" s="380"/>
      <c r="N45" s="380"/>
      <c r="Q45" s="380"/>
    </row>
    <row r="46" spans="1:27" ht="15.75" customHeight="1">
      <c r="A46" s="778"/>
    </row>
    <row r="48" spans="1:27">
      <c r="C48" s="401"/>
      <c r="G48" s="400" t="s">
        <v>222</v>
      </c>
    </row>
    <row r="49" spans="2:12" ht="66" customHeight="1">
      <c r="D49" s="780"/>
      <c r="E49" s="780"/>
      <c r="F49" s="780"/>
      <c r="G49" s="402" t="s">
        <v>84</v>
      </c>
      <c r="H49" s="885" t="s">
        <v>711</v>
      </c>
      <c r="I49" s="885"/>
      <c r="J49" s="885"/>
      <c r="K49" s="717"/>
      <c r="L49" s="717"/>
    </row>
    <row r="50" spans="2:12">
      <c r="B50" s="402"/>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rintOptions horizontalCentered="1"/>
  <pageMargins left="0.75" right="0.75" top="1" bottom="1" header="0.5" footer="0.5"/>
  <pageSetup scale="58"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autoPageBreaks="0" fitToPage="1"/>
  </sheetPr>
  <dimension ref="A1:M73"/>
  <sheetViews>
    <sheetView zoomScale="75" zoomScaleNormal="75" workbookViewId="0">
      <selection activeCell="C34" sqref="C34"/>
    </sheetView>
  </sheetViews>
  <sheetFormatPr defaultColWidth="8.88671875" defaultRowHeight="12.75"/>
  <cols>
    <col min="1" max="1" width="5.33203125" style="377" customWidth="1"/>
    <col min="2" max="2" width="44.109375" style="377" bestFit="1" customWidth="1"/>
    <col min="3" max="3" width="42" style="377" bestFit="1" customWidth="1"/>
    <col min="4" max="4" width="13.6640625" style="377" customWidth="1"/>
    <col min="5" max="5" width="14.77734375" style="377" customWidth="1"/>
    <col min="6" max="6" width="16.5546875" style="377" customWidth="1"/>
    <col min="7" max="7" width="3.21875" style="377" customWidth="1"/>
    <col min="8" max="8" width="13.6640625" style="377" customWidth="1"/>
    <col min="9" max="9" width="11.21875" style="377" customWidth="1"/>
    <col min="10" max="10" width="3.21875" style="377" customWidth="1"/>
    <col min="11" max="11" width="14.33203125" style="377" customWidth="1"/>
    <col min="12" max="12" width="13.44140625" style="377" customWidth="1"/>
    <col min="13" max="13" width="14.44140625" style="377" bestFit="1" customWidth="1"/>
    <col min="14" max="14" width="13.21875" style="377" customWidth="1"/>
    <col min="15" max="16384" width="8.88671875" style="377"/>
  </cols>
  <sheetData>
    <row r="1" spans="1:13">
      <c r="A1" s="886" t="s">
        <v>593</v>
      </c>
      <c r="B1" s="886"/>
      <c r="C1" s="886"/>
      <c r="D1" s="886"/>
      <c r="E1" s="886"/>
      <c r="F1" s="886"/>
    </row>
    <row r="2" spans="1:13">
      <c r="A2" s="886" t="s">
        <v>614</v>
      </c>
      <c r="B2" s="886"/>
      <c r="C2" s="886"/>
      <c r="D2" s="886"/>
      <c r="E2" s="886"/>
      <c r="F2" s="886"/>
    </row>
    <row r="3" spans="1:13">
      <c r="A3" s="886" t="str">
        <f>'Act Att-H'!C7</f>
        <v>Cheyenne Light, Fuel &amp; Power</v>
      </c>
      <c r="B3" s="886"/>
      <c r="C3" s="886"/>
      <c r="D3" s="886"/>
      <c r="E3" s="886"/>
      <c r="F3" s="886"/>
    </row>
    <row r="4" spans="1:13">
      <c r="A4" s="486"/>
      <c r="B4" s="486"/>
      <c r="C4" s="486"/>
      <c r="D4" s="486"/>
      <c r="E4" s="486"/>
      <c r="F4" s="513" t="s">
        <v>748</v>
      </c>
    </row>
    <row r="5" spans="1:13" s="380" customFormat="1">
      <c r="B5" s="514"/>
      <c r="D5" s="515"/>
      <c r="E5" s="515"/>
      <c r="F5" s="515"/>
    </row>
    <row r="6" spans="1:13">
      <c r="B6" s="516" t="s">
        <v>15</v>
      </c>
      <c r="C6" s="516" t="s">
        <v>16</v>
      </c>
      <c r="D6" s="516" t="s">
        <v>17</v>
      </c>
      <c r="E6" s="517" t="s">
        <v>18</v>
      </c>
      <c r="F6" s="517" t="s">
        <v>19</v>
      </c>
    </row>
    <row r="7" spans="1:13">
      <c r="B7" s="518"/>
      <c r="C7" s="380"/>
      <c r="D7" s="468"/>
      <c r="E7" s="515" t="s">
        <v>549</v>
      </c>
      <c r="F7" s="468"/>
      <c r="G7" s="380"/>
      <c r="H7" s="380"/>
      <c r="I7" s="380"/>
      <c r="J7" s="380"/>
      <c r="K7" s="380"/>
      <c r="L7" s="380"/>
      <c r="M7" s="380"/>
    </row>
    <row r="8" spans="1:13">
      <c r="B8" s="518"/>
      <c r="C8" s="380"/>
      <c r="D8" s="519"/>
      <c r="E8" s="515" t="s">
        <v>550</v>
      </c>
      <c r="F8" s="468"/>
      <c r="G8" s="380"/>
      <c r="H8" s="380"/>
      <c r="I8" s="380"/>
      <c r="J8" s="380"/>
      <c r="K8" s="380"/>
      <c r="L8" s="380"/>
      <c r="M8" s="380"/>
    </row>
    <row r="9" spans="1:13">
      <c r="B9" s="518"/>
      <c r="C9" s="380"/>
      <c r="D9" s="519" t="s">
        <v>551</v>
      </c>
      <c r="E9" s="515" t="s">
        <v>552</v>
      </c>
      <c r="F9" s="515" t="s">
        <v>546</v>
      </c>
      <c r="G9" s="380"/>
      <c r="H9" s="380"/>
      <c r="I9" s="380"/>
      <c r="J9" s="380"/>
      <c r="K9" s="380"/>
      <c r="L9" s="380"/>
      <c r="M9" s="380"/>
    </row>
    <row r="10" spans="1:13" ht="13.5" thickBot="1">
      <c r="A10" s="520" t="s">
        <v>4</v>
      </c>
      <c r="B10" s="520" t="s">
        <v>531</v>
      </c>
      <c r="C10" s="520" t="s">
        <v>635</v>
      </c>
      <c r="D10" s="520" t="s">
        <v>553</v>
      </c>
      <c r="E10" s="521" t="s">
        <v>548</v>
      </c>
      <c r="F10" s="520" t="s">
        <v>553</v>
      </c>
      <c r="G10" s="380"/>
      <c r="H10" s="380"/>
      <c r="I10" s="380"/>
      <c r="J10" s="380"/>
      <c r="K10" s="380"/>
      <c r="L10" s="380"/>
      <c r="M10" s="380"/>
    </row>
    <row r="11" spans="1:13">
      <c r="C11" s="380"/>
      <c r="D11" s="380"/>
      <c r="E11" s="380" t="s">
        <v>554</v>
      </c>
      <c r="F11" s="403" t="s">
        <v>555</v>
      </c>
      <c r="G11" s="380"/>
      <c r="H11" s="380"/>
      <c r="I11" s="380"/>
      <c r="J11" s="380"/>
      <c r="K11" s="380"/>
      <c r="L11" s="380"/>
      <c r="M11" s="380"/>
    </row>
    <row r="12" spans="1:13">
      <c r="A12" s="522">
        <v>1</v>
      </c>
      <c r="B12" s="377" t="s">
        <v>556</v>
      </c>
      <c r="C12" s="383" t="s">
        <v>636</v>
      </c>
      <c r="D12" s="385">
        <f>'Act Att-H'!I66</f>
        <v>39110190.468508787</v>
      </c>
      <c r="E12" s="523"/>
      <c r="F12" s="399"/>
      <c r="G12" s="380"/>
      <c r="H12" s="380"/>
      <c r="I12" s="380"/>
      <c r="J12" s="380"/>
      <c r="K12" s="380"/>
      <c r="L12" s="380"/>
      <c r="M12" s="380"/>
    </row>
    <row r="13" spans="1:13">
      <c r="A13" s="524">
        <v>2</v>
      </c>
      <c r="B13" s="377" t="s">
        <v>557</v>
      </c>
      <c r="C13" s="399" t="s">
        <v>715</v>
      </c>
      <c r="D13" s="399"/>
      <c r="E13" s="399"/>
      <c r="F13" s="385">
        <f>'Proj Att-H'!I61</f>
        <v>41119561.990762122</v>
      </c>
      <c r="G13" s="380"/>
      <c r="H13" s="380"/>
    </row>
    <row r="14" spans="1:13">
      <c r="A14" s="379"/>
      <c r="C14" s="399"/>
      <c r="D14" s="399"/>
      <c r="E14" s="399"/>
      <c r="F14" s="399"/>
      <c r="H14" s="380"/>
    </row>
    <row r="15" spans="1:13">
      <c r="A15" s="379"/>
      <c r="B15" s="518" t="s">
        <v>558</v>
      </c>
      <c r="C15" s="399"/>
      <c r="D15" s="399"/>
      <c r="E15" s="525"/>
      <c r="F15" s="399"/>
      <c r="H15" s="380"/>
    </row>
    <row r="16" spans="1:13">
      <c r="A16" s="524">
        <f>A13+1</f>
        <v>3</v>
      </c>
      <c r="B16" s="399" t="s">
        <v>40</v>
      </c>
      <c r="C16" s="399" t="s">
        <v>637</v>
      </c>
      <c r="D16" s="385">
        <f>'Act Att-H'!D105</f>
        <v>20580228</v>
      </c>
      <c r="E16" s="80">
        <f>IF($D$12=0,0,D16/$D$12)</f>
        <v>0.52621139793658211</v>
      </c>
      <c r="F16" s="77">
        <f>E16*F$13</f>
        <v>21637582.197698884</v>
      </c>
      <c r="G16" s="399"/>
      <c r="H16" s="380"/>
      <c r="I16" s="387"/>
    </row>
    <row r="17" spans="1:9">
      <c r="A17" s="406">
        <f>A16+1</f>
        <v>4</v>
      </c>
      <c r="B17" s="399" t="s">
        <v>156</v>
      </c>
      <c r="C17" s="399" t="s">
        <v>638</v>
      </c>
      <c r="D17" s="385">
        <f>'Act Att-H'!D106</f>
        <v>310974</v>
      </c>
      <c r="E17" s="80">
        <f t="shared" ref="E17:E25" si="0">IF($D$12=0,0,D17/$D$12)</f>
        <v>7.9512269379100504E-3</v>
      </c>
      <c r="F17" s="77">
        <f t="shared" ref="F17:F25" si="1">E17*F$13</f>
        <v>326950.96897600999</v>
      </c>
      <c r="G17" s="399"/>
      <c r="H17" s="380"/>
      <c r="I17" s="526"/>
    </row>
    <row r="18" spans="1:9">
      <c r="A18" s="406">
        <f t="shared" ref="A18:A26" si="2">A17+1</f>
        <v>5</v>
      </c>
      <c r="B18" s="399" t="s">
        <v>41</v>
      </c>
      <c r="C18" s="399" t="s">
        <v>640</v>
      </c>
      <c r="D18" s="385">
        <f>'Act Att-H'!D107</f>
        <v>19339503</v>
      </c>
      <c r="E18" s="80">
        <f t="shared" si="0"/>
        <v>0.49448756879800965</v>
      </c>
      <c r="F18" s="77">
        <f t="shared" si="1"/>
        <v>20333112.238851007</v>
      </c>
      <c r="G18" s="399"/>
      <c r="H18" s="380"/>
      <c r="I18" s="526"/>
    </row>
    <row r="19" spans="1:9">
      <c r="A19" s="406">
        <f t="shared" si="2"/>
        <v>6</v>
      </c>
      <c r="B19" s="399" t="s">
        <v>42</v>
      </c>
      <c r="C19" s="399" t="s">
        <v>639</v>
      </c>
      <c r="D19" s="385">
        <f>'Act Att-H'!D108</f>
        <v>12432349</v>
      </c>
      <c r="E19" s="80">
        <f t="shared" si="0"/>
        <v>0.3178800422874552</v>
      </c>
      <c r="F19" s="77">
        <f t="shared" si="1"/>
        <v>13071088.104465099</v>
      </c>
      <c r="G19" s="399"/>
      <c r="H19" s="380"/>
      <c r="I19" s="526"/>
    </row>
    <row r="20" spans="1:9">
      <c r="A20" s="406">
        <f t="shared" si="2"/>
        <v>7</v>
      </c>
      <c r="B20" s="399" t="s">
        <v>633</v>
      </c>
      <c r="C20" s="399" t="s">
        <v>641</v>
      </c>
      <c r="D20" s="385">
        <f>'Act Att-H'!D109</f>
        <v>349559</v>
      </c>
      <c r="E20" s="80">
        <f t="shared" si="0"/>
        <v>8.9377984564269035E-3</v>
      </c>
      <c r="F20" s="77">
        <f>E20*F$13</f>
        <v>367518.35768998408</v>
      </c>
      <c r="G20" s="399"/>
      <c r="H20" s="380"/>
      <c r="I20" s="526"/>
    </row>
    <row r="21" spans="1:9">
      <c r="A21" s="406">
        <f t="shared" si="2"/>
        <v>8</v>
      </c>
      <c r="B21" s="399" t="s">
        <v>631</v>
      </c>
      <c r="C21" s="399" t="s">
        <v>642</v>
      </c>
      <c r="D21" s="385">
        <f>'Act Att-H'!D110</f>
        <v>392570</v>
      </c>
      <c r="E21" s="80">
        <f t="shared" si="0"/>
        <v>1.0037537411537135E-2</v>
      </c>
      <c r="F21" s="77">
        <f t="shared" si="1"/>
        <v>412739.14182829519</v>
      </c>
      <c r="H21" s="380"/>
      <c r="I21" s="526"/>
    </row>
    <row r="22" spans="1:9">
      <c r="A22" s="406">
        <f t="shared" si="2"/>
        <v>9</v>
      </c>
      <c r="B22" s="399" t="s">
        <v>632</v>
      </c>
      <c r="C22" s="399" t="s">
        <v>646</v>
      </c>
      <c r="D22" s="385">
        <f>'Act Att-H'!D111</f>
        <v>0</v>
      </c>
      <c r="E22" s="80">
        <f>IF($D$12=0,0,D22/$D$12)</f>
        <v>0</v>
      </c>
      <c r="F22" s="77">
        <f t="shared" si="1"/>
        <v>0</v>
      </c>
      <c r="H22" s="380"/>
      <c r="I22" s="526"/>
    </row>
    <row r="23" spans="1:9">
      <c r="A23" s="406">
        <f t="shared" si="2"/>
        <v>10</v>
      </c>
      <c r="B23" s="399" t="s">
        <v>163</v>
      </c>
      <c r="C23" s="399" t="s">
        <v>647</v>
      </c>
      <c r="D23" s="385">
        <f>'Act Att-H'!D112</f>
        <v>431285</v>
      </c>
      <c r="E23" s="527"/>
      <c r="F23" s="385">
        <f>D23</f>
        <v>431285</v>
      </c>
      <c r="H23" s="380"/>
      <c r="I23" s="526"/>
    </row>
    <row r="24" spans="1:9">
      <c r="A24" s="406">
        <f t="shared" si="2"/>
        <v>11</v>
      </c>
      <c r="B24" s="399" t="s">
        <v>164</v>
      </c>
      <c r="C24" s="399" t="s">
        <v>648</v>
      </c>
      <c r="D24" s="385">
        <f>'Act Att-H'!D113</f>
        <v>817991.17</v>
      </c>
      <c r="E24" s="80">
        <f t="shared" si="0"/>
        <v>2.0915039282629933E-2</v>
      </c>
      <c r="F24" s="77">
        <f t="shared" si="1"/>
        <v>860017.2543213265</v>
      </c>
      <c r="H24" s="380"/>
      <c r="I24" s="526"/>
    </row>
    <row r="25" spans="1:9">
      <c r="A25" s="406">
        <f t="shared" si="2"/>
        <v>12</v>
      </c>
      <c r="B25" s="399" t="s">
        <v>32</v>
      </c>
      <c r="C25" s="399" t="s">
        <v>643</v>
      </c>
      <c r="D25" s="385">
        <f>'Act Att-H'!D114</f>
        <v>0</v>
      </c>
      <c r="E25" s="80">
        <f t="shared" si="0"/>
        <v>0</v>
      </c>
      <c r="F25" s="77">
        <f t="shared" si="1"/>
        <v>0</v>
      </c>
      <c r="G25" s="399"/>
      <c r="H25" s="380"/>
      <c r="I25" s="528"/>
    </row>
    <row r="26" spans="1:9" ht="13.5" thickBot="1">
      <c r="A26" s="406">
        <f t="shared" si="2"/>
        <v>13</v>
      </c>
      <c r="B26" s="399" t="s">
        <v>43</v>
      </c>
      <c r="C26" s="399" t="s">
        <v>644</v>
      </c>
      <c r="D26" s="385">
        <f>'Act Att-H'!D115</f>
        <v>0</v>
      </c>
      <c r="E26" s="80">
        <f>IF($D$12=0,0,D26/$D$12)</f>
        <v>0</v>
      </c>
      <c r="F26" s="77">
        <f>E26*F$13</f>
        <v>0</v>
      </c>
      <c r="G26" s="399"/>
      <c r="H26" s="380"/>
      <c r="I26" s="387"/>
    </row>
    <row r="27" spans="1:9">
      <c r="A27" s="406">
        <f>A26+1</f>
        <v>14</v>
      </c>
      <c r="B27" s="529" t="s">
        <v>634</v>
      </c>
      <c r="C27" s="529" t="s">
        <v>656</v>
      </c>
      <c r="D27" s="91">
        <f>+D16-D17-D18+D19-D20-D21+D25+D26+D22+D23-D24</f>
        <v>12233264.83</v>
      </c>
      <c r="E27" s="91"/>
      <c r="F27" s="91">
        <f>+F16-F17-F18+F19-F20-F21+F25+F26+F22+F23-F24</f>
        <v>12839617.34049736</v>
      </c>
      <c r="H27" s="380"/>
    </row>
    <row r="28" spans="1:9">
      <c r="A28" s="379"/>
      <c r="C28" s="399"/>
      <c r="D28" s="399"/>
      <c r="E28" s="399"/>
      <c r="F28" s="399"/>
      <c r="H28" s="380"/>
    </row>
    <row r="29" spans="1:9">
      <c r="A29" s="379"/>
      <c r="C29" s="399"/>
      <c r="D29" s="399"/>
      <c r="E29" s="399"/>
      <c r="F29" s="399"/>
      <c r="H29" s="380"/>
    </row>
    <row r="30" spans="1:9">
      <c r="A30" s="379"/>
      <c r="B30" s="518" t="s">
        <v>559</v>
      </c>
      <c r="C30" s="399"/>
      <c r="D30" s="399"/>
      <c r="E30" s="399"/>
      <c r="F30" s="399"/>
      <c r="H30" s="380"/>
    </row>
    <row r="31" spans="1:9">
      <c r="A31" s="379"/>
      <c r="B31" s="379" t="s">
        <v>44</v>
      </c>
      <c r="C31" s="401"/>
      <c r="D31" s="399"/>
      <c r="E31" s="399"/>
      <c r="F31" s="399"/>
      <c r="H31" s="380"/>
    </row>
    <row r="32" spans="1:9">
      <c r="A32" s="524">
        <f>A27+1</f>
        <v>15</v>
      </c>
      <c r="B32" s="379" t="s">
        <v>45</v>
      </c>
      <c r="C32" s="399" t="s">
        <v>649</v>
      </c>
      <c r="D32" s="385">
        <f>'Act Att-H'!D127</f>
        <v>1393392</v>
      </c>
      <c r="E32" s="80">
        <f>IF($D$12=0,0,D32/$D$12)</f>
        <v>3.5627338637533562E-2</v>
      </c>
      <c r="F32" s="77">
        <f>E32*F$13</f>
        <v>1464980.5596719359</v>
      </c>
      <c r="H32" s="380"/>
    </row>
    <row r="33" spans="1:9">
      <c r="A33" s="524">
        <f>A32+1</f>
        <v>16</v>
      </c>
      <c r="B33" s="379" t="s">
        <v>46</v>
      </c>
      <c r="C33" s="399" t="s">
        <v>650</v>
      </c>
      <c r="D33" s="385">
        <f>'Act Att-H'!D128</f>
        <v>0</v>
      </c>
      <c r="E33" s="80">
        <f t="shared" ref="E33:E38" si="3">IF($D$12=0,0,D33/$D$12)</f>
        <v>0</v>
      </c>
      <c r="F33" s="77">
        <f t="shared" ref="F33:F38" si="4">E33*F$13</f>
        <v>0</v>
      </c>
      <c r="H33" s="380"/>
    </row>
    <row r="34" spans="1:9">
      <c r="A34" s="524">
        <f t="shared" ref="A34:A39" si="5">A33+1</f>
        <v>17</v>
      </c>
      <c r="B34" s="379" t="s">
        <v>47</v>
      </c>
      <c r="C34" s="399"/>
      <c r="D34" s="532"/>
      <c r="E34" s="80"/>
      <c r="F34" s="77"/>
      <c r="H34" s="380"/>
    </row>
    <row r="35" spans="1:9">
      <c r="A35" s="524">
        <f t="shared" si="5"/>
        <v>18</v>
      </c>
      <c r="B35" s="379" t="s">
        <v>560</v>
      </c>
      <c r="C35" s="399" t="s">
        <v>651</v>
      </c>
      <c r="D35" s="385">
        <f>'Act Att-H'!D130</f>
        <v>2835808</v>
      </c>
      <c r="E35" s="80">
        <f t="shared" si="3"/>
        <v>7.2508161326480108E-2</v>
      </c>
      <c r="F35" s="77">
        <f>E35*F$13</f>
        <v>2981503.8345003794</v>
      </c>
      <c r="H35" s="380"/>
    </row>
    <row r="36" spans="1:9">
      <c r="A36" s="524">
        <f t="shared" si="5"/>
        <v>19</v>
      </c>
      <c r="B36" s="379" t="s">
        <v>49</v>
      </c>
      <c r="C36" s="399" t="s">
        <v>652</v>
      </c>
      <c r="D36" s="385">
        <f>'Act Att-H'!D131</f>
        <v>-6824</v>
      </c>
      <c r="E36" s="80">
        <f t="shared" si="3"/>
        <v>-1.7448137987194489E-4</v>
      </c>
      <c r="F36" s="77">
        <f t="shared" si="4"/>
        <v>-7174.597915878152</v>
      </c>
      <c r="H36" s="380"/>
    </row>
    <row r="37" spans="1:9">
      <c r="A37" s="524">
        <f t="shared" si="5"/>
        <v>20</v>
      </c>
      <c r="B37" s="379" t="s">
        <v>50</v>
      </c>
      <c r="C37" s="399" t="s">
        <v>653</v>
      </c>
      <c r="D37" s="385">
        <f>'Act Att-H'!D132</f>
        <v>0</v>
      </c>
      <c r="E37" s="80">
        <f t="shared" si="3"/>
        <v>0</v>
      </c>
      <c r="F37" s="77">
        <f t="shared" si="4"/>
        <v>0</v>
      </c>
      <c r="H37" s="380"/>
    </row>
    <row r="38" spans="1:9">
      <c r="A38" s="524">
        <f t="shared" si="5"/>
        <v>21</v>
      </c>
      <c r="B38" s="379" t="s">
        <v>630</v>
      </c>
      <c r="C38" s="399" t="s">
        <v>654</v>
      </c>
      <c r="D38" s="385">
        <f>'Act Att-H'!D133</f>
        <v>0</v>
      </c>
      <c r="E38" s="80">
        <f t="shared" si="3"/>
        <v>0</v>
      </c>
      <c r="F38" s="77">
        <f t="shared" si="4"/>
        <v>0</v>
      </c>
      <c r="H38" s="380"/>
    </row>
    <row r="39" spans="1:9">
      <c r="A39" s="524">
        <f t="shared" si="5"/>
        <v>22</v>
      </c>
      <c r="B39" s="533" t="s">
        <v>561</v>
      </c>
      <c r="C39" s="534" t="s">
        <v>655</v>
      </c>
      <c r="D39" s="535">
        <f>'Act Att-H'!D134</f>
        <v>4222376</v>
      </c>
      <c r="E39" s="531"/>
      <c r="F39" s="530">
        <f>SUM(F32:F38)</f>
        <v>4439309.796256437</v>
      </c>
      <c r="H39" s="380"/>
    </row>
    <row r="40" spans="1:9">
      <c r="A40" s="379"/>
      <c r="D40" s="536"/>
      <c r="E40" s="399"/>
      <c r="F40" s="536"/>
      <c r="H40" s="380"/>
    </row>
    <row r="41" spans="1:9">
      <c r="C41" s="537"/>
      <c r="D41" s="537"/>
      <c r="E41" s="537"/>
      <c r="F41" s="537"/>
      <c r="I41" s="538"/>
    </row>
    <row r="42" spans="1:9">
      <c r="C42" s="537"/>
      <c r="D42" s="537"/>
      <c r="E42" s="537"/>
      <c r="F42" s="537"/>
      <c r="I42" s="538"/>
    </row>
    <row r="43" spans="1:9">
      <c r="C43" s="537"/>
      <c r="D43" s="537"/>
      <c r="E43" s="537"/>
      <c r="F43" s="537"/>
      <c r="I43" s="538"/>
    </row>
    <row r="44" spans="1:9">
      <c r="C44" s="537"/>
      <c r="D44" s="537"/>
      <c r="E44" s="537"/>
      <c r="F44" s="537"/>
      <c r="I44" s="538"/>
    </row>
    <row r="45" spans="1:9">
      <c r="C45" s="537"/>
      <c r="D45" s="537"/>
      <c r="E45" s="537"/>
      <c r="F45" s="537"/>
      <c r="I45" s="538"/>
    </row>
    <row r="46" spans="1:9">
      <c r="C46" s="537"/>
      <c r="D46" s="537"/>
      <c r="E46" s="537"/>
      <c r="F46" s="537"/>
      <c r="I46" s="538"/>
    </row>
    <row r="47" spans="1:9">
      <c r="C47" s="537"/>
      <c r="D47" s="537"/>
      <c r="E47" s="537"/>
      <c r="F47" s="537"/>
      <c r="I47" s="538"/>
    </row>
    <row r="48" spans="1:9">
      <c r="C48" s="537"/>
      <c r="D48" s="537"/>
      <c r="E48" s="537"/>
      <c r="F48" s="537"/>
      <c r="I48" s="538"/>
    </row>
    <row r="49" spans="1:8">
      <c r="A49" s="381"/>
      <c r="B49" s="539"/>
      <c r="C49" s="383"/>
      <c r="D49" s="540"/>
      <c r="E49" s="541"/>
      <c r="F49" s="542"/>
      <c r="G49" s="383"/>
      <c r="H49" s="543"/>
    </row>
    <row r="50" spans="1:8">
      <c r="A50" s="381"/>
      <c r="B50" s="383"/>
      <c r="C50" s="383"/>
      <c r="D50" s="383"/>
      <c r="E50" s="383"/>
      <c r="F50" s="383"/>
      <c r="G50" s="383"/>
      <c r="H50" s="383"/>
    </row>
    <row r="51" spans="1:8">
      <c r="A51" s="381"/>
      <c r="B51" s="539"/>
      <c r="C51" s="383"/>
      <c r="D51" s="528"/>
      <c r="E51" s="541"/>
      <c r="F51" s="542"/>
      <c r="G51" s="383"/>
      <c r="H51" s="543"/>
    </row>
    <row r="52" spans="1:8">
      <c r="A52" s="381"/>
      <c r="B52" s="539"/>
      <c r="C52" s="383"/>
      <c r="D52" s="528"/>
      <c r="E52" s="383"/>
      <c r="F52" s="544"/>
      <c r="G52" s="383"/>
      <c r="H52" s="543"/>
    </row>
    <row r="53" spans="1:8">
      <c r="A53" s="380"/>
      <c r="B53" s="539"/>
      <c r="C53" s="383"/>
      <c r="D53" s="528"/>
      <c r="E53" s="383"/>
      <c r="F53" s="544"/>
      <c r="G53" s="383"/>
      <c r="H53" s="543"/>
    </row>
    <row r="54" spans="1:8">
      <c r="B54" s="539"/>
      <c r="C54" s="383"/>
      <c r="D54" s="528"/>
      <c r="E54" s="383"/>
      <c r="F54" s="544"/>
      <c r="G54" s="383"/>
      <c r="H54" s="543"/>
    </row>
    <row r="55" spans="1:8">
      <c r="B55" s="539"/>
      <c r="C55" s="383"/>
      <c r="D55" s="528"/>
      <c r="E55" s="383"/>
      <c r="F55" s="544"/>
      <c r="G55" s="383"/>
      <c r="H55" s="543"/>
    </row>
    <row r="56" spans="1:8">
      <c r="B56" s="539"/>
      <c r="C56" s="383"/>
      <c r="D56" s="543"/>
      <c r="E56" s="383"/>
      <c r="F56" s="544"/>
      <c r="G56" s="383"/>
      <c r="H56" s="543"/>
    </row>
    <row r="57" spans="1:8">
      <c r="B57" s="539"/>
      <c r="C57" s="383"/>
      <c r="D57" s="528"/>
      <c r="E57" s="383"/>
      <c r="F57" s="544"/>
      <c r="G57" s="383"/>
      <c r="H57" s="543"/>
    </row>
    <row r="58" spans="1:8">
      <c r="B58" s="539"/>
      <c r="C58" s="383"/>
      <c r="D58" s="528"/>
      <c r="E58" s="383"/>
      <c r="F58" s="544"/>
      <c r="G58" s="383"/>
      <c r="H58" s="543"/>
    </row>
    <row r="59" spans="1:8">
      <c r="B59" s="539"/>
      <c r="C59" s="383"/>
      <c r="D59" s="528"/>
      <c r="E59" s="383"/>
      <c r="F59" s="544"/>
      <c r="G59" s="383"/>
      <c r="H59" s="543"/>
    </row>
    <row r="60" spans="1:8">
      <c r="B60" s="539"/>
      <c r="C60" s="383"/>
      <c r="D60" s="528"/>
      <c r="E60" s="383"/>
      <c r="F60" s="544"/>
      <c r="G60" s="383"/>
      <c r="H60" s="543"/>
    </row>
    <row r="61" spans="1:8">
      <c r="B61" s="539"/>
      <c r="C61" s="383"/>
      <c r="D61" s="543"/>
      <c r="E61" s="383"/>
      <c r="F61" s="544"/>
      <c r="G61" s="383"/>
      <c r="H61" s="543"/>
    </row>
    <row r="62" spans="1:8">
      <c r="B62" s="539"/>
      <c r="C62" s="383"/>
      <c r="D62" s="545"/>
      <c r="E62" s="383"/>
      <c r="F62" s="544"/>
      <c r="G62" s="383"/>
      <c r="H62" s="543"/>
    </row>
    <row r="63" spans="1:8">
      <c r="B63" s="546"/>
      <c r="C63" s="383"/>
      <c r="D63" s="528"/>
      <c r="E63" s="383"/>
      <c r="F63" s="544"/>
      <c r="G63" s="383"/>
      <c r="H63" s="543"/>
    </row>
    <row r="64" spans="1:8">
      <c r="B64" s="546"/>
      <c r="C64" s="383"/>
      <c r="D64" s="545"/>
      <c r="E64" s="383"/>
      <c r="F64" s="544"/>
      <c r="G64" s="383"/>
      <c r="H64" s="543"/>
    </row>
    <row r="65" spans="2:8">
      <c r="B65" s="546"/>
      <c r="C65" s="383"/>
      <c r="D65" s="545"/>
      <c r="E65" s="383"/>
      <c r="F65" s="544"/>
      <c r="G65" s="383"/>
      <c r="H65" s="543"/>
    </row>
    <row r="66" spans="2:8">
      <c r="B66" s="546"/>
      <c r="C66" s="383"/>
      <c r="D66" s="528"/>
      <c r="E66" s="383"/>
      <c r="F66" s="544"/>
      <c r="G66" s="383"/>
      <c r="H66" s="543"/>
    </row>
    <row r="67" spans="2:8">
      <c r="B67" s="539"/>
      <c r="C67" s="383"/>
      <c r="D67" s="383"/>
      <c r="E67" s="383"/>
      <c r="F67" s="544"/>
      <c r="G67" s="383"/>
      <c r="H67" s="543"/>
    </row>
    <row r="68" spans="2:8">
      <c r="B68" s="539"/>
      <c r="C68" s="383"/>
      <c r="D68" s="383"/>
      <c r="E68" s="383"/>
      <c r="F68" s="383"/>
      <c r="G68" s="383"/>
      <c r="H68" s="543"/>
    </row>
    <row r="69" spans="2:8">
      <c r="B69" s="539"/>
      <c r="C69" s="383"/>
      <c r="D69" s="383"/>
      <c r="E69" s="383"/>
      <c r="F69" s="383"/>
      <c r="G69" s="383"/>
      <c r="H69" s="543"/>
    </row>
    <row r="70" spans="2:8">
      <c r="B70" s="539"/>
      <c r="C70" s="383"/>
      <c r="D70" s="383"/>
      <c r="E70" s="383"/>
      <c r="F70" s="383"/>
      <c r="G70" s="383"/>
      <c r="H70" s="543"/>
    </row>
    <row r="71" spans="2:8">
      <c r="B71" s="539"/>
      <c r="C71" s="383"/>
      <c r="D71" s="383"/>
      <c r="E71" s="383"/>
      <c r="F71" s="383"/>
      <c r="G71" s="383"/>
      <c r="H71" s="543"/>
    </row>
    <row r="72" spans="2:8">
      <c r="B72" s="546"/>
      <c r="C72" s="383"/>
      <c r="D72" s="543"/>
      <c r="E72" s="383"/>
      <c r="F72" s="544"/>
      <c r="G72" s="383"/>
      <c r="H72" s="543"/>
    </row>
    <row r="73" spans="2:8">
      <c r="B73" s="546"/>
      <c r="C73" s="383"/>
      <c r="D73" s="543"/>
      <c r="E73" s="383"/>
      <c r="F73" s="383"/>
      <c r="G73" s="383"/>
      <c r="H73" s="543"/>
    </row>
  </sheetData>
  <mergeCells count="3">
    <mergeCell ref="A1:F1"/>
    <mergeCell ref="A2:F2"/>
    <mergeCell ref="A3:F3"/>
  </mergeCells>
  <printOptions horizontalCentered="1"/>
  <pageMargins left="0.75" right="0.75" top="1" bottom="1" header="0.5" footer="0.5"/>
  <pageSetup scale="5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34"/>
  <sheetViews>
    <sheetView zoomScale="75" zoomScaleNormal="75" workbookViewId="0">
      <selection activeCell="N13" sqref="N13"/>
    </sheetView>
  </sheetViews>
  <sheetFormatPr defaultColWidth="8.88671875" defaultRowHeight="12.75"/>
  <cols>
    <col min="1" max="1" width="5.21875" style="377" customWidth="1"/>
    <col min="2" max="2" width="15.109375" style="377" customWidth="1"/>
    <col min="3" max="3" width="19.109375" style="377" bestFit="1" customWidth="1"/>
    <col min="4" max="4" width="17.109375" style="377" customWidth="1"/>
    <col min="5" max="5" width="17.44140625" style="377" customWidth="1"/>
    <col min="6" max="6" width="13.77734375" style="377" customWidth="1"/>
    <col min="7" max="7" width="12.5546875" style="377" customWidth="1"/>
    <col min="8" max="8" width="7" style="377" customWidth="1"/>
    <col min="9" max="9" width="7.6640625" style="377" bestFit="1" customWidth="1"/>
    <col min="10" max="10" width="2.33203125" style="377" customWidth="1"/>
    <col min="11" max="11" width="6.77734375" style="377" customWidth="1"/>
    <col min="12" max="16384" width="8.88671875" style="377"/>
  </cols>
  <sheetData>
    <row r="1" spans="1:14">
      <c r="A1" s="886" t="s">
        <v>615</v>
      </c>
      <c r="B1" s="886"/>
      <c r="C1" s="886"/>
      <c r="D1" s="886"/>
      <c r="E1" s="886"/>
      <c r="F1" s="886"/>
      <c r="G1" s="886"/>
    </row>
    <row r="2" spans="1:14">
      <c r="A2" s="886" t="s">
        <v>804</v>
      </c>
      <c r="B2" s="886"/>
      <c r="C2" s="886"/>
      <c r="D2" s="886"/>
      <c r="E2" s="886"/>
      <c r="F2" s="886"/>
      <c r="G2" s="886"/>
    </row>
    <row r="3" spans="1:14">
      <c r="A3" s="886" t="str">
        <f>'P1-Trans Plant'!B3</f>
        <v>Cheyenne Light, Fuel &amp; Power</v>
      </c>
      <c r="B3" s="886"/>
      <c r="C3" s="886"/>
      <c r="D3" s="886"/>
      <c r="E3" s="886"/>
      <c r="F3" s="886"/>
      <c r="G3" s="886"/>
    </row>
    <row r="4" spans="1:14">
      <c r="A4" s="399"/>
      <c r="B4" s="399"/>
      <c r="C4" s="399"/>
      <c r="D4" s="399"/>
      <c r="E4" s="399"/>
      <c r="F4" s="399"/>
      <c r="G4" s="513" t="s">
        <v>748</v>
      </c>
    </row>
    <row r="5" spans="1:14">
      <c r="A5" s="404" t="s">
        <v>562</v>
      </c>
      <c r="B5" s="399"/>
      <c r="C5" s="399"/>
      <c r="D5" s="399"/>
      <c r="E5" s="399"/>
      <c r="F5" s="399"/>
      <c r="G5" s="399"/>
    </row>
    <row r="6" spans="1:14">
      <c r="A6" s="405"/>
      <c r="B6" s="399"/>
      <c r="C6" s="399"/>
      <c r="D6" s="399"/>
      <c r="E6" s="399"/>
      <c r="F6" s="399"/>
      <c r="G6" s="399"/>
    </row>
    <row r="7" spans="1:14" ht="15" customHeight="1">
      <c r="A7" s="406">
        <v>1</v>
      </c>
      <c r="B7" s="399" t="s">
        <v>563</v>
      </c>
      <c r="C7" s="399"/>
      <c r="D7" s="399"/>
      <c r="E7" s="399"/>
      <c r="F7" s="399"/>
      <c r="G7" s="399"/>
      <c r="I7" s="673"/>
      <c r="J7" s="399"/>
      <c r="K7" s="673"/>
      <c r="L7" s="399"/>
      <c r="M7" s="674"/>
      <c r="N7" s="399"/>
    </row>
    <row r="8" spans="1:14">
      <c r="A8" s="399"/>
      <c r="B8" s="399"/>
      <c r="C8" s="399"/>
      <c r="D8" s="399"/>
      <c r="E8" s="399"/>
      <c r="F8" s="399"/>
      <c r="G8" s="399"/>
    </row>
    <row r="9" spans="1:14">
      <c r="A9" s="399"/>
      <c r="B9" s="675" t="s">
        <v>564</v>
      </c>
      <c r="C9" s="676" t="s">
        <v>565</v>
      </c>
      <c r="D9" s="675" t="s">
        <v>566</v>
      </c>
      <c r="E9" s="675" t="s">
        <v>567</v>
      </c>
      <c r="F9" s="675" t="s">
        <v>568</v>
      </c>
      <c r="G9" s="675" t="s">
        <v>569</v>
      </c>
    </row>
    <row r="10" spans="1:14" ht="92.25" customHeight="1">
      <c r="A10" s="399"/>
      <c r="B10" s="407" t="s">
        <v>294</v>
      </c>
      <c r="C10" s="407" t="s">
        <v>623</v>
      </c>
      <c r="D10" s="408" t="s">
        <v>621</v>
      </c>
      <c r="E10" s="408" t="s">
        <v>620</v>
      </c>
      <c r="F10" s="407" t="s">
        <v>622</v>
      </c>
      <c r="G10" s="407" t="s">
        <v>570</v>
      </c>
    </row>
    <row r="11" spans="1:14">
      <c r="A11" s="406">
        <v>2</v>
      </c>
      <c r="B11" s="677" t="s">
        <v>182</v>
      </c>
      <c r="C11" s="678"/>
      <c r="D11" s="678"/>
      <c r="E11" s="679"/>
      <c r="F11" s="680">
        <v>235000</v>
      </c>
      <c r="G11" s="681">
        <f t="shared" ref="G11:G18" si="0">F11</f>
        <v>235000</v>
      </c>
      <c r="I11" s="682"/>
    </row>
    <row r="12" spans="1:14">
      <c r="A12" s="406">
        <v>3</v>
      </c>
      <c r="B12" s="677" t="s">
        <v>183</v>
      </c>
      <c r="C12" s="683"/>
      <c r="D12" s="683"/>
      <c r="E12" s="684"/>
      <c r="F12" s="680">
        <v>238000</v>
      </c>
      <c r="G12" s="681">
        <f t="shared" si="0"/>
        <v>238000</v>
      </c>
    </row>
    <row r="13" spans="1:14">
      <c r="A13" s="406">
        <v>4</v>
      </c>
      <c r="B13" s="677" t="s">
        <v>571</v>
      </c>
      <c r="C13" s="683"/>
      <c r="D13" s="683"/>
      <c r="E13" s="684"/>
      <c r="F13" s="680">
        <v>235000</v>
      </c>
      <c r="G13" s="681">
        <f t="shared" si="0"/>
        <v>235000</v>
      </c>
    </row>
    <row r="14" spans="1:14">
      <c r="A14" s="406">
        <v>5</v>
      </c>
      <c r="B14" s="677" t="s">
        <v>184</v>
      </c>
      <c r="C14" s="683"/>
      <c r="D14" s="683"/>
      <c r="E14" s="684"/>
      <c r="F14" s="680">
        <v>224000</v>
      </c>
      <c r="G14" s="681">
        <f t="shared" si="0"/>
        <v>224000</v>
      </c>
    </row>
    <row r="15" spans="1:14">
      <c r="A15" s="406">
        <v>6</v>
      </c>
      <c r="B15" s="677" t="s">
        <v>185</v>
      </c>
      <c r="C15" s="683"/>
      <c r="D15" s="683"/>
      <c r="E15" s="684"/>
      <c r="F15" s="680">
        <v>218000</v>
      </c>
      <c r="G15" s="681">
        <f t="shared" si="0"/>
        <v>218000</v>
      </c>
    </row>
    <row r="16" spans="1:14">
      <c r="A16" s="406">
        <v>7</v>
      </c>
      <c r="B16" s="677" t="s">
        <v>186</v>
      </c>
      <c r="C16" s="683"/>
      <c r="D16" s="683"/>
      <c r="E16" s="684"/>
      <c r="F16" s="680">
        <v>243000</v>
      </c>
      <c r="G16" s="681">
        <f t="shared" si="0"/>
        <v>243000</v>
      </c>
    </row>
    <row r="17" spans="1:15">
      <c r="A17" s="406">
        <v>8</v>
      </c>
      <c r="B17" s="677" t="s">
        <v>187</v>
      </c>
      <c r="C17" s="683"/>
      <c r="D17" s="683"/>
      <c r="E17" s="684"/>
      <c r="F17" s="680">
        <v>265000</v>
      </c>
      <c r="G17" s="681">
        <f t="shared" si="0"/>
        <v>265000</v>
      </c>
    </row>
    <row r="18" spans="1:15">
      <c r="A18" s="406">
        <v>9</v>
      </c>
      <c r="B18" s="677" t="s">
        <v>572</v>
      </c>
      <c r="C18" s="685"/>
      <c r="D18" s="685"/>
      <c r="E18" s="686"/>
      <c r="F18" s="680">
        <v>258000</v>
      </c>
      <c r="G18" s="681">
        <f t="shared" si="0"/>
        <v>258000</v>
      </c>
      <c r="I18" s="687"/>
    </row>
    <row r="19" spans="1:15">
      <c r="A19" s="406">
        <v>10</v>
      </c>
      <c r="B19" s="688" t="s">
        <v>188</v>
      </c>
      <c r="C19" s="689">
        <f>'A6-Divisor'!G16</f>
        <v>1.0179445350734095</v>
      </c>
      <c r="D19" s="690">
        <f>AVERAGE($F$11:$F$18)</f>
        <v>239500</v>
      </c>
      <c r="E19" s="691">
        <f>C19*D19</f>
        <v>243797.71615008157</v>
      </c>
      <c r="F19" s="679"/>
      <c r="G19" s="692">
        <f>E19</f>
        <v>243797.71615008157</v>
      </c>
    </row>
    <row r="20" spans="1:15">
      <c r="A20" s="406">
        <v>11</v>
      </c>
      <c r="B20" s="688" t="s">
        <v>189</v>
      </c>
      <c r="C20" s="689">
        <f>'A6-Divisor'!G17</f>
        <v>0.95269168026101136</v>
      </c>
      <c r="D20" s="690">
        <f>AVERAGE($F$11:$F$18)</f>
        <v>239500</v>
      </c>
      <c r="E20" s="691">
        <f>C20*D20</f>
        <v>228169.65742251222</v>
      </c>
      <c r="F20" s="684"/>
      <c r="G20" s="692">
        <f>E20</f>
        <v>228169.65742251222</v>
      </c>
    </row>
    <row r="21" spans="1:15">
      <c r="A21" s="406">
        <v>12</v>
      </c>
      <c r="B21" s="688" t="s">
        <v>190</v>
      </c>
      <c r="C21" s="689">
        <f>'A6-Divisor'!G18</f>
        <v>0.98314301250679714</v>
      </c>
      <c r="D21" s="690">
        <f>AVERAGE($F$11:$F$18)</f>
        <v>239500</v>
      </c>
      <c r="E21" s="691">
        <f>C21*D21</f>
        <v>235462.75149537792</v>
      </c>
      <c r="F21" s="684"/>
      <c r="G21" s="692">
        <f>E21</f>
        <v>235462.75149537792</v>
      </c>
    </row>
    <row r="22" spans="1:15">
      <c r="A22" s="406">
        <v>13</v>
      </c>
      <c r="B22" s="688" t="s">
        <v>573</v>
      </c>
      <c r="C22" s="689">
        <f>'A6-Divisor'!G19</f>
        <v>1.0353452963567156</v>
      </c>
      <c r="D22" s="690">
        <f>AVERAGE($F$11:$F$18)</f>
        <v>239500</v>
      </c>
      <c r="E22" s="691">
        <f>C22*D22</f>
        <v>247965.19847743338</v>
      </c>
      <c r="F22" s="684"/>
      <c r="G22" s="692">
        <f>E22</f>
        <v>247965.19847743338</v>
      </c>
    </row>
    <row r="23" spans="1:15">
      <c r="A23" s="406">
        <v>14</v>
      </c>
      <c r="B23" s="693" t="s">
        <v>9</v>
      </c>
      <c r="C23" s="694"/>
      <c r="D23" s="695"/>
      <c r="E23" s="695"/>
      <c r="F23" s="694"/>
      <c r="G23" s="696">
        <f>SUM(G11:G22)</f>
        <v>2871395.3235454056</v>
      </c>
      <c r="L23" s="379"/>
    </row>
    <row r="24" spans="1:15">
      <c r="A24" s="406">
        <v>15</v>
      </c>
      <c r="B24" s="693" t="s">
        <v>274</v>
      </c>
      <c r="C24" s="694"/>
      <c r="D24" s="695"/>
      <c r="E24" s="695"/>
      <c r="F24" s="694"/>
      <c r="G24" s="697">
        <f>G23/12</f>
        <v>239282.9436287838</v>
      </c>
    </row>
    <row r="25" spans="1:15">
      <c r="A25" s="399"/>
      <c r="B25" s="399"/>
      <c r="C25" s="399"/>
      <c r="D25" s="399"/>
      <c r="E25" s="399"/>
      <c r="F25" s="399"/>
      <c r="G25" s="399"/>
    </row>
    <row r="26" spans="1:15">
      <c r="A26" s="399"/>
      <c r="B26" s="399"/>
      <c r="C26" s="399"/>
      <c r="D26" s="399"/>
      <c r="E26" s="399"/>
      <c r="F26" s="399"/>
      <c r="G26" s="399"/>
    </row>
    <row r="27" spans="1:15" ht="57.75" customHeight="1">
      <c r="A27" s="698" t="s">
        <v>574</v>
      </c>
      <c r="B27" s="887" t="s">
        <v>914</v>
      </c>
      <c r="C27" s="888"/>
      <c r="D27" s="888"/>
      <c r="E27" s="888"/>
      <c r="F27" s="888"/>
      <c r="G27" s="888"/>
      <c r="H27" s="699"/>
      <c r="I27" s="699"/>
      <c r="J27" s="699"/>
      <c r="K27" s="699"/>
      <c r="L27" s="699"/>
      <c r="M27" s="699"/>
      <c r="N27" s="699"/>
      <c r="O27" s="699"/>
    </row>
    <row r="28" spans="1:15">
      <c r="A28" s="399"/>
      <c r="B28" s="700" t="s">
        <v>915</v>
      </c>
      <c r="C28" s="701"/>
      <c r="D28" s="701"/>
      <c r="E28" s="701"/>
      <c r="F28" s="701"/>
      <c r="G28" s="701"/>
      <c r="H28" s="702"/>
      <c r="I28" s="702"/>
    </row>
    <row r="29" spans="1:15" ht="17.25" customHeight="1">
      <c r="A29" s="399"/>
      <c r="B29" s="889" t="s">
        <v>916</v>
      </c>
      <c r="C29" s="890"/>
      <c r="D29" s="890"/>
      <c r="E29" s="890"/>
      <c r="F29" s="890"/>
      <c r="G29" s="890"/>
    </row>
    <row r="34" spans="2:4" ht="13.5">
      <c r="B34" s="399"/>
      <c r="C34" s="703"/>
      <c r="D34" s="399"/>
    </row>
  </sheetData>
  <mergeCells count="5">
    <mergeCell ref="B27:G27"/>
    <mergeCell ref="B29:G29"/>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140"/>
  <sheetViews>
    <sheetView topLeftCell="A13" zoomScale="75" zoomScaleNormal="75" workbookViewId="0">
      <selection activeCell="P21" sqref="P21"/>
    </sheetView>
  </sheetViews>
  <sheetFormatPr defaultColWidth="8.88671875" defaultRowHeight="15"/>
  <cols>
    <col min="1" max="1" width="5.88671875" style="1" customWidth="1"/>
    <col min="2" max="2" width="9.109375" style="33" customWidth="1"/>
    <col min="3" max="3" width="13.109375" style="2" customWidth="1"/>
    <col min="4" max="4" width="14.6640625" style="2" customWidth="1"/>
    <col min="5" max="5" width="12.5546875" style="2" customWidth="1"/>
    <col min="6" max="6" width="13.77734375" style="2" customWidth="1"/>
    <col min="7" max="7" width="3" style="33" customWidth="1"/>
    <col min="8" max="8" width="15.33203125" style="2" bestFit="1" customWidth="1"/>
    <col min="9" max="11" width="12.77734375" style="2" customWidth="1"/>
    <col min="12" max="12" width="15.33203125" style="2" bestFit="1" customWidth="1"/>
    <col min="13" max="15" width="12.77734375" style="2" customWidth="1"/>
    <col min="16" max="16" width="10.88671875" style="2" customWidth="1"/>
    <col min="17" max="17" width="8.88671875" style="4"/>
    <col min="18" max="16384" width="8.88671875" style="2"/>
  </cols>
  <sheetData>
    <row r="1" spans="1:19">
      <c r="A1" s="851" t="s">
        <v>821</v>
      </c>
      <c r="B1" s="851"/>
      <c r="C1" s="851"/>
      <c r="D1" s="851"/>
      <c r="E1" s="851"/>
      <c r="F1" s="851"/>
      <c r="G1" s="851"/>
      <c r="H1" s="851"/>
      <c r="I1" s="851"/>
      <c r="J1" s="851"/>
      <c r="K1" s="851"/>
      <c r="L1" s="851"/>
      <c r="M1" s="851"/>
      <c r="N1" s="851"/>
      <c r="O1" s="851"/>
    </row>
    <row r="2" spans="1:19">
      <c r="A2" s="869" t="s">
        <v>803</v>
      </c>
      <c r="B2" s="869"/>
      <c r="C2" s="869"/>
      <c r="D2" s="869"/>
      <c r="E2" s="869"/>
      <c r="F2" s="869"/>
      <c r="G2" s="869"/>
      <c r="H2" s="869"/>
      <c r="I2" s="869"/>
      <c r="J2" s="869"/>
      <c r="K2" s="869"/>
      <c r="L2" s="869"/>
      <c r="M2" s="869"/>
      <c r="N2" s="869"/>
      <c r="O2" s="869"/>
    </row>
    <row r="3" spans="1:19">
      <c r="A3" s="870" t="str">
        <f>'Act Att-H'!C7</f>
        <v>Cheyenne Light, Fuel &amp; Power</v>
      </c>
      <c r="B3" s="870"/>
      <c r="C3" s="870"/>
      <c r="D3" s="870"/>
      <c r="E3" s="870"/>
      <c r="F3" s="870"/>
      <c r="G3" s="870"/>
      <c r="H3" s="870"/>
      <c r="I3" s="870"/>
      <c r="J3" s="870"/>
      <c r="K3" s="870"/>
      <c r="L3" s="870"/>
      <c r="M3" s="870"/>
      <c r="N3" s="870"/>
      <c r="O3" s="870"/>
    </row>
    <row r="4" spans="1:19">
      <c r="A4" s="5"/>
      <c r="C4" s="6"/>
      <c r="D4" s="6"/>
      <c r="E4" s="6"/>
      <c r="F4" s="6"/>
      <c r="G4" s="458"/>
      <c r="H4" s="6"/>
      <c r="I4" s="6"/>
      <c r="J4" s="6"/>
      <c r="O4" s="8" t="s">
        <v>748</v>
      </c>
    </row>
    <row r="5" spans="1:19" ht="15" customHeight="1">
      <c r="A5" s="54"/>
      <c r="C5" s="56"/>
      <c r="D5" s="56"/>
      <c r="E5" s="56"/>
      <c r="F5" s="56"/>
      <c r="G5" s="459"/>
      <c r="I5" s="9"/>
      <c r="J5" s="9"/>
    </row>
    <row r="6" spans="1:19" s="421" customFormat="1">
      <c r="A6" s="466" t="s">
        <v>4</v>
      </c>
      <c r="B6" s="427"/>
      <c r="C6" s="427"/>
      <c r="D6" s="427"/>
      <c r="E6" s="427"/>
      <c r="F6" s="427"/>
      <c r="G6" s="460"/>
      <c r="H6" s="473" t="s">
        <v>786</v>
      </c>
      <c r="P6" s="2"/>
      <c r="Q6" s="4"/>
      <c r="R6" s="2"/>
      <c r="S6" s="2"/>
    </row>
    <row r="7" spans="1:19" s="421" customFormat="1">
      <c r="A7" s="463">
        <v>1</v>
      </c>
      <c r="B7" s="435"/>
      <c r="C7" s="891"/>
      <c r="D7" s="891"/>
      <c r="E7" s="891"/>
      <c r="F7" s="891"/>
      <c r="G7" s="460"/>
      <c r="H7" s="422" t="s">
        <v>777</v>
      </c>
      <c r="I7" s="449" t="s">
        <v>787</v>
      </c>
      <c r="J7" s="449"/>
      <c r="K7" s="479"/>
      <c r="L7" s="422" t="s">
        <v>777</v>
      </c>
      <c r="M7" s="449" t="s">
        <v>789</v>
      </c>
      <c r="N7" s="449"/>
      <c r="O7" s="479"/>
      <c r="P7" s="2"/>
      <c r="Q7" s="4"/>
      <c r="R7" s="2"/>
      <c r="S7" s="2"/>
    </row>
    <row r="8" spans="1:19" s="421" customFormat="1">
      <c r="A8" s="463">
        <f>A7+1</f>
        <v>2</v>
      </c>
      <c r="B8" s="427"/>
      <c r="C8" s="427"/>
      <c r="D8" s="427"/>
      <c r="E8" s="427"/>
      <c r="F8" s="427"/>
      <c r="G8" s="460"/>
      <c r="H8" s="423" t="s">
        <v>788</v>
      </c>
      <c r="I8" s="450" t="s">
        <v>778</v>
      </c>
      <c r="J8" s="450"/>
      <c r="K8" s="425"/>
      <c r="L8" s="423" t="s">
        <v>788</v>
      </c>
      <c r="M8" s="450" t="s">
        <v>778</v>
      </c>
      <c r="N8" s="450"/>
      <c r="O8" s="425"/>
      <c r="P8" s="2"/>
      <c r="Q8" s="4"/>
      <c r="R8" s="2"/>
      <c r="S8" s="2"/>
    </row>
    <row r="9" spans="1:19" s="421" customFormat="1">
      <c r="A9" s="463">
        <f t="shared" ref="A9:A14" si="0">A8+1</f>
        <v>3</v>
      </c>
      <c r="B9" s="435"/>
      <c r="C9" s="891"/>
      <c r="D9" s="891"/>
      <c r="E9" s="891"/>
      <c r="F9" s="891"/>
      <c r="G9" s="460"/>
      <c r="H9" s="426" t="s">
        <v>807</v>
      </c>
      <c r="I9" s="451">
        <v>0</v>
      </c>
      <c r="J9" s="451"/>
      <c r="K9" s="428" t="s">
        <v>700</v>
      </c>
      <c r="L9" s="426" t="s">
        <v>807</v>
      </c>
      <c r="M9" s="451">
        <v>0</v>
      </c>
      <c r="N9" s="451"/>
      <c r="O9" s="428" t="s">
        <v>700</v>
      </c>
      <c r="P9" s="2"/>
      <c r="Q9" s="4"/>
      <c r="R9" s="2"/>
      <c r="S9" s="2"/>
    </row>
    <row r="10" spans="1:19" s="421" customFormat="1">
      <c r="A10" s="463">
        <f t="shared" si="0"/>
        <v>4</v>
      </c>
      <c r="B10" s="427"/>
      <c r="C10" s="427"/>
      <c r="D10" s="427"/>
      <c r="E10" s="427"/>
      <c r="F10" s="427"/>
      <c r="G10" s="460"/>
      <c r="H10" s="426" t="s">
        <v>780</v>
      </c>
      <c r="I10" s="451">
        <v>0</v>
      </c>
      <c r="J10" s="451"/>
      <c r="K10" s="428" t="s">
        <v>792</v>
      </c>
      <c r="L10" s="426" t="s">
        <v>780</v>
      </c>
      <c r="M10" s="451">
        <v>0</v>
      </c>
      <c r="N10" s="451"/>
      <c r="O10" s="428" t="s">
        <v>792</v>
      </c>
      <c r="P10" s="2"/>
      <c r="Q10" s="4"/>
      <c r="R10" s="2"/>
      <c r="S10" s="2"/>
    </row>
    <row r="11" spans="1:19" s="421" customFormat="1">
      <c r="A11" s="463">
        <f t="shared" si="0"/>
        <v>5</v>
      </c>
      <c r="B11" s="435"/>
      <c r="C11" s="891"/>
      <c r="D11" s="891"/>
      <c r="E11" s="891"/>
      <c r="F11" s="891"/>
      <c r="G11" s="460"/>
      <c r="H11" s="426" t="s">
        <v>806</v>
      </c>
      <c r="I11" s="429">
        <f>I10*'Act Att-H'!E213</f>
        <v>0</v>
      </c>
      <c r="J11" s="429"/>
      <c r="K11" s="428"/>
      <c r="L11" s="426" t="s">
        <v>806</v>
      </c>
      <c r="M11" s="429">
        <f>M10*'Act Att-H'!E213</f>
        <v>0</v>
      </c>
      <c r="N11" s="429"/>
      <c r="O11" s="428"/>
      <c r="P11" s="2"/>
      <c r="Q11" s="4"/>
      <c r="R11" s="2"/>
      <c r="S11" s="2"/>
    </row>
    <row r="12" spans="1:19" s="421" customFormat="1">
      <c r="A12" s="463">
        <f t="shared" si="0"/>
        <v>6</v>
      </c>
      <c r="B12" s="427"/>
      <c r="C12" s="427"/>
      <c r="D12" s="427"/>
      <c r="E12" s="427"/>
      <c r="F12" s="427"/>
      <c r="G12" s="460"/>
      <c r="H12" s="426" t="s">
        <v>781</v>
      </c>
      <c r="I12" s="453">
        <v>0</v>
      </c>
      <c r="J12" s="453"/>
      <c r="K12" s="428"/>
      <c r="L12" s="426" t="s">
        <v>781</v>
      </c>
      <c r="M12" s="453">
        <v>0</v>
      </c>
      <c r="N12" s="453"/>
      <c r="O12" s="428"/>
      <c r="P12" s="2"/>
      <c r="Q12" s="4"/>
      <c r="R12" s="2"/>
      <c r="S12" s="2"/>
    </row>
    <row r="13" spans="1:19" s="421" customFormat="1">
      <c r="A13" s="463">
        <f t="shared" si="0"/>
        <v>7</v>
      </c>
      <c r="B13" s="435"/>
      <c r="C13" s="891"/>
      <c r="D13" s="891"/>
      <c r="E13" s="891"/>
      <c r="F13" s="891"/>
      <c r="G13" s="460"/>
      <c r="H13" s="426" t="s">
        <v>782</v>
      </c>
      <c r="I13" s="453">
        <v>0</v>
      </c>
      <c r="J13" s="453"/>
      <c r="K13" s="428"/>
      <c r="L13" s="426" t="s">
        <v>782</v>
      </c>
      <c r="M13" s="453">
        <v>0</v>
      </c>
      <c r="N13" s="453"/>
      <c r="O13" s="428"/>
      <c r="P13" s="2"/>
      <c r="Q13" s="4"/>
      <c r="R13" s="2"/>
      <c r="S13" s="2"/>
    </row>
    <row r="14" spans="1:19" s="421" customFormat="1">
      <c r="A14" s="463">
        <f t="shared" si="0"/>
        <v>8</v>
      </c>
      <c r="B14" s="460"/>
      <c r="C14" s="868" t="s">
        <v>9</v>
      </c>
      <c r="D14" s="868"/>
      <c r="E14" s="868"/>
      <c r="F14" s="868"/>
      <c r="G14" s="460"/>
      <c r="H14" s="426" t="s">
        <v>783</v>
      </c>
      <c r="I14" s="454"/>
      <c r="J14" s="454"/>
      <c r="K14" s="428"/>
      <c r="L14" s="426" t="s">
        <v>783</v>
      </c>
      <c r="M14" s="454"/>
      <c r="N14" s="454"/>
      <c r="O14" s="428"/>
      <c r="P14" s="2"/>
      <c r="Q14" s="4"/>
      <c r="R14" s="2"/>
      <c r="S14" s="2"/>
    </row>
    <row r="15" spans="1:19" s="421" customFormat="1">
      <c r="A15" s="463"/>
      <c r="B15" s="460"/>
      <c r="G15" s="460"/>
      <c r="H15" s="426"/>
      <c r="I15" s="454"/>
      <c r="J15" s="454"/>
      <c r="K15" s="428"/>
      <c r="L15" s="426"/>
      <c r="M15" s="454"/>
      <c r="N15" s="454"/>
      <c r="O15" s="428"/>
      <c r="P15" s="2"/>
      <c r="Q15" s="4"/>
      <c r="R15" s="2"/>
      <c r="S15" s="2"/>
    </row>
    <row r="16" spans="1:19" s="421" customFormat="1">
      <c r="A16" s="460"/>
      <c r="B16" s="457" t="s">
        <v>805</v>
      </c>
      <c r="C16" s="457" t="s">
        <v>539</v>
      </c>
      <c r="D16" s="457" t="s">
        <v>540</v>
      </c>
      <c r="E16" s="457" t="s">
        <v>541</v>
      </c>
      <c r="F16" s="457" t="s">
        <v>800</v>
      </c>
      <c r="G16" s="460"/>
      <c r="H16" s="475" t="s">
        <v>539</v>
      </c>
      <c r="I16" s="457" t="s">
        <v>540</v>
      </c>
      <c r="J16" s="457" t="s">
        <v>541</v>
      </c>
      <c r="K16" s="480" t="s">
        <v>785</v>
      </c>
      <c r="L16" s="475" t="s">
        <v>539</v>
      </c>
      <c r="M16" s="457" t="s">
        <v>540</v>
      </c>
      <c r="N16" s="457" t="s">
        <v>541</v>
      </c>
      <c r="O16" s="480" t="s">
        <v>785</v>
      </c>
      <c r="P16" s="2"/>
      <c r="Q16" s="4"/>
      <c r="R16" s="2"/>
      <c r="S16" s="2"/>
    </row>
    <row r="17" spans="1:19" s="421" customFormat="1">
      <c r="A17" s="460"/>
      <c r="B17" s="431" t="s">
        <v>174</v>
      </c>
      <c r="C17" s="431" t="s">
        <v>175</v>
      </c>
      <c r="D17" s="431" t="s">
        <v>795</v>
      </c>
      <c r="E17" s="431" t="s">
        <v>796</v>
      </c>
      <c r="F17" s="431" t="s">
        <v>797</v>
      </c>
      <c r="G17" s="431"/>
      <c r="H17" s="476" t="s">
        <v>808</v>
      </c>
      <c r="I17" s="431" t="s">
        <v>809</v>
      </c>
      <c r="J17" s="431" t="s">
        <v>810</v>
      </c>
      <c r="K17" s="430" t="s">
        <v>811</v>
      </c>
      <c r="L17" s="476" t="s">
        <v>812</v>
      </c>
      <c r="M17" s="431" t="s">
        <v>813</v>
      </c>
      <c r="N17" s="431" t="s">
        <v>814</v>
      </c>
      <c r="O17" s="430" t="s">
        <v>815</v>
      </c>
      <c r="P17" s="2"/>
      <c r="Q17" s="4"/>
      <c r="R17" s="2"/>
      <c r="S17" s="2"/>
    </row>
    <row r="18" spans="1:19" s="421" customFormat="1">
      <c r="A18" s="448"/>
      <c r="B18" s="460"/>
      <c r="G18" s="460"/>
      <c r="H18" s="455">
        <f>I12</f>
        <v>0</v>
      </c>
      <c r="I18" s="435"/>
      <c r="J18" s="435"/>
      <c r="K18" s="436"/>
      <c r="L18" s="455">
        <f>M12</f>
        <v>0</v>
      </c>
      <c r="M18" s="435"/>
      <c r="N18" s="435"/>
      <c r="O18" s="436"/>
      <c r="P18" s="2"/>
      <c r="Q18" s="4"/>
      <c r="R18" s="2"/>
      <c r="S18" s="2"/>
    </row>
    <row r="19" spans="1:19" s="421" customFormat="1">
      <c r="A19" s="461">
        <f>A14+1</f>
        <v>9</v>
      </c>
      <c r="B19" s="390" t="s">
        <v>1040</v>
      </c>
      <c r="C19" s="437">
        <f>+H19+L19</f>
        <v>0</v>
      </c>
      <c r="D19" s="437">
        <f t="shared" ref="D19:E19" si="1">+I19+M19</f>
        <v>0</v>
      </c>
      <c r="E19" s="437">
        <f t="shared" si="1"/>
        <v>0</v>
      </c>
      <c r="F19" s="474"/>
      <c r="G19" s="461"/>
      <c r="H19" s="455">
        <f>H18</f>
        <v>0</v>
      </c>
      <c r="I19" s="456">
        <f>H19*I$9</f>
        <v>0</v>
      </c>
      <c r="J19" s="456">
        <f>I13+I19</f>
        <v>0</v>
      </c>
      <c r="K19" s="439">
        <f>+H19-I12</f>
        <v>0</v>
      </c>
      <c r="L19" s="455">
        <f>L18</f>
        <v>0</v>
      </c>
      <c r="M19" s="456">
        <f>L19*M$9</f>
        <v>0</v>
      </c>
      <c r="N19" s="456">
        <f>M13+M19</f>
        <v>0</v>
      </c>
      <c r="O19" s="439">
        <f>+L19-M12</f>
        <v>0</v>
      </c>
      <c r="P19" s="2"/>
      <c r="Q19" s="4"/>
      <c r="R19" s="2"/>
      <c r="S19" s="2"/>
    </row>
    <row r="20" spans="1:19" s="421" customFormat="1">
      <c r="A20" s="461">
        <f t="shared" ref="A20:A42" si="2">A19+1</f>
        <v>10</v>
      </c>
      <c r="B20" s="390" t="s">
        <v>1040</v>
      </c>
      <c r="C20" s="437">
        <f t="shared" ref="C20:C42" si="3">+H20+L20</f>
        <v>0</v>
      </c>
      <c r="D20" s="437">
        <f t="shared" ref="D20:D42" si="4">+I20+M20</f>
        <v>0</v>
      </c>
      <c r="E20" s="437">
        <f t="shared" ref="E20:E42" si="5">+J20+N20</f>
        <v>0</v>
      </c>
      <c r="F20" s="474"/>
      <c r="G20" s="461"/>
      <c r="H20" s="455">
        <v>0</v>
      </c>
      <c r="I20" s="456">
        <f t="shared" ref="I20:I42" si="6">H20*I$9</f>
        <v>0</v>
      </c>
      <c r="J20" s="456">
        <f>J19+I20</f>
        <v>0</v>
      </c>
      <c r="K20" s="439">
        <f>+H20-I20</f>
        <v>0</v>
      </c>
      <c r="L20" s="455">
        <v>0</v>
      </c>
      <c r="M20" s="456">
        <f t="shared" ref="M20:M42" si="7">L20*M$9</f>
        <v>0</v>
      </c>
      <c r="N20" s="456">
        <f>N19+M20</f>
        <v>0</v>
      </c>
      <c r="O20" s="439">
        <f>+L20-M20</f>
        <v>0</v>
      </c>
      <c r="P20" s="2"/>
      <c r="Q20" s="4"/>
      <c r="R20" s="2"/>
      <c r="S20" s="2"/>
    </row>
    <row r="21" spans="1:19" s="421" customFormat="1">
      <c r="A21" s="461">
        <f t="shared" si="2"/>
        <v>11</v>
      </c>
      <c r="B21" s="390" t="s">
        <v>1040</v>
      </c>
      <c r="C21" s="437">
        <f t="shared" si="3"/>
        <v>0</v>
      </c>
      <c r="D21" s="437">
        <f t="shared" si="4"/>
        <v>0</v>
      </c>
      <c r="E21" s="437">
        <f t="shared" si="5"/>
        <v>0</v>
      </c>
      <c r="F21" s="474"/>
      <c r="G21" s="461"/>
      <c r="H21" s="455">
        <v>0</v>
      </c>
      <c r="I21" s="456">
        <f t="shared" si="6"/>
        <v>0</v>
      </c>
      <c r="J21" s="456">
        <f t="shared" ref="J21:J42" si="8">J20+I21</f>
        <v>0</v>
      </c>
      <c r="K21" s="439">
        <f>+H21-I21</f>
        <v>0</v>
      </c>
      <c r="L21" s="455">
        <v>0</v>
      </c>
      <c r="M21" s="456">
        <f t="shared" si="7"/>
        <v>0</v>
      </c>
      <c r="N21" s="456">
        <f t="shared" ref="N21:N42" si="9">N20+M21</f>
        <v>0</v>
      </c>
      <c r="O21" s="439">
        <f>+L21-M21</f>
        <v>0</v>
      </c>
      <c r="P21" s="2"/>
      <c r="Q21" s="4"/>
      <c r="R21" s="2"/>
      <c r="S21" s="2"/>
    </row>
    <row r="22" spans="1:19" s="421" customFormat="1">
      <c r="A22" s="461">
        <f t="shared" si="2"/>
        <v>12</v>
      </c>
      <c r="B22" s="390" t="s">
        <v>1040</v>
      </c>
      <c r="C22" s="437">
        <f t="shared" si="3"/>
        <v>0</v>
      </c>
      <c r="D22" s="437">
        <f t="shared" si="4"/>
        <v>0</v>
      </c>
      <c r="E22" s="437">
        <f t="shared" si="5"/>
        <v>0</v>
      </c>
      <c r="F22" s="474"/>
      <c r="G22" s="461"/>
      <c r="H22" s="455">
        <v>0</v>
      </c>
      <c r="I22" s="456">
        <f t="shared" si="6"/>
        <v>0</v>
      </c>
      <c r="J22" s="456">
        <f t="shared" si="8"/>
        <v>0</v>
      </c>
      <c r="K22" s="439">
        <f>+H22-I22</f>
        <v>0</v>
      </c>
      <c r="L22" s="455">
        <v>0</v>
      </c>
      <c r="M22" s="456">
        <f t="shared" si="7"/>
        <v>0</v>
      </c>
      <c r="N22" s="456">
        <f t="shared" si="9"/>
        <v>0</v>
      </c>
      <c r="O22" s="439">
        <f>+L22-M22</f>
        <v>0</v>
      </c>
      <c r="P22" s="2"/>
      <c r="Q22" s="4"/>
      <c r="R22" s="2"/>
      <c r="S22" s="2"/>
    </row>
    <row r="23" spans="1:19" s="421" customFormat="1">
      <c r="A23" s="461">
        <f t="shared" si="2"/>
        <v>13</v>
      </c>
      <c r="B23" s="390" t="s">
        <v>1040</v>
      </c>
      <c r="C23" s="437">
        <f t="shared" si="3"/>
        <v>0</v>
      </c>
      <c r="D23" s="437">
        <f t="shared" si="4"/>
        <v>0</v>
      </c>
      <c r="E23" s="437">
        <f t="shared" si="5"/>
        <v>0</v>
      </c>
      <c r="F23" s="474"/>
      <c r="G23" s="461"/>
      <c r="H23" s="455">
        <v>0</v>
      </c>
      <c r="I23" s="456">
        <f t="shared" si="6"/>
        <v>0</v>
      </c>
      <c r="J23" s="456">
        <f t="shared" si="8"/>
        <v>0</v>
      </c>
      <c r="K23" s="439">
        <f t="shared" ref="K23:K42" si="10">+H23-I23</f>
        <v>0</v>
      </c>
      <c r="L23" s="455">
        <v>0</v>
      </c>
      <c r="M23" s="456">
        <f t="shared" si="7"/>
        <v>0</v>
      </c>
      <c r="N23" s="456">
        <f t="shared" si="9"/>
        <v>0</v>
      </c>
      <c r="O23" s="439">
        <f t="shared" ref="O23:O42" si="11">+L23-M23</f>
        <v>0</v>
      </c>
      <c r="P23" s="2"/>
      <c r="Q23" s="4"/>
      <c r="R23" s="2"/>
      <c r="S23" s="2"/>
    </row>
    <row r="24" spans="1:19" s="421" customFormat="1">
      <c r="A24" s="461">
        <f t="shared" si="2"/>
        <v>14</v>
      </c>
      <c r="B24" s="390" t="s">
        <v>1040</v>
      </c>
      <c r="C24" s="437">
        <f t="shared" si="3"/>
        <v>0</v>
      </c>
      <c r="D24" s="437">
        <f t="shared" si="4"/>
        <v>0</v>
      </c>
      <c r="E24" s="437">
        <f t="shared" si="5"/>
        <v>0</v>
      </c>
      <c r="F24" s="474"/>
      <c r="G24" s="461"/>
      <c r="H24" s="455">
        <v>0</v>
      </c>
      <c r="I24" s="456">
        <f t="shared" si="6"/>
        <v>0</v>
      </c>
      <c r="J24" s="456">
        <f t="shared" si="8"/>
        <v>0</v>
      </c>
      <c r="K24" s="439">
        <f t="shared" si="10"/>
        <v>0</v>
      </c>
      <c r="L24" s="455">
        <v>0</v>
      </c>
      <c r="M24" s="456">
        <f t="shared" si="7"/>
        <v>0</v>
      </c>
      <c r="N24" s="456">
        <f t="shared" si="9"/>
        <v>0</v>
      </c>
      <c r="O24" s="439">
        <f t="shared" si="11"/>
        <v>0</v>
      </c>
      <c r="P24" s="2"/>
      <c r="Q24" s="4"/>
      <c r="R24" s="2"/>
      <c r="S24" s="2"/>
    </row>
    <row r="25" spans="1:19" s="421" customFormat="1">
      <c r="A25" s="461">
        <f t="shared" si="2"/>
        <v>15</v>
      </c>
      <c r="B25" s="390" t="s">
        <v>1040</v>
      </c>
      <c r="C25" s="437">
        <f t="shared" si="3"/>
        <v>0</v>
      </c>
      <c r="D25" s="437">
        <f t="shared" si="4"/>
        <v>0</v>
      </c>
      <c r="E25" s="437">
        <f t="shared" si="5"/>
        <v>0</v>
      </c>
      <c r="F25" s="474"/>
      <c r="G25" s="461"/>
      <c r="H25" s="455">
        <v>0</v>
      </c>
      <c r="I25" s="456">
        <f t="shared" si="6"/>
        <v>0</v>
      </c>
      <c r="J25" s="456">
        <f t="shared" si="8"/>
        <v>0</v>
      </c>
      <c r="K25" s="439">
        <f t="shared" si="10"/>
        <v>0</v>
      </c>
      <c r="L25" s="455">
        <v>0</v>
      </c>
      <c r="M25" s="456">
        <f t="shared" si="7"/>
        <v>0</v>
      </c>
      <c r="N25" s="456">
        <f t="shared" si="9"/>
        <v>0</v>
      </c>
      <c r="O25" s="439">
        <f t="shared" si="11"/>
        <v>0</v>
      </c>
      <c r="P25" s="2"/>
      <c r="Q25" s="4"/>
      <c r="R25" s="2"/>
      <c r="S25" s="2"/>
    </row>
    <row r="26" spans="1:19" s="421" customFormat="1">
      <c r="A26" s="461">
        <f t="shared" si="2"/>
        <v>16</v>
      </c>
      <c r="B26" s="390" t="s">
        <v>1040</v>
      </c>
      <c r="C26" s="437">
        <f t="shared" si="3"/>
        <v>0</v>
      </c>
      <c r="D26" s="437">
        <f t="shared" si="4"/>
        <v>0</v>
      </c>
      <c r="E26" s="437">
        <f t="shared" si="5"/>
        <v>0</v>
      </c>
      <c r="F26" s="474"/>
      <c r="G26" s="461"/>
      <c r="H26" s="455">
        <v>0</v>
      </c>
      <c r="I26" s="456">
        <f t="shared" si="6"/>
        <v>0</v>
      </c>
      <c r="J26" s="456">
        <f t="shared" si="8"/>
        <v>0</v>
      </c>
      <c r="K26" s="439">
        <f t="shared" si="10"/>
        <v>0</v>
      </c>
      <c r="L26" s="455">
        <v>0</v>
      </c>
      <c r="M26" s="456">
        <f t="shared" si="7"/>
        <v>0</v>
      </c>
      <c r="N26" s="456">
        <f t="shared" si="9"/>
        <v>0</v>
      </c>
      <c r="O26" s="439">
        <f t="shared" si="11"/>
        <v>0</v>
      </c>
      <c r="P26" s="2"/>
      <c r="Q26" s="4"/>
      <c r="R26" s="2"/>
      <c r="S26" s="2"/>
    </row>
    <row r="27" spans="1:19" s="421" customFormat="1">
      <c r="A27" s="461">
        <f t="shared" si="2"/>
        <v>17</v>
      </c>
      <c r="B27" s="390" t="s">
        <v>1040</v>
      </c>
      <c r="C27" s="437">
        <f t="shared" si="3"/>
        <v>0</v>
      </c>
      <c r="D27" s="437">
        <f t="shared" si="4"/>
        <v>0</v>
      </c>
      <c r="E27" s="437">
        <f t="shared" si="5"/>
        <v>0</v>
      </c>
      <c r="F27" s="474"/>
      <c r="G27" s="461"/>
      <c r="H27" s="455">
        <v>0</v>
      </c>
      <c r="I27" s="456">
        <f t="shared" si="6"/>
        <v>0</v>
      </c>
      <c r="J27" s="456">
        <f t="shared" si="8"/>
        <v>0</v>
      </c>
      <c r="K27" s="439">
        <f t="shared" si="10"/>
        <v>0</v>
      </c>
      <c r="L27" s="455">
        <v>0</v>
      </c>
      <c r="M27" s="456">
        <f t="shared" si="7"/>
        <v>0</v>
      </c>
      <c r="N27" s="456">
        <f t="shared" si="9"/>
        <v>0</v>
      </c>
      <c r="O27" s="439">
        <f t="shared" si="11"/>
        <v>0</v>
      </c>
      <c r="P27" s="2"/>
      <c r="Q27" s="4"/>
      <c r="R27" s="2"/>
      <c r="S27" s="2"/>
    </row>
    <row r="28" spans="1:19" s="421" customFormat="1">
      <c r="A28" s="461">
        <f t="shared" si="2"/>
        <v>18</v>
      </c>
      <c r="B28" s="390" t="s">
        <v>1040</v>
      </c>
      <c r="C28" s="437">
        <f t="shared" si="3"/>
        <v>0</v>
      </c>
      <c r="D28" s="437">
        <f t="shared" si="4"/>
        <v>0</v>
      </c>
      <c r="E28" s="437">
        <f t="shared" si="5"/>
        <v>0</v>
      </c>
      <c r="F28" s="474"/>
      <c r="G28" s="461"/>
      <c r="H28" s="455">
        <v>0</v>
      </c>
      <c r="I28" s="456">
        <f t="shared" si="6"/>
        <v>0</v>
      </c>
      <c r="J28" s="456">
        <f t="shared" si="8"/>
        <v>0</v>
      </c>
      <c r="K28" s="439">
        <f t="shared" si="10"/>
        <v>0</v>
      </c>
      <c r="L28" s="455">
        <v>0</v>
      </c>
      <c r="M28" s="456">
        <f t="shared" si="7"/>
        <v>0</v>
      </c>
      <c r="N28" s="456">
        <f t="shared" si="9"/>
        <v>0</v>
      </c>
      <c r="O28" s="439">
        <f t="shared" si="11"/>
        <v>0</v>
      </c>
      <c r="P28" s="2"/>
      <c r="Q28" s="4"/>
      <c r="R28" s="2"/>
      <c r="S28" s="2"/>
    </row>
    <row r="29" spans="1:19" s="421" customFormat="1">
      <c r="A29" s="461">
        <f t="shared" si="2"/>
        <v>19</v>
      </c>
      <c r="B29" s="390" t="s">
        <v>1040</v>
      </c>
      <c r="C29" s="437">
        <f t="shared" si="3"/>
        <v>0</v>
      </c>
      <c r="D29" s="437">
        <f t="shared" si="4"/>
        <v>0</v>
      </c>
      <c r="E29" s="437">
        <f t="shared" si="5"/>
        <v>0</v>
      </c>
      <c r="F29" s="474"/>
      <c r="G29" s="461"/>
      <c r="H29" s="455">
        <v>0</v>
      </c>
      <c r="I29" s="456">
        <f t="shared" si="6"/>
        <v>0</v>
      </c>
      <c r="J29" s="456">
        <f t="shared" si="8"/>
        <v>0</v>
      </c>
      <c r="K29" s="439">
        <f t="shared" si="10"/>
        <v>0</v>
      </c>
      <c r="L29" s="455">
        <v>0</v>
      </c>
      <c r="M29" s="456">
        <f t="shared" si="7"/>
        <v>0</v>
      </c>
      <c r="N29" s="456">
        <f t="shared" si="9"/>
        <v>0</v>
      </c>
      <c r="O29" s="439">
        <f t="shared" si="11"/>
        <v>0</v>
      </c>
      <c r="P29" s="2"/>
      <c r="Q29" s="4"/>
      <c r="R29" s="2"/>
      <c r="S29" s="2"/>
    </row>
    <row r="30" spans="1:19" s="421" customFormat="1">
      <c r="A30" s="461">
        <f t="shared" si="2"/>
        <v>20</v>
      </c>
      <c r="B30" s="390" t="s">
        <v>1040</v>
      </c>
      <c r="C30" s="437">
        <f t="shared" si="3"/>
        <v>0</v>
      </c>
      <c r="D30" s="437">
        <f t="shared" si="4"/>
        <v>0</v>
      </c>
      <c r="E30" s="437">
        <f t="shared" si="5"/>
        <v>0</v>
      </c>
      <c r="F30" s="474"/>
      <c r="G30" s="461"/>
      <c r="H30" s="455">
        <v>0</v>
      </c>
      <c r="I30" s="456">
        <f t="shared" si="6"/>
        <v>0</v>
      </c>
      <c r="J30" s="456">
        <f t="shared" si="8"/>
        <v>0</v>
      </c>
      <c r="K30" s="439">
        <f t="shared" si="10"/>
        <v>0</v>
      </c>
      <c r="L30" s="455">
        <v>0</v>
      </c>
      <c r="M30" s="456">
        <f t="shared" si="7"/>
        <v>0</v>
      </c>
      <c r="N30" s="456">
        <f t="shared" si="9"/>
        <v>0</v>
      </c>
      <c r="O30" s="439">
        <f t="shared" si="11"/>
        <v>0</v>
      </c>
      <c r="P30" s="2"/>
      <c r="Q30" s="4"/>
      <c r="R30" s="2"/>
      <c r="S30" s="2"/>
    </row>
    <row r="31" spans="1:19" s="421" customFormat="1">
      <c r="A31" s="461">
        <f t="shared" si="2"/>
        <v>21</v>
      </c>
      <c r="B31" s="390" t="s">
        <v>1040</v>
      </c>
      <c r="C31" s="437">
        <f t="shared" si="3"/>
        <v>0</v>
      </c>
      <c r="D31" s="437">
        <f t="shared" si="4"/>
        <v>0</v>
      </c>
      <c r="E31" s="437">
        <f t="shared" si="5"/>
        <v>0</v>
      </c>
      <c r="F31" s="474"/>
      <c r="G31" s="461"/>
      <c r="H31" s="455">
        <v>0</v>
      </c>
      <c r="I31" s="456">
        <f t="shared" si="6"/>
        <v>0</v>
      </c>
      <c r="J31" s="456">
        <f t="shared" si="8"/>
        <v>0</v>
      </c>
      <c r="K31" s="439">
        <f t="shared" si="10"/>
        <v>0</v>
      </c>
      <c r="L31" s="455">
        <v>0</v>
      </c>
      <c r="M31" s="456">
        <f t="shared" si="7"/>
        <v>0</v>
      </c>
      <c r="N31" s="456">
        <f t="shared" si="9"/>
        <v>0</v>
      </c>
      <c r="O31" s="439">
        <f t="shared" si="11"/>
        <v>0</v>
      </c>
      <c r="P31" s="2"/>
      <c r="Q31" s="4"/>
      <c r="R31" s="2"/>
      <c r="S31" s="2"/>
    </row>
    <row r="32" spans="1:19" s="421" customFormat="1">
      <c r="A32" s="461">
        <f t="shared" si="2"/>
        <v>22</v>
      </c>
      <c r="B32" s="390" t="s">
        <v>1040</v>
      </c>
      <c r="C32" s="437">
        <f t="shared" si="3"/>
        <v>0</v>
      </c>
      <c r="D32" s="437">
        <f t="shared" si="4"/>
        <v>0</v>
      </c>
      <c r="E32" s="437">
        <f t="shared" si="5"/>
        <v>0</v>
      </c>
      <c r="F32" s="474"/>
      <c r="G32" s="461"/>
      <c r="H32" s="455">
        <v>0</v>
      </c>
      <c r="I32" s="456">
        <f t="shared" si="6"/>
        <v>0</v>
      </c>
      <c r="J32" s="456">
        <f t="shared" si="8"/>
        <v>0</v>
      </c>
      <c r="K32" s="439">
        <f t="shared" si="10"/>
        <v>0</v>
      </c>
      <c r="L32" s="455">
        <v>0</v>
      </c>
      <c r="M32" s="456">
        <f t="shared" si="7"/>
        <v>0</v>
      </c>
      <c r="N32" s="456">
        <f t="shared" si="9"/>
        <v>0</v>
      </c>
      <c r="O32" s="439">
        <f t="shared" si="11"/>
        <v>0</v>
      </c>
      <c r="P32" s="2"/>
      <c r="Q32" s="4"/>
      <c r="R32" s="2"/>
      <c r="S32" s="2"/>
    </row>
    <row r="33" spans="1:19" s="421" customFormat="1">
      <c r="A33" s="461">
        <f t="shared" si="2"/>
        <v>23</v>
      </c>
      <c r="B33" s="390" t="s">
        <v>1040</v>
      </c>
      <c r="C33" s="437">
        <f t="shared" si="3"/>
        <v>0</v>
      </c>
      <c r="D33" s="437">
        <f t="shared" si="4"/>
        <v>0</v>
      </c>
      <c r="E33" s="437">
        <f t="shared" si="5"/>
        <v>0</v>
      </c>
      <c r="F33" s="474"/>
      <c r="G33" s="461"/>
      <c r="H33" s="455">
        <v>0</v>
      </c>
      <c r="I33" s="456">
        <f t="shared" si="6"/>
        <v>0</v>
      </c>
      <c r="J33" s="456">
        <f t="shared" si="8"/>
        <v>0</v>
      </c>
      <c r="K33" s="439">
        <f t="shared" si="10"/>
        <v>0</v>
      </c>
      <c r="L33" s="455">
        <v>0</v>
      </c>
      <c r="M33" s="456">
        <f t="shared" si="7"/>
        <v>0</v>
      </c>
      <c r="N33" s="456">
        <f t="shared" si="9"/>
        <v>0</v>
      </c>
      <c r="O33" s="439">
        <f t="shared" si="11"/>
        <v>0</v>
      </c>
      <c r="P33" s="2"/>
      <c r="Q33" s="4"/>
      <c r="R33" s="2"/>
      <c r="S33" s="2"/>
    </row>
    <row r="34" spans="1:19" s="421" customFormat="1">
      <c r="A34" s="461">
        <f t="shared" si="2"/>
        <v>24</v>
      </c>
      <c r="B34" s="390" t="s">
        <v>1040</v>
      </c>
      <c r="C34" s="437">
        <f t="shared" si="3"/>
        <v>0</v>
      </c>
      <c r="D34" s="437">
        <f t="shared" si="4"/>
        <v>0</v>
      </c>
      <c r="E34" s="437">
        <f t="shared" si="5"/>
        <v>0</v>
      </c>
      <c r="F34" s="474"/>
      <c r="G34" s="461"/>
      <c r="H34" s="455">
        <v>0</v>
      </c>
      <c r="I34" s="456">
        <f t="shared" si="6"/>
        <v>0</v>
      </c>
      <c r="J34" s="456">
        <f t="shared" si="8"/>
        <v>0</v>
      </c>
      <c r="K34" s="439">
        <f t="shared" si="10"/>
        <v>0</v>
      </c>
      <c r="L34" s="455">
        <v>0</v>
      </c>
      <c r="M34" s="456">
        <f t="shared" si="7"/>
        <v>0</v>
      </c>
      <c r="N34" s="456">
        <f t="shared" si="9"/>
        <v>0</v>
      </c>
      <c r="O34" s="439">
        <f t="shared" si="11"/>
        <v>0</v>
      </c>
      <c r="P34" s="2"/>
      <c r="Q34" s="4"/>
      <c r="R34" s="2"/>
      <c r="S34" s="2"/>
    </row>
    <row r="35" spans="1:19" s="421" customFormat="1">
      <c r="A35" s="461">
        <f t="shared" si="2"/>
        <v>25</v>
      </c>
      <c r="B35" s="390" t="s">
        <v>1040</v>
      </c>
      <c r="C35" s="437">
        <f t="shared" si="3"/>
        <v>0</v>
      </c>
      <c r="D35" s="437">
        <f t="shared" si="4"/>
        <v>0</v>
      </c>
      <c r="E35" s="437">
        <f t="shared" si="5"/>
        <v>0</v>
      </c>
      <c r="F35" s="474"/>
      <c r="G35" s="461"/>
      <c r="H35" s="455">
        <v>0</v>
      </c>
      <c r="I35" s="456">
        <f t="shared" si="6"/>
        <v>0</v>
      </c>
      <c r="J35" s="456">
        <f t="shared" si="8"/>
        <v>0</v>
      </c>
      <c r="K35" s="439">
        <f t="shared" si="10"/>
        <v>0</v>
      </c>
      <c r="L35" s="455">
        <v>0</v>
      </c>
      <c r="M35" s="456">
        <f t="shared" si="7"/>
        <v>0</v>
      </c>
      <c r="N35" s="456">
        <f t="shared" si="9"/>
        <v>0</v>
      </c>
      <c r="O35" s="439">
        <f t="shared" si="11"/>
        <v>0</v>
      </c>
      <c r="P35" s="2"/>
      <c r="Q35" s="4"/>
      <c r="R35" s="2"/>
      <c r="S35" s="2"/>
    </row>
    <row r="36" spans="1:19" s="421" customFormat="1">
      <c r="A36" s="461">
        <f t="shared" si="2"/>
        <v>26</v>
      </c>
      <c r="B36" s="390" t="s">
        <v>1040</v>
      </c>
      <c r="C36" s="437">
        <f t="shared" si="3"/>
        <v>0</v>
      </c>
      <c r="D36" s="437">
        <f t="shared" si="4"/>
        <v>0</v>
      </c>
      <c r="E36" s="437">
        <f t="shared" si="5"/>
        <v>0</v>
      </c>
      <c r="F36" s="474"/>
      <c r="G36" s="461"/>
      <c r="H36" s="455">
        <v>0</v>
      </c>
      <c r="I36" s="456">
        <f t="shared" si="6"/>
        <v>0</v>
      </c>
      <c r="J36" s="456">
        <f t="shared" si="8"/>
        <v>0</v>
      </c>
      <c r="K36" s="439">
        <f t="shared" si="10"/>
        <v>0</v>
      </c>
      <c r="L36" s="455">
        <v>0</v>
      </c>
      <c r="M36" s="456">
        <f t="shared" si="7"/>
        <v>0</v>
      </c>
      <c r="N36" s="456">
        <f t="shared" si="9"/>
        <v>0</v>
      </c>
      <c r="O36" s="439">
        <f t="shared" si="11"/>
        <v>0</v>
      </c>
      <c r="P36" s="2"/>
      <c r="Q36" s="4"/>
      <c r="R36" s="2"/>
      <c r="S36" s="2"/>
    </row>
    <row r="37" spans="1:19" s="421" customFormat="1">
      <c r="A37" s="461">
        <f t="shared" si="2"/>
        <v>27</v>
      </c>
      <c r="B37" s="390" t="s">
        <v>1040</v>
      </c>
      <c r="C37" s="437">
        <f t="shared" si="3"/>
        <v>0</v>
      </c>
      <c r="D37" s="437">
        <f t="shared" si="4"/>
        <v>0</v>
      </c>
      <c r="E37" s="437">
        <f t="shared" si="5"/>
        <v>0</v>
      </c>
      <c r="F37" s="474"/>
      <c r="G37" s="461"/>
      <c r="H37" s="455">
        <v>0</v>
      </c>
      <c r="I37" s="456">
        <f t="shared" si="6"/>
        <v>0</v>
      </c>
      <c r="J37" s="456">
        <f t="shared" si="8"/>
        <v>0</v>
      </c>
      <c r="K37" s="439">
        <f t="shared" si="10"/>
        <v>0</v>
      </c>
      <c r="L37" s="455">
        <v>0</v>
      </c>
      <c r="M37" s="456">
        <f t="shared" si="7"/>
        <v>0</v>
      </c>
      <c r="N37" s="456">
        <f t="shared" si="9"/>
        <v>0</v>
      </c>
      <c r="O37" s="439">
        <f t="shared" si="11"/>
        <v>0</v>
      </c>
      <c r="P37" s="2"/>
      <c r="Q37" s="4"/>
      <c r="R37" s="2"/>
      <c r="S37" s="2"/>
    </row>
    <row r="38" spans="1:19" s="421" customFormat="1">
      <c r="A38" s="461">
        <f t="shared" si="2"/>
        <v>28</v>
      </c>
      <c r="B38" s="390" t="s">
        <v>1040</v>
      </c>
      <c r="C38" s="437">
        <f t="shared" si="3"/>
        <v>0</v>
      </c>
      <c r="D38" s="437">
        <f t="shared" si="4"/>
        <v>0</v>
      </c>
      <c r="E38" s="437">
        <f t="shared" si="5"/>
        <v>0</v>
      </c>
      <c r="F38" s="474"/>
      <c r="G38" s="461"/>
      <c r="H38" s="455">
        <v>0</v>
      </c>
      <c r="I38" s="456">
        <f t="shared" si="6"/>
        <v>0</v>
      </c>
      <c r="J38" s="456">
        <f t="shared" si="8"/>
        <v>0</v>
      </c>
      <c r="K38" s="439">
        <f t="shared" si="10"/>
        <v>0</v>
      </c>
      <c r="L38" s="455">
        <v>0</v>
      </c>
      <c r="M38" s="456">
        <f t="shared" si="7"/>
        <v>0</v>
      </c>
      <c r="N38" s="456">
        <f t="shared" si="9"/>
        <v>0</v>
      </c>
      <c r="O38" s="439">
        <f t="shared" si="11"/>
        <v>0</v>
      </c>
      <c r="P38" s="2"/>
      <c r="Q38" s="4"/>
      <c r="R38" s="2"/>
      <c r="S38" s="2"/>
    </row>
    <row r="39" spans="1:19" s="421" customFormat="1">
      <c r="A39" s="461">
        <f t="shared" si="2"/>
        <v>29</v>
      </c>
      <c r="B39" s="390" t="s">
        <v>1040</v>
      </c>
      <c r="C39" s="437">
        <f t="shared" si="3"/>
        <v>0</v>
      </c>
      <c r="D39" s="437">
        <f t="shared" si="4"/>
        <v>0</v>
      </c>
      <c r="E39" s="437">
        <f t="shared" si="5"/>
        <v>0</v>
      </c>
      <c r="F39" s="474"/>
      <c r="G39" s="461"/>
      <c r="H39" s="455">
        <v>0</v>
      </c>
      <c r="I39" s="456">
        <f t="shared" si="6"/>
        <v>0</v>
      </c>
      <c r="J39" s="456">
        <f t="shared" si="8"/>
        <v>0</v>
      </c>
      <c r="K39" s="439">
        <f t="shared" si="10"/>
        <v>0</v>
      </c>
      <c r="L39" s="455">
        <v>0</v>
      </c>
      <c r="M39" s="456">
        <f t="shared" si="7"/>
        <v>0</v>
      </c>
      <c r="N39" s="456">
        <f t="shared" si="9"/>
        <v>0</v>
      </c>
      <c r="O39" s="439">
        <f t="shared" si="11"/>
        <v>0</v>
      </c>
      <c r="P39" s="2"/>
      <c r="Q39" s="4"/>
      <c r="R39" s="2"/>
      <c r="S39" s="2"/>
    </row>
    <row r="40" spans="1:19" s="421" customFormat="1">
      <c r="A40" s="461">
        <f t="shared" si="2"/>
        <v>30</v>
      </c>
      <c r="B40" s="390" t="s">
        <v>1040</v>
      </c>
      <c r="C40" s="437">
        <f t="shared" si="3"/>
        <v>0</v>
      </c>
      <c r="D40" s="437">
        <f t="shared" si="4"/>
        <v>0</v>
      </c>
      <c r="E40" s="437">
        <f t="shared" si="5"/>
        <v>0</v>
      </c>
      <c r="F40" s="474"/>
      <c r="G40" s="461"/>
      <c r="H40" s="455">
        <v>0</v>
      </c>
      <c r="I40" s="456">
        <f t="shared" si="6"/>
        <v>0</v>
      </c>
      <c r="J40" s="456">
        <f t="shared" si="8"/>
        <v>0</v>
      </c>
      <c r="K40" s="439">
        <f t="shared" si="10"/>
        <v>0</v>
      </c>
      <c r="L40" s="455">
        <v>0</v>
      </c>
      <c r="M40" s="456">
        <f t="shared" si="7"/>
        <v>0</v>
      </c>
      <c r="N40" s="456">
        <f t="shared" si="9"/>
        <v>0</v>
      </c>
      <c r="O40" s="439">
        <f t="shared" si="11"/>
        <v>0</v>
      </c>
      <c r="P40" s="2"/>
      <c r="Q40" s="4"/>
      <c r="R40" s="2"/>
      <c r="S40" s="2"/>
    </row>
    <row r="41" spans="1:19" s="421" customFormat="1">
      <c r="A41" s="461">
        <f t="shared" si="2"/>
        <v>31</v>
      </c>
      <c r="B41" s="390" t="s">
        <v>1040</v>
      </c>
      <c r="C41" s="437">
        <f t="shared" si="3"/>
        <v>0</v>
      </c>
      <c r="D41" s="437">
        <f t="shared" si="4"/>
        <v>0</v>
      </c>
      <c r="E41" s="437">
        <f t="shared" si="5"/>
        <v>0</v>
      </c>
      <c r="F41" s="474"/>
      <c r="G41" s="461"/>
      <c r="H41" s="455">
        <v>0</v>
      </c>
      <c r="I41" s="456">
        <f t="shared" si="6"/>
        <v>0</v>
      </c>
      <c r="J41" s="456">
        <f t="shared" si="8"/>
        <v>0</v>
      </c>
      <c r="K41" s="439">
        <f t="shared" si="10"/>
        <v>0</v>
      </c>
      <c r="L41" s="455">
        <v>0</v>
      </c>
      <c r="M41" s="456">
        <f t="shared" si="7"/>
        <v>0</v>
      </c>
      <c r="N41" s="456">
        <f t="shared" si="9"/>
        <v>0</v>
      </c>
      <c r="O41" s="439">
        <f t="shared" si="11"/>
        <v>0</v>
      </c>
      <c r="P41" s="2"/>
      <c r="Q41" s="4"/>
      <c r="R41" s="2"/>
      <c r="S41" s="2"/>
    </row>
    <row r="42" spans="1:19" s="421" customFormat="1">
      <c r="A42" s="461">
        <f t="shared" si="2"/>
        <v>32</v>
      </c>
      <c r="B42" s="390" t="s">
        <v>1040</v>
      </c>
      <c r="C42" s="437">
        <f t="shared" si="3"/>
        <v>0</v>
      </c>
      <c r="D42" s="437">
        <f t="shared" si="4"/>
        <v>0</v>
      </c>
      <c r="E42" s="437">
        <f t="shared" si="5"/>
        <v>0</v>
      </c>
      <c r="F42" s="474"/>
      <c r="G42" s="461"/>
      <c r="H42" s="455">
        <v>0</v>
      </c>
      <c r="I42" s="456">
        <f t="shared" si="6"/>
        <v>0</v>
      </c>
      <c r="J42" s="456">
        <f t="shared" si="8"/>
        <v>0</v>
      </c>
      <c r="K42" s="439">
        <f t="shared" si="10"/>
        <v>0</v>
      </c>
      <c r="L42" s="455">
        <v>0</v>
      </c>
      <c r="M42" s="456">
        <f t="shared" si="7"/>
        <v>0</v>
      </c>
      <c r="N42" s="456">
        <f t="shared" si="9"/>
        <v>0</v>
      </c>
      <c r="O42" s="439">
        <f t="shared" si="11"/>
        <v>0</v>
      </c>
      <c r="P42" s="2"/>
      <c r="Q42" s="4"/>
      <c r="R42" s="2"/>
      <c r="S42" s="2"/>
    </row>
    <row r="43" spans="1:19" s="421" customFormat="1">
      <c r="A43" s="461"/>
      <c r="B43" s="461"/>
      <c r="G43" s="461"/>
      <c r="H43" s="478"/>
      <c r="I43" s="445"/>
      <c r="J43" s="445"/>
      <c r="K43" s="481"/>
      <c r="L43" s="483"/>
      <c r="M43" s="445"/>
      <c r="N43" s="445"/>
      <c r="O43" s="484"/>
      <c r="P43" s="2"/>
      <c r="Q43" s="4"/>
      <c r="R43" s="2"/>
      <c r="S43" s="2"/>
    </row>
    <row r="44" spans="1:19" s="421" customFormat="1">
      <c r="A44" s="461">
        <v>33</v>
      </c>
      <c r="B44" s="384" t="s">
        <v>542</v>
      </c>
      <c r="C44" s="391"/>
      <c r="D44" s="394">
        <f>SUM(D31:D42)</f>
        <v>0</v>
      </c>
      <c r="E44" s="391"/>
      <c r="G44" s="461"/>
      <c r="H44" s="477"/>
      <c r="I44" s="394">
        <f>SUM(I31:I42)</f>
        <v>0</v>
      </c>
      <c r="J44" s="392"/>
      <c r="K44" s="481"/>
      <c r="L44" s="477"/>
      <c r="M44" s="394">
        <f>SUM(M31:M42)</f>
        <v>0</v>
      </c>
      <c r="N44" s="392"/>
      <c r="O44" s="484"/>
      <c r="P44" s="2"/>
      <c r="Q44" s="4"/>
      <c r="R44" s="2"/>
      <c r="S44" s="2"/>
    </row>
    <row r="45" spans="1:19" s="421" customFormat="1">
      <c r="A45" s="461">
        <v>34</v>
      </c>
      <c r="B45" s="384" t="s">
        <v>543</v>
      </c>
      <c r="C45" s="391">
        <f>SUM(C30:C42)/13</f>
        <v>0</v>
      </c>
      <c r="D45" s="396"/>
      <c r="E45" s="391">
        <f>SUM(E30:E42)/13</f>
        <v>0</v>
      </c>
      <c r="G45" s="461"/>
      <c r="H45" s="477">
        <f>SUM(H30:H42)/13</f>
        <v>0</v>
      </c>
      <c r="I45" s="396"/>
      <c r="J45" s="392">
        <f>SUM(J30:J42)/13</f>
        <v>0</v>
      </c>
      <c r="K45" s="393">
        <f>SUM(K30:K42)/13</f>
        <v>0</v>
      </c>
      <c r="L45" s="477">
        <f>SUM(L30:L42)/13</f>
        <v>0</v>
      </c>
      <c r="M45" s="396"/>
      <c r="N45" s="392">
        <f>SUM(N30:N42)/13</f>
        <v>0</v>
      </c>
      <c r="O45" s="393">
        <f>SUM(O30:O42)/13</f>
        <v>0</v>
      </c>
      <c r="P45" s="2"/>
      <c r="Q45" s="4"/>
      <c r="R45" s="2"/>
      <c r="S45" s="2"/>
    </row>
    <row r="46" spans="1:19" s="421" customFormat="1" ht="15.75" thickBot="1">
      <c r="A46" s="448"/>
      <c r="B46" s="384"/>
      <c r="G46" s="461"/>
      <c r="H46" s="478"/>
      <c r="I46" s="445"/>
      <c r="J46" s="445"/>
      <c r="K46" s="481"/>
      <c r="L46" s="483"/>
      <c r="M46" s="445"/>
      <c r="N46" s="445"/>
      <c r="O46" s="484"/>
      <c r="P46" s="2"/>
      <c r="Q46" s="4"/>
      <c r="R46" s="2"/>
      <c r="S46" s="2"/>
    </row>
    <row r="47" spans="1:19" s="421" customFormat="1" ht="15.75" thickBot="1">
      <c r="A47" s="461">
        <v>35</v>
      </c>
      <c r="B47" s="384" t="s">
        <v>816</v>
      </c>
      <c r="F47" s="485">
        <f>O47+K47</f>
        <v>0</v>
      </c>
      <c r="G47" s="461"/>
      <c r="H47" s="478"/>
      <c r="I47" s="445"/>
      <c r="J47" s="384"/>
      <c r="K47" s="428">
        <f>ROUND(K45*I11,2)</f>
        <v>0</v>
      </c>
      <c r="L47" s="483"/>
      <c r="M47" s="445"/>
      <c r="N47" s="384"/>
      <c r="O47" s="428">
        <f>ROUND(O45*M11,2)</f>
        <v>0</v>
      </c>
      <c r="P47" s="2"/>
      <c r="Q47" s="4"/>
      <c r="R47" s="2"/>
      <c r="S47" s="2"/>
    </row>
    <row r="48" spans="1:19" s="421" customFormat="1">
      <c r="A48" s="461"/>
      <c r="G48" s="461"/>
      <c r="H48" s="478"/>
      <c r="I48" s="445"/>
      <c r="J48" s="384"/>
      <c r="K48" s="428"/>
      <c r="L48" s="483"/>
      <c r="M48" s="445"/>
      <c r="N48" s="384"/>
      <c r="O48" s="428"/>
      <c r="P48" s="2"/>
      <c r="Q48" s="4"/>
      <c r="R48" s="2"/>
      <c r="S48" s="2"/>
    </row>
    <row r="49" spans="1:19" s="421" customFormat="1">
      <c r="A49" s="448"/>
      <c r="B49" s="461"/>
      <c r="G49" s="461"/>
      <c r="H49" s="440"/>
      <c r="I49" s="441"/>
      <c r="J49" s="441"/>
      <c r="K49" s="482"/>
      <c r="L49" s="442"/>
      <c r="M49" s="441"/>
      <c r="N49" s="441"/>
      <c r="O49" s="444"/>
      <c r="P49" s="2"/>
      <c r="Q49" s="4"/>
      <c r="R49" s="2"/>
      <c r="S49" s="2"/>
    </row>
    <row r="50" spans="1:19" s="421" customFormat="1">
      <c r="A50" s="464" t="s">
        <v>191</v>
      </c>
      <c r="B50" s="461"/>
      <c r="G50" s="461"/>
      <c r="H50" s="445"/>
      <c r="I50" s="445"/>
      <c r="J50" s="445"/>
      <c r="K50" s="445"/>
      <c r="L50" s="446"/>
      <c r="M50" s="445"/>
      <c r="N50" s="445"/>
      <c r="O50" s="447"/>
      <c r="P50" s="2"/>
      <c r="Q50" s="4"/>
      <c r="R50" s="2"/>
      <c r="S50" s="2"/>
    </row>
    <row r="51" spans="1:19" s="421" customFormat="1">
      <c r="A51" s="448" t="s">
        <v>84</v>
      </c>
      <c r="B51" s="462" t="s">
        <v>790</v>
      </c>
      <c r="G51" s="461"/>
      <c r="H51" s="445"/>
      <c r="I51" s="445"/>
      <c r="J51" s="445"/>
      <c r="K51" s="445"/>
      <c r="L51" s="446"/>
      <c r="M51" s="445"/>
      <c r="N51" s="445"/>
      <c r="O51" s="447"/>
      <c r="P51" s="2"/>
      <c r="Q51" s="4"/>
      <c r="R51" s="2"/>
      <c r="S51" s="2"/>
    </row>
    <row r="52" spans="1:19" s="20" customFormat="1" ht="15" customHeight="1">
      <c r="A52" s="448" t="s">
        <v>85</v>
      </c>
      <c r="B52" s="462" t="s">
        <v>791</v>
      </c>
      <c r="C52" s="56"/>
      <c r="D52" s="56"/>
      <c r="E52" s="56"/>
      <c r="F52" s="56"/>
      <c r="G52" s="459"/>
      <c r="H52" s="2"/>
      <c r="I52" s="9"/>
      <c r="J52" s="9"/>
      <c r="P52" s="2"/>
      <c r="Q52" s="4"/>
      <c r="R52" s="2"/>
      <c r="S52" s="2"/>
    </row>
    <row r="53" spans="1:19" s="20" customFormat="1" ht="15" customHeight="1">
      <c r="A53" s="448"/>
      <c r="B53" s="462"/>
      <c r="C53" s="56"/>
      <c r="D53" s="56"/>
      <c r="E53" s="56"/>
      <c r="F53" s="56"/>
      <c r="G53" s="459"/>
      <c r="H53" s="2"/>
      <c r="I53" s="9"/>
      <c r="J53" s="9"/>
      <c r="P53" s="2"/>
      <c r="Q53" s="4"/>
      <c r="R53" s="2"/>
      <c r="S53" s="2"/>
    </row>
    <row r="54" spans="1:19" ht="15" customHeight="1">
      <c r="A54" s="54"/>
      <c r="B54" s="55"/>
      <c r="C54" s="56"/>
      <c r="D54" s="56"/>
      <c r="E54" s="56"/>
      <c r="F54" s="56"/>
      <c r="G54" s="459"/>
      <c r="I54" s="9"/>
      <c r="J54" s="9"/>
    </row>
    <row r="55" spans="1:19" ht="15" customHeight="1">
      <c r="A55" s="54"/>
      <c r="B55" s="55"/>
      <c r="C55" s="56"/>
      <c r="D55" s="56"/>
      <c r="E55" s="56"/>
      <c r="F55" s="56"/>
      <c r="G55" s="459"/>
      <c r="I55" s="9"/>
      <c r="J55" s="9"/>
    </row>
    <row r="56" spans="1:19" ht="15" customHeight="1">
      <c r="A56" s="54"/>
      <c r="B56" s="55"/>
      <c r="C56" s="56"/>
      <c r="D56" s="56"/>
      <c r="E56" s="56"/>
      <c r="F56" s="56"/>
      <c r="G56" s="459"/>
      <c r="I56" s="9"/>
      <c r="J56" s="9"/>
    </row>
    <row r="57" spans="1:19" ht="15" customHeight="1">
      <c r="A57" s="54"/>
      <c r="B57" s="55"/>
      <c r="C57" s="56"/>
      <c r="D57" s="56"/>
      <c r="E57" s="56"/>
      <c r="F57" s="56"/>
      <c r="G57" s="459"/>
      <c r="I57" s="9"/>
      <c r="J57" s="9"/>
    </row>
    <row r="58" spans="1:19" ht="15" customHeight="1">
      <c r="A58" s="54"/>
      <c r="B58" s="55"/>
      <c r="C58" s="56"/>
      <c r="D58" s="56"/>
      <c r="E58" s="56"/>
      <c r="F58" s="56"/>
      <c r="G58" s="459"/>
      <c r="I58" s="9"/>
      <c r="J58" s="9"/>
    </row>
    <row r="59" spans="1:19" ht="15" customHeight="1">
      <c r="A59" s="54"/>
      <c r="B59" s="55"/>
      <c r="C59" s="56"/>
      <c r="D59" s="56"/>
      <c r="E59" s="56"/>
      <c r="F59" s="56"/>
      <c r="G59" s="459"/>
      <c r="I59" s="9"/>
      <c r="J59" s="9"/>
    </row>
    <row r="60" spans="1:19">
      <c r="A60" s="54"/>
      <c r="B60" s="55"/>
      <c r="C60" s="56"/>
      <c r="D60" s="56"/>
      <c r="E60" s="56"/>
      <c r="F60" s="56"/>
      <c r="G60" s="459"/>
      <c r="I60" s="9"/>
      <c r="J60" s="9"/>
    </row>
    <row r="61" spans="1:19">
      <c r="A61" s="54"/>
      <c r="B61" s="55"/>
      <c r="C61" s="56"/>
      <c r="D61" s="56"/>
      <c r="E61" s="56"/>
      <c r="F61" s="56"/>
      <c r="G61" s="459"/>
      <c r="I61" s="9"/>
      <c r="J61" s="9"/>
    </row>
    <row r="62" spans="1:19">
      <c r="A62" s="54"/>
      <c r="B62" s="55"/>
      <c r="C62" s="56"/>
      <c r="D62" s="56"/>
      <c r="E62" s="56"/>
      <c r="F62" s="56"/>
      <c r="G62" s="459"/>
      <c r="I62" s="9"/>
      <c r="J62" s="9"/>
    </row>
    <row r="63" spans="1:19">
      <c r="A63" s="54"/>
      <c r="B63" s="55"/>
      <c r="C63" s="56"/>
      <c r="D63" s="56"/>
      <c r="E63" s="56"/>
      <c r="F63" s="56"/>
      <c r="G63" s="459"/>
      <c r="I63" s="9"/>
      <c r="J63" s="9"/>
    </row>
    <row r="64" spans="1:19">
      <c r="A64" s="54"/>
      <c r="B64" s="55"/>
      <c r="C64" s="56"/>
      <c r="D64" s="56"/>
      <c r="E64" s="56"/>
      <c r="F64" s="56"/>
      <c r="G64" s="459"/>
      <c r="I64" s="9"/>
      <c r="J64" s="9"/>
    </row>
    <row r="65" spans="1:10">
      <c r="A65" s="54"/>
      <c r="B65" s="55"/>
      <c r="C65" s="56"/>
      <c r="D65" s="56"/>
      <c r="E65" s="56"/>
      <c r="F65" s="56"/>
      <c r="G65" s="459"/>
      <c r="I65" s="9"/>
      <c r="J65" s="9"/>
    </row>
    <row r="66" spans="1:10">
      <c r="A66" s="54"/>
      <c r="B66" s="55"/>
      <c r="C66" s="56"/>
      <c r="D66" s="56"/>
      <c r="E66" s="56"/>
      <c r="F66" s="56"/>
      <c r="G66" s="459"/>
      <c r="I66" s="9"/>
      <c r="J66" s="9"/>
    </row>
    <row r="67" spans="1:10">
      <c r="A67" s="54"/>
      <c r="B67" s="55"/>
      <c r="C67" s="56"/>
      <c r="D67" s="56"/>
      <c r="E67" s="56"/>
      <c r="F67" s="56"/>
      <c r="G67" s="459"/>
      <c r="I67" s="9"/>
      <c r="J67" s="9"/>
    </row>
    <row r="68" spans="1:10">
      <c r="A68" s="54"/>
      <c r="B68" s="55"/>
      <c r="C68" s="56"/>
      <c r="D68" s="56"/>
      <c r="E68" s="56"/>
      <c r="F68" s="56"/>
      <c r="G68" s="459"/>
      <c r="I68" s="9"/>
      <c r="J68" s="9"/>
    </row>
    <row r="69" spans="1:10">
      <c r="A69" s="54"/>
      <c r="B69" s="55"/>
      <c r="C69" s="56"/>
      <c r="D69" s="56"/>
      <c r="E69" s="56"/>
      <c r="F69" s="56"/>
      <c r="G69" s="459"/>
      <c r="I69" s="9"/>
      <c r="J69" s="9"/>
    </row>
    <row r="70" spans="1:10">
      <c r="A70" s="54"/>
      <c r="B70" s="55"/>
      <c r="C70" s="56"/>
      <c r="D70" s="56"/>
      <c r="E70" s="56"/>
      <c r="F70" s="56"/>
      <c r="G70" s="459"/>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410"/>
    </row>
    <row r="130" spans="11:15" ht="15" customHeight="1">
      <c r="K130" s="410"/>
      <c r="L130" s="8"/>
    </row>
    <row r="131" spans="11:15" ht="30.75" customHeight="1">
      <c r="K131" s="57"/>
    </row>
    <row r="132" spans="11:15">
      <c r="K132" s="57"/>
    </row>
    <row r="133" spans="11:15">
      <c r="K133" s="58"/>
      <c r="L133" s="58"/>
      <c r="M133" s="58"/>
      <c r="N133" s="58"/>
    </row>
    <row r="134" spans="11:15">
      <c r="K134" s="7"/>
    </row>
    <row r="135" spans="11:15" ht="30.75" customHeight="1">
      <c r="K135" s="411"/>
      <c r="L135" s="411"/>
      <c r="M135" s="411"/>
      <c r="N135" s="411"/>
      <c r="O135" s="411"/>
    </row>
    <row r="136" spans="11:15" ht="15" customHeight="1">
      <c r="K136" s="411"/>
    </row>
    <row r="137" spans="11:15" ht="82.5" customHeight="1">
      <c r="K137" s="411"/>
      <c r="L137" s="411"/>
      <c r="M137" s="411"/>
      <c r="N137" s="411"/>
      <c r="O137" s="411"/>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75" right="0.75" top="1" bottom="1" header="0.5" footer="0.5"/>
  <pageSetup scale="41" fitToHeight="2" orientation="portrait" r:id="rId1"/>
  <headerFooter alignWithMargins="0"/>
  <rowBreaks count="1" manualBreakCount="1">
    <brk id="53" max="14" man="1"/>
  </rowBreaks>
  <ignoredErrors>
    <ignoredError sqref="H45:N45"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P136"/>
  <sheetViews>
    <sheetView topLeftCell="A31" zoomScale="75" zoomScaleNormal="75" workbookViewId="0">
      <selection activeCell="M88" sqref="M88"/>
    </sheetView>
  </sheetViews>
  <sheetFormatPr defaultColWidth="8.88671875" defaultRowHeight="12.75"/>
  <cols>
    <col min="1" max="1" width="5.21875" style="723" customWidth="1"/>
    <col min="2" max="2" width="9.109375" style="723" customWidth="1"/>
    <col min="3" max="4" width="7.5546875" style="723" customWidth="1"/>
    <col min="5" max="5" width="8.88671875" style="723" customWidth="1"/>
    <col min="6" max="6" width="7.5546875" style="723" customWidth="1"/>
    <col min="7" max="7" width="2.109375" style="723" customWidth="1"/>
    <col min="8" max="9" width="11.44140625" style="723" customWidth="1"/>
    <col min="10" max="10" width="13.44140625" style="723" customWidth="1"/>
    <col min="11" max="11" width="1.44140625" style="758" customWidth="1"/>
    <col min="12" max="16384" width="8.88671875" style="723"/>
  </cols>
  <sheetData>
    <row r="1" spans="1:11" s="722" customFormat="1">
      <c r="A1" s="854" t="s">
        <v>978</v>
      </c>
      <c r="B1" s="854"/>
      <c r="C1" s="854"/>
      <c r="D1" s="854"/>
      <c r="E1" s="854"/>
      <c r="F1" s="854"/>
      <c r="G1" s="854"/>
      <c r="H1" s="854"/>
      <c r="I1" s="854"/>
      <c r="J1" s="854"/>
      <c r="K1" s="854"/>
    </row>
    <row r="2" spans="1:11" s="722" customFormat="1">
      <c r="A2" s="854" t="s">
        <v>221</v>
      </c>
      <c r="B2" s="854"/>
      <c r="C2" s="854"/>
      <c r="D2" s="854"/>
      <c r="E2" s="854"/>
      <c r="F2" s="854"/>
      <c r="G2" s="854"/>
      <c r="H2" s="854"/>
      <c r="I2" s="854"/>
      <c r="J2" s="854"/>
      <c r="K2" s="854"/>
    </row>
    <row r="3" spans="1:11" s="722" customFormat="1">
      <c r="A3" s="855" t="str">
        <f>'Act Att-H'!C7</f>
        <v>Cheyenne Light, Fuel &amp; Power</v>
      </c>
      <c r="B3" s="855"/>
      <c r="C3" s="855"/>
      <c r="D3" s="855"/>
      <c r="E3" s="855"/>
      <c r="F3" s="855"/>
      <c r="G3" s="855"/>
      <c r="H3" s="855"/>
      <c r="I3" s="855"/>
      <c r="J3" s="855"/>
      <c r="K3" s="855"/>
    </row>
    <row r="4" spans="1:11" s="722" customFormat="1">
      <c r="A4" s="714"/>
      <c r="B4" s="714"/>
      <c r="C4" s="714"/>
      <c r="D4" s="714"/>
      <c r="E4" s="714"/>
      <c r="F4" s="714"/>
      <c r="G4" s="714"/>
      <c r="H4" s="714"/>
      <c r="I4" s="714"/>
      <c r="J4" s="759" t="s">
        <v>980</v>
      </c>
    </row>
    <row r="5" spans="1:11">
      <c r="I5" s="724" t="s">
        <v>951</v>
      </c>
      <c r="J5" s="782">
        <v>2020</v>
      </c>
    </row>
    <row r="6" spans="1:11">
      <c r="A6" s="723">
        <v>1</v>
      </c>
      <c r="B6" s="725" t="s">
        <v>952</v>
      </c>
      <c r="H6" s="726"/>
      <c r="I6" s="726"/>
      <c r="J6" s="726"/>
      <c r="K6" s="729"/>
    </row>
    <row r="7" spans="1:11">
      <c r="A7" s="723">
        <f>+A6+1</f>
        <v>2</v>
      </c>
      <c r="B7" s="896" t="s">
        <v>953</v>
      </c>
      <c r="C7" s="897"/>
      <c r="D7" s="897"/>
      <c r="E7" s="897"/>
      <c r="F7" s="898"/>
      <c r="G7" s="727"/>
      <c r="H7" s="896" t="s">
        <v>954</v>
      </c>
      <c r="I7" s="897"/>
      <c r="J7" s="898"/>
      <c r="K7" s="729"/>
    </row>
    <row r="8" spans="1:11">
      <c r="B8" s="728" t="s">
        <v>84</v>
      </c>
      <c r="C8" s="728" t="s">
        <v>85</v>
      </c>
      <c r="D8" s="728" t="s">
        <v>86</v>
      </c>
      <c r="E8" s="728" t="s">
        <v>87</v>
      </c>
      <c r="F8" s="728" t="s">
        <v>88</v>
      </c>
      <c r="G8" s="727"/>
      <c r="H8" s="728" t="s">
        <v>89</v>
      </c>
      <c r="I8" s="728" t="s">
        <v>90</v>
      </c>
      <c r="J8" s="728" t="s">
        <v>494</v>
      </c>
      <c r="K8" s="729"/>
    </row>
    <row r="9" spans="1:11" ht="51">
      <c r="A9" s="723">
        <f>+A7+1</f>
        <v>3</v>
      </c>
      <c r="B9" s="730" t="s">
        <v>294</v>
      </c>
      <c r="C9" s="730" t="s">
        <v>955</v>
      </c>
      <c r="D9" s="730" t="s">
        <v>956</v>
      </c>
      <c r="E9" s="730" t="s">
        <v>957</v>
      </c>
      <c r="F9" s="730" t="s">
        <v>958</v>
      </c>
      <c r="G9" s="731"/>
      <c r="H9" s="730" t="s">
        <v>959</v>
      </c>
      <c r="I9" s="730" t="s">
        <v>960</v>
      </c>
      <c r="J9" s="730" t="s">
        <v>961</v>
      </c>
      <c r="K9" s="731"/>
    </row>
    <row r="10" spans="1:11">
      <c r="A10" s="723">
        <f t="shared" ref="A10:A24" si="0">+A9+1</f>
        <v>4</v>
      </c>
      <c r="C10" s="731"/>
      <c r="D10" s="731"/>
      <c r="E10" s="731"/>
      <c r="F10" s="731"/>
      <c r="G10" s="731"/>
      <c r="H10" s="731"/>
      <c r="I10" s="731"/>
      <c r="J10" s="731"/>
      <c r="K10" s="731"/>
    </row>
    <row r="11" spans="1:11">
      <c r="A11" s="723">
        <f t="shared" si="0"/>
        <v>5</v>
      </c>
      <c r="B11" s="732" t="s">
        <v>962</v>
      </c>
      <c r="C11" s="733"/>
      <c r="D11" s="734"/>
      <c r="E11" s="734"/>
      <c r="F11" s="734"/>
      <c r="G11" s="734"/>
      <c r="H11" s="735"/>
      <c r="I11" s="735"/>
      <c r="J11" s="737">
        <v>0</v>
      </c>
      <c r="K11" s="760"/>
    </row>
    <row r="12" spans="1:11">
      <c r="A12" s="723">
        <f t="shared" si="0"/>
        <v>6</v>
      </c>
      <c r="B12" s="733" t="s">
        <v>182</v>
      </c>
      <c r="C12" s="736">
        <v>31</v>
      </c>
      <c r="D12" s="737">
        <v>0</v>
      </c>
      <c r="E12" s="737">
        <v>0</v>
      </c>
      <c r="F12" s="755">
        <f>IF(E12=0,0,D12/E12)</f>
        <v>0</v>
      </c>
      <c r="G12" s="738"/>
      <c r="H12" s="737">
        <v>0</v>
      </c>
      <c r="I12" s="739">
        <f>+H12*F12</f>
        <v>0</v>
      </c>
      <c r="J12" s="739">
        <f t="shared" ref="J12:J23" si="1">+I12+J11</f>
        <v>0</v>
      </c>
      <c r="K12" s="760"/>
    </row>
    <row r="13" spans="1:11">
      <c r="A13" s="723">
        <f t="shared" si="0"/>
        <v>7</v>
      </c>
      <c r="B13" s="733" t="s">
        <v>183</v>
      </c>
      <c r="C13" s="740">
        <v>28</v>
      </c>
      <c r="D13" s="737">
        <v>0</v>
      </c>
      <c r="E13" s="737">
        <v>0</v>
      </c>
      <c r="F13" s="755">
        <f t="shared" ref="F13:F23" si="2">IF(E13=0,0,D13/E13)</f>
        <v>0</v>
      </c>
      <c r="G13" s="738"/>
      <c r="H13" s="737">
        <v>0</v>
      </c>
      <c r="I13" s="739">
        <f t="shared" ref="I13:I23" si="3">+H13*F13</f>
        <v>0</v>
      </c>
      <c r="J13" s="739">
        <f t="shared" si="1"/>
        <v>0</v>
      </c>
      <c r="K13" s="760"/>
    </row>
    <row r="14" spans="1:11">
      <c r="A14" s="723">
        <f t="shared" si="0"/>
        <v>8</v>
      </c>
      <c r="B14" s="733" t="s">
        <v>571</v>
      </c>
      <c r="C14" s="736">
        <v>31</v>
      </c>
      <c r="D14" s="737">
        <v>0</v>
      </c>
      <c r="E14" s="737">
        <v>0</v>
      </c>
      <c r="F14" s="755">
        <f t="shared" si="2"/>
        <v>0</v>
      </c>
      <c r="G14" s="738"/>
      <c r="H14" s="737">
        <v>0</v>
      </c>
      <c r="I14" s="739">
        <f t="shared" si="3"/>
        <v>0</v>
      </c>
      <c r="J14" s="739">
        <f t="shared" si="1"/>
        <v>0</v>
      </c>
      <c r="K14" s="760"/>
    </row>
    <row r="15" spans="1:11">
      <c r="A15" s="723">
        <f t="shared" si="0"/>
        <v>9</v>
      </c>
      <c r="B15" s="733" t="s">
        <v>184</v>
      </c>
      <c r="C15" s="736">
        <v>30</v>
      </c>
      <c r="D15" s="737">
        <v>0</v>
      </c>
      <c r="E15" s="737">
        <v>0</v>
      </c>
      <c r="F15" s="755">
        <f t="shared" si="2"/>
        <v>0</v>
      </c>
      <c r="G15" s="738"/>
      <c r="H15" s="737">
        <v>0</v>
      </c>
      <c r="I15" s="739">
        <f t="shared" si="3"/>
        <v>0</v>
      </c>
      <c r="J15" s="739">
        <f t="shared" si="1"/>
        <v>0</v>
      </c>
      <c r="K15" s="760"/>
    </row>
    <row r="16" spans="1:11">
      <c r="A16" s="723">
        <f t="shared" si="0"/>
        <v>10</v>
      </c>
      <c r="B16" s="733" t="s">
        <v>185</v>
      </c>
      <c r="C16" s="736">
        <v>31</v>
      </c>
      <c r="D16" s="737">
        <v>0</v>
      </c>
      <c r="E16" s="737">
        <v>0</v>
      </c>
      <c r="F16" s="755">
        <f t="shared" si="2"/>
        <v>0</v>
      </c>
      <c r="G16" s="738"/>
      <c r="H16" s="737">
        <v>0</v>
      </c>
      <c r="I16" s="739">
        <f t="shared" si="3"/>
        <v>0</v>
      </c>
      <c r="J16" s="739">
        <f t="shared" si="1"/>
        <v>0</v>
      </c>
      <c r="K16" s="760"/>
    </row>
    <row r="17" spans="1:11">
      <c r="A17" s="723">
        <f t="shared" si="0"/>
        <v>11</v>
      </c>
      <c r="B17" s="733" t="s">
        <v>186</v>
      </c>
      <c r="C17" s="736">
        <v>30</v>
      </c>
      <c r="D17" s="737">
        <v>0</v>
      </c>
      <c r="E17" s="737">
        <v>0</v>
      </c>
      <c r="F17" s="755">
        <f t="shared" si="2"/>
        <v>0</v>
      </c>
      <c r="G17" s="738"/>
      <c r="H17" s="737">
        <v>0</v>
      </c>
      <c r="I17" s="739">
        <f t="shared" si="3"/>
        <v>0</v>
      </c>
      <c r="J17" s="739">
        <f t="shared" si="1"/>
        <v>0</v>
      </c>
      <c r="K17" s="760"/>
    </row>
    <row r="18" spans="1:11">
      <c r="A18" s="723">
        <f t="shared" si="0"/>
        <v>12</v>
      </c>
      <c r="B18" s="733" t="s">
        <v>187</v>
      </c>
      <c r="C18" s="736">
        <v>31</v>
      </c>
      <c r="D18" s="737">
        <v>0</v>
      </c>
      <c r="E18" s="737">
        <v>0</v>
      </c>
      <c r="F18" s="755">
        <f t="shared" si="2"/>
        <v>0</v>
      </c>
      <c r="G18" s="738"/>
      <c r="H18" s="737">
        <v>0</v>
      </c>
      <c r="I18" s="739">
        <f t="shared" si="3"/>
        <v>0</v>
      </c>
      <c r="J18" s="739">
        <f t="shared" si="1"/>
        <v>0</v>
      </c>
      <c r="K18" s="760"/>
    </row>
    <row r="19" spans="1:11">
      <c r="A19" s="723">
        <f t="shared" si="0"/>
        <v>13</v>
      </c>
      <c r="B19" s="733" t="s">
        <v>572</v>
      </c>
      <c r="C19" s="736">
        <v>31</v>
      </c>
      <c r="D19" s="737">
        <v>0</v>
      </c>
      <c r="E19" s="737">
        <v>0</v>
      </c>
      <c r="F19" s="755">
        <f t="shared" si="2"/>
        <v>0</v>
      </c>
      <c r="G19" s="738"/>
      <c r="H19" s="737">
        <v>0</v>
      </c>
      <c r="I19" s="739">
        <f t="shared" si="3"/>
        <v>0</v>
      </c>
      <c r="J19" s="739">
        <f t="shared" si="1"/>
        <v>0</v>
      </c>
      <c r="K19" s="760"/>
    </row>
    <row r="20" spans="1:11">
      <c r="A20" s="723">
        <f t="shared" si="0"/>
        <v>14</v>
      </c>
      <c r="B20" s="733" t="s">
        <v>188</v>
      </c>
      <c r="C20" s="736">
        <v>30</v>
      </c>
      <c r="D20" s="737">
        <v>0</v>
      </c>
      <c r="E20" s="737">
        <v>0</v>
      </c>
      <c r="F20" s="755">
        <f t="shared" si="2"/>
        <v>0</v>
      </c>
      <c r="G20" s="738"/>
      <c r="H20" s="737">
        <v>0</v>
      </c>
      <c r="I20" s="739">
        <f t="shared" si="3"/>
        <v>0</v>
      </c>
      <c r="J20" s="739">
        <f t="shared" si="1"/>
        <v>0</v>
      </c>
      <c r="K20" s="760"/>
    </row>
    <row r="21" spans="1:11">
      <c r="A21" s="723">
        <f t="shared" si="0"/>
        <v>15</v>
      </c>
      <c r="B21" s="733" t="s">
        <v>189</v>
      </c>
      <c r="C21" s="736">
        <v>31</v>
      </c>
      <c r="D21" s="737">
        <v>0</v>
      </c>
      <c r="E21" s="737">
        <v>0</v>
      </c>
      <c r="F21" s="755">
        <f t="shared" si="2"/>
        <v>0</v>
      </c>
      <c r="G21" s="738"/>
      <c r="H21" s="737">
        <v>0</v>
      </c>
      <c r="I21" s="739">
        <f t="shared" si="3"/>
        <v>0</v>
      </c>
      <c r="J21" s="739">
        <f t="shared" si="1"/>
        <v>0</v>
      </c>
      <c r="K21" s="760"/>
    </row>
    <row r="22" spans="1:11">
      <c r="A22" s="723">
        <f t="shared" si="0"/>
        <v>16</v>
      </c>
      <c r="B22" s="733" t="s">
        <v>190</v>
      </c>
      <c r="C22" s="736">
        <v>30</v>
      </c>
      <c r="D22" s="737">
        <v>0</v>
      </c>
      <c r="E22" s="737">
        <v>0</v>
      </c>
      <c r="F22" s="755">
        <f t="shared" si="2"/>
        <v>0</v>
      </c>
      <c r="G22" s="738"/>
      <c r="H22" s="737">
        <v>0</v>
      </c>
      <c r="I22" s="739">
        <f t="shared" si="3"/>
        <v>0</v>
      </c>
      <c r="J22" s="739">
        <f t="shared" si="1"/>
        <v>0</v>
      </c>
      <c r="K22" s="760"/>
    </row>
    <row r="23" spans="1:11">
      <c r="A23" s="723">
        <f t="shared" si="0"/>
        <v>17</v>
      </c>
      <c r="B23" s="733" t="s">
        <v>573</v>
      </c>
      <c r="C23" s="736">
        <v>31</v>
      </c>
      <c r="D23" s="737">
        <v>0</v>
      </c>
      <c r="E23" s="737">
        <v>0</v>
      </c>
      <c r="F23" s="755">
        <f t="shared" si="2"/>
        <v>0</v>
      </c>
      <c r="G23" s="738"/>
      <c r="H23" s="737">
        <v>0</v>
      </c>
      <c r="I23" s="739">
        <f t="shared" si="3"/>
        <v>0</v>
      </c>
      <c r="J23" s="739">
        <f t="shared" si="1"/>
        <v>0</v>
      </c>
      <c r="K23" s="760"/>
    </row>
    <row r="24" spans="1:11">
      <c r="A24" s="723">
        <f t="shared" si="0"/>
        <v>18</v>
      </c>
      <c r="B24" s="741"/>
      <c r="C24" s="741" t="s">
        <v>9</v>
      </c>
      <c r="D24" s="741"/>
      <c r="E24" s="741"/>
      <c r="F24" s="742"/>
      <c r="G24" s="734"/>
      <c r="H24" s="743">
        <f>SUM(H12:H23)</f>
        <v>0</v>
      </c>
      <c r="I24" s="743">
        <f>SUM(I12:I23)</f>
        <v>0</v>
      </c>
      <c r="J24" s="742"/>
      <c r="K24" s="731"/>
    </row>
    <row r="25" spans="1:11">
      <c r="B25" s="745"/>
      <c r="C25" s="745"/>
      <c r="D25" s="745"/>
      <c r="E25" s="745"/>
      <c r="F25" s="744"/>
      <c r="G25" s="744"/>
      <c r="H25" s="746"/>
      <c r="I25" s="747"/>
      <c r="J25" s="744"/>
      <c r="K25" s="731"/>
    </row>
    <row r="26" spans="1:11">
      <c r="A26" s="723">
        <f>+A24+1</f>
        <v>19</v>
      </c>
      <c r="B26" s="723" t="s">
        <v>963</v>
      </c>
      <c r="F26" s="748" t="s">
        <v>964</v>
      </c>
      <c r="G26" s="744"/>
      <c r="I26" s="744"/>
      <c r="J26" s="740">
        <f>'A3-ADIT'!E15</f>
        <v>12621354</v>
      </c>
    </row>
    <row r="27" spans="1:11">
      <c r="A27" s="723">
        <f>+A26+1</f>
        <v>20</v>
      </c>
      <c r="B27" s="723" t="s">
        <v>965</v>
      </c>
      <c r="F27" s="723" t="str">
        <f>"(Line "&amp;A26&amp;" less line "&amp;A28&amp;")"</f>
        <v>(Line 19 less line 21)</v>
      </c>
      <c r="G27" s="744"/>
      <c r="I27" s="744"/>
      <c r="J27" s="720">
        <f>+J26-J28</f>
        <v>12621354</v>
      </c>
    </row>
    <row r="28" spans="1:11">
      <c r="A28" s="723">
        <f t="shared" ref="A28:A34" si="4">+A27+1</f>
        <v>21</v>
      </c>
      <c r="B28" s="723" t="s">
        <v>966</v>
      </c>
      <c r="F28" s="723" t="str">
        <f>"(Line "&amp;A11&amp;", Col H)"</f>
        <v>(Line 5, Col H)</v>
      </c>
      <c r="G28" s="744"/>
      <c r="I28" s="744"/>
      <c r="J28" s="735">
        <f>+J11</f>
        <v>0</v>
      </c>
    </row>
    <row r="29" spans="1:11">
      <c r="A29" s="723">
        <f t="shared" si="4"/>
        <v>22</v>
      </c>
      <c r="B29" s="723" t="s">
        <v>967</v>
      </c>
      <c r="F29" s="748" t="s">
        <v>968</v>
      </c>
      <c r="G29" s="744"/>
      <c r="I29" s="744"/>
      <c r="J29" s="740">
        <f>'A3-ADIT'!E15</f>
        <v>12621354</v>
      </c>
    </row>
    <row r="30" spans="1:11">
      <c r="A30" s="723">
        <f t="shared" si="4"/>
        <v>23</v>
      </c>
      <c r="B30" s="723" t="str">
        <f>+B27</f>
        <v>Less non Prorated Items</v>
      </c>
      <c r="F30" s="723" t="str">
        <f>"(Line "&amp;A29&amp;" less line "&amp;A31&amp;")"</f>
        <v>(Line 22 less line 24)</v>
      </c>
      <c r="G30" s="744"/>
      <c r="I30" s="744"/>
      <c r="J30" s="720">
        <f>+J29-J31</f>
        <v>12621354</v>
      </c>
    </row>
    <row r="31" spans="1:11">
      <c r="A31" s="723">
        <f t="shared" si="4"/>
        <v>24</v>
      </c>
      <c r="B31" s="723" t="s">
        <v>969</v>
      </c>
      <c r="F31" s="723" t="str">
        <f>"(Line "&amp;A23&amp;", Col H)"</f>
        <v>(Line 17, Col H)</v>
      </c>
      <c r="G31" s="744"/>
      <c r="I31" s="744"/>
      <c r="J31" s="735">
        <f>+J23</f>
        <v>0</v>
      </c>
    </row>
    <row r="32" spans="1:11">
      <c r="A32" s="723">
        <f t="shared" si="4"/>
        <v>25</v>
      </c>
      <c r="B32" s="723" t="s">
        <v>869</v>
      </c>
      <c r="F32" s="723" t="str">
        <f>"([Lines "&amp;A28&amp;" + "&amp;A31&amp;"] /2)+([Lines "&amp;A27&amp;" +"&amp;A30&amp;")/2])"</f>
        <v>([Lines 21 + 24] /2)+([Lines 20 +23)/2])</v>
      </c>
      <c r="G32" s="744"/>
      <c r="I32" s="731"/>
      <c r="J32" s="749">
        <f>(J28+J31)/2+(J27+J30)/2</f>
        <v>12621354</v>
      </c>
    </row>
    <row r="33" spans="1:11">
      <c r="A33" s="723">
        <f t="shared" si="4"/>
        <v>26</v>
      </c>
      <c r="B33" s="723" t="s">
        <v>972</v>
      </c>
      <c r="F33" s="723" t="s">
        <v>979</v>
      </c>
      <c r="G33" s="744"/>
      <c r="I33" s="731"/>
      <c r="J33" s="740">
        <v>0</v>
      </c>
    </row>
    <row r="34" spans="1:11">
      <c r="A34" s="723">
        <f t="shared" si="4"/>
        <v>27</v>
      </c>
      <c r="B34" s="723" t="s">
        <v>982</v>
      </c>
      <c r="F34" s="723" t="str">
        <f>"(Line "&amp;A32&amp;" less line "&amp;A33&amp;")"</f>
        <v>(Line 25 less line 26)</v>
      </c>
      <c r="J34" s="750">
        <f>+J32-J33</f>
        <v>12621354</v>
      </c>
    </row>
    <row r="35" spans="1:11">
      <c r="A35" s="892" t="str">
        <f>A1</f>
        <v>Worksheet P5</v>
      </c>
      <c r="B35" s="892"/>
      <c r="C35" s="892"/>
      <c r="D35" s="892"/>
      <c r="E35" s="892"/>
      <c r="F35" s="892"/>
      <c r="G35" s="892"/>
      <c r="H35" s="892"/>
      <c r="I35" s="892"/>
      <c r="J35" s="892"/>
      <c r="K35" s="892"/>
    </row>
    <row r="36" spans="1:11">
      <c r="A36" s="892" t="str">
        <f>A2</f>
        <v>Accumulated Deferred Income Taxes</v>
      </c>
      <c r="B36" s="892"/>
      <c r="C36" s="892"/>
      <c r="D36" s="892"/>
      <c r="E36" s="892"/>
      <c r="F36" s="892"/>
      <c r="G36" s="892"/>
      <c r="H36" s="892"/>
      <c r="I36" s="892"/>
      <c r="J36" s="892"/>
      <c r="K36" s="892"/>
    </row>
    <row r="37" spans="1:11">
      <c r="A37" s="899" t="str">
        <f>A3</f>
        <v>Cheyenne Light, Fuel &amp; Power</v>
      </c>
      <c r="B37" s="899"/>
      <c r="C37" s="899"/>
      <c r="D37" s="899"/>
      <c r="E37" s="899"/>
      <c r="F37" s="899"/>
      <c r="G37" s="899"/>
      <c r="H37" s="899"/>
      <c r="I37" s="899"/>
      <c r="J37" s="899"/>
      <c r="K37" s="899"/>
    </row>
    <row r="38" spans="1:11">
      <c r="J38" s="758" t="s">
        <v>537</v>
      </c>
    </row>
    <row r="39" spans="1:11">
      <c r="A39" s="719"/>
      <c r="B39" s="751"/>
      <c r="C39" s="719"/>
      <c r="D39" s="719"/>
      <c r="E39" s="719"/>
      <c r="F39" s="719"/>
      <c r="G39" s="719"/>
      <c r="H39" s="719"/>
      <c r="I39" s="719"/>
      <c r="J39" s="724"/>
      <c r="K39" s="761"/>
    </row>
    <row r="40" spans="1:11">
      <c r="A40" s="723">
        <f>+A34+1</f>
        <v>28</v>
      </c>
      <c r="B40" s="725" t="s">
        <v>973</v>
      </c>
      <c r="H40" s="726"/>
      <c r="I40" s="726"/>
      <c r="J40" s="726"/>
    </row>
    <row r="41" spans="1:11">
      <c r="A41" s="723">
        <f>+A40+1</f>
        <v>29</v>
      </c>
      <c r="B41" s="896" t="s">
        <v>953</v>
      </c>
      <c r="C41" s="897"/>
      <c r="D41" s="897"/>
      <c r="E41" s="897"/>
      <c r="F41" s="898"/>
      <c r="G41" s="727"/>
      <c r="H41" s="896" t="s">
        <v>954</v>
      </c>
      <c r="I41" s="897"/>
      <c r="J41" s="898"/>
    </row>
    <row r="42" spans="1:11">
      <c r="B42" s="728" t="s">
        <v>84</v>
      </c>
      <c r="C42" s="728" t="s">
        <v>85</v>
      </c>
      <c r="D42" s="728" t="s">
        <v>86</v>
      </c>
      <c r="E42" s="728" t="s">
        <v>87</v>
      </c>
      <c r="F42" s="728" t="s">
        <v>88</v>
      </c>
      <c r="G42" s="727"/>
      <c r="H42" s="728" t="s">
        <v>89</v>
      </c>
      <c r="I42" s="728" t="s">
        <v>90</v>
      </c>
      <c r="J42" s="728" t="s">
        <v>494</v>
      </c>
    </row>
    <row r="43" spans="1:11" ht="51">
      <c r="A43" s="723">
        <f>+A41+1</f>
        <v>30</v>
      </c>
      <c r="B43" s="730" t="s">
        <v>294</v>
      </c>
      <c r="C43" s="730" t="s">
        <v>955</v>
      </c>
      <c r="D43" s="730" t="s">
        <v>956</v>
      </c>
      <c r="E43" s="730" t="s">
        <v>957</v>
      </c>
      <c r="F43" s="730" t="s">
        <v>958</v>
      </c>
      <c r="G43" s="731"/>
      <c r="H43" s="730" t="s">
        <v>959</v>
      </c>
      <c r="I43" s="730" t="s">
        <v>960</v>
      </c>
      <c r="J43" s="730" t="s">
        <v>961</v>
      </c>
    </row>
    <row r="44" spans="1:11">
      <c r="A44" s="723">
        <f t="shared" ref="A44:A58" si="5">+A43+1</f>
        <v>31</v>
      </c>
      <c r="C44" s="731"/>
      <c r="D44" s="731"/>
      <c r="E44" s="731"/>
      <c r="F44" s="731"/>
      <c r="G44" s="731"/>
      <c r="H44" s="731"/>
      <c r="I44" s="731"/>
      <c r="J44" s="731"/>
    </row>
    <row r="45" spans="1:11">
      <c r="A45" s="723">
        <f t="shared" si="5"/>
        <v>32</v>
      </c>
      <c r="B45" s="732" t="s">
        <v>962</v>
      </c>
      <c r="C45" s="733"/>
      <c r="D45" s="734"/>
      <c r="E45" s="734"/>
      <c r="F45" s="734"/>
      <c r="G45" s="734"/>
      <c r="H45" s="735"/>
      <c r="I45" s="735"/>
      <c r="J45" s="737">
        <v>0</v>
      </c>
      <c r="K45" s="762"/>
    </row>
    <row r="46" spans="1:11">
      <c r="A46" s="723">
        <f t="shared" si="5"/>
        <v>33</v>
      </c>
      <c r="B46" s="733" t="s">
        <v>182</v>
      </c>
      <c r="C46" s="736">
        <v>31</v>
      </c>
      <c r="D46" s="737">
        <v>0</v>
      </c>
      <c r="E46" s="737">
        <v>0</v>
      </c>
      <c r="F46" s="755">
        <f>IF(E46=0,0,D46/E46)</f>
        <v>0</v>
      </c>
      <c r="G46" s="738"/>
      <c r="H46" s="737"/>
      <c r="I46" s="739">
        <f>+H46*F46</f>
        <v>0</v>
      </c>
      <c r="J46" s="739">
        <f t="shared" ref="J46:J57" si="6">+I46+J45</f>
        <v>0</v>
      </c>
    </row>
    <row r="47" spans="1:11">
      <c r="A47" s="723">
        <f t="shared" si="5"/>
        <v>34</v>
      </c>
      <c r="B47" s="733" t="s">
        <v>183</v>
      </c>
      <c r="C47" s="740">
        <v>28</v>
      </c>
      <c r="D47" s="737">
        <v>0</v>
      </c>
      <c r="E47" s="737">
        <v>0</v>
      </c>
      <c r="F47" s="755">
        <f t="shared" ref="F47:F57" si="7">IF(E47=0,0,D47/E47)</f>
        <v>0</v>
      </c>
      <c r="G47" s="738"/>
      <c r="H47" s="737"/>
      <c r="I47" s="739">
        <f t="shared" ref="I47:I57" si="8">+H47*F47</f>
        <v>0</v>
      </c>
      <c r="J47" s="739">
        <f t="shared" si="6"/>
        <v>0</v>
      </c>
    </row>
    <row r="48" spans="1:11">
      <c r="A48" s="723">
        <f t="shared" si="5"/>
        <v>35</v>
      </c>
      <c r="B48" s="733" t="s">
        <v>571</v>
      </c>
      <c r="C48" s="736">
        <v>31</v>
      </c>
      <c r="D48" s="737">
        <v>0</v>
      </c>
      <c r="E48" s="737">
        <v>0</v>
      </c>
      <c r="F48" s="755">
        <f t="shared" si="7"/>
        <v>0</v>
      </c>
      <c r="G48" s="738"/>
      <c r="H48" s="737"/>
      <c r="I48" s="739">
        <f t="shared" si="8"/>
        <v>0</v>
      </c>
      <c r="J48" s="739">
        <f t="shared" si="6"/>
        <v>0</v>
      </c>
    </row>
    <row r="49" spans="1:10">
      <c r="A49" s="723">
        <f t="shared" si="5"/>
        <v>36</v>
      </c>
      <c r="B49" s="733" t="s">
        <v>184</v>
      </c>
      <c r="C49" s="736">
        <v>30</v>
      </c>
      <c r="D49" s="737">
        <v>0</v>
      </c>
      <c r="E49" s="737">
        <v>0</v>
      </c>
      <c r="F49" s="755">
        <f t="shared" si="7"/>
        <v>0</v>
      </c>
      <c r="G49" s="738"/>
      <c r="H49" s="737"/>
      <c r="I49" s="739">
        <f t="shared" si="8"/>
        <v>0</v>
      </c>
      <c r="J49" s="739">
        <f t="shared" si="6"/>
        <v>0</v>
      </c>
    </row>
    <row r="50" spans="1:10">
      <c r="A50" s="723">
        <f t="shared" si="5"/>
        <v>37</v>
      </c>
      <c r="B50" s="733" t="s">
        <v>185</v>
      </c>
      <c r="C50" s="736">
        <v>31</v>
      </c>
      <c r="D50" s="737">
        <v>0</v>
      </c>
      <c r="E50" s="737">
        <v>0</v>
      </c>
      <c r="F50" s="755">
        <f t="shared" si="7"/>
        <v>0</v>
      </c>
      <c r="G50" s="738"/>
      <c r="H50" s="737"/>
      <c r="I50" s="739">
        <f t="shared" si="8"/>
        <v>0</v>
      </c>
      <c r="J50" s="739">
        <f t="shared" si="6"/>
        <v>0</v>
      </c>
    </row>
    <row r="51" spans="1:10">
      <c r="A51" s="723">
        <f t="shared" si="5"/>
        <v>38</v>
      </c>
      <c r="B51" s="733" t="s">
        <v>186</v>
      </c>
      <c r="C51" s="736">
        <v>30</v>
      </c>
      <c r="D51" s="737">
        <v>0</v>
      </c>
      <c r="E51" s="737">
        <v>0</v>
      </c>
      <c r="F51" s="755">
        <f t="shared" si="7"/>
        <v>0</v>
      </c>
      <c r="G51" s="738"/>
      <c r="H51" s="737"/>
      <c r="I51" s="739">
        <f t="shared" si="8"/>
        <v>0</v>
      </c>
      <c r="J51" s="739">
        <f t="shared" si="6"/>
        <v>0</v>
      </c>
    </row>
    <row r="52" spans="1:10">
      <c r="A52" s="723">
        <f t="shared" si="5"/>
        <v>39</v>
      </c>
      <c r="B52" s="733" t="s">
        <v>187</v>
      </c>
      <c r="C52" s="736">
        <v>31</v>
      </c>
      <c r="D52" s="737">
        <v>0</v>
      </c>
      <c r="E52" s="737">
        <v>0</v>
      </c>
      <c r="F52" s="755">
        <f t="shared" si="7"/>
        <v>0</v>
      </c>
      <c r="G52" s="738"/>
      <c r="H52" s="737"/>
      <c r="I52" s="739">
        <f t="shared" si="8"/>
        <v>0</v>
      </c>
      <c r="J52" s="739">
        <f t="shared" si="6"/>
        <v>0</v>
      </c>
    </row>
    <row r="53" spans="1:10">
      <c r="A53" s="723">
        <f t="shared" si="5"/>
        <v>40</v>
      </c>
      <c r="B53" s="733" t="s">
        <v>572</v>
      </c>
      <c r="C53" s="736">
        <v>31</v>
      </c>
      <c r="D53" s="737">
        <v>0</v>
      </c>
      <c r="E53" s="737">
        <v>0</v>
      </c>
      <c r="F53" s="755">
        <f t="shared" si="7"/>
        <v>0</v>
      </c>
      <c r="G53" s="738"/>
      <c r="H53" s="737"/>
      <c r="I53" s="739">
        <f t="shared" si="8"/>
        <v>0</v>
      </c>
      <c r="J53" s="739">
        <f t="shared" si="6"/>
        <v>0</v>
      </c>
    </row>
    <row r="54" spans="1:10">
      <c r="A54" s="723">
        <f t="shared" si="5"/>
        <v>41</v>
      </c>
      <c r="B54" s="733" t="s">
        <v>188</v>
      </c>
      <c r="C54" s="736">
        <v>30</v>
      </c>
      <c r="D54" s="737">
        <v>0</v>
      </c>
      <c r="E54" s="737">
        <v>0</v>
      </c>
      <c r="F54" s="755">
        <f t="shared" si="7"/>
        <v>0</v>
      </c>
      <c r="G54" s="738"/>
      <c r="H54" s="737"/>
      <c r="I54" s="739">
        <f t="shared" si="8"/>
        <v>0</v>
      </c>
      <c r="J54" s="739">
        <f t="shared" si="6"/>
        <v>0</v>
      </c>
    </row>
    <row r="55" spans="1:10">
      <c r="A55" s="723">
        <f t="shared" si="5"/>
        <v>42</v>
      </c>
      <c r="B55" s="733" t="s">
        <v>189</v>
      </c>
      <c r="C55" s="736">
        <v>31</v>
      </c>
      <c r="D55" s="737">
        <v>0</v>
      </c>
      <c r="E55" s="737">
        <v>0</v>
      </c>
      <c r="F55" s="755">
        <f t="shared" si="7"/>
        <v>0</v>
      </c>
      <c r="G55" s="738"/>
      <c r="H55" s="737"/>
      <c r="I55" s="739">
        <f t="shared" si="8"/>
        <v>0</v>
      </c>
      <c r="J55" s="739">
        <f t="shared" si="6"/>
        <v>0</v>
      </c>
    </row>
    <row r="56" spans="1:10">
      <c r="A56" s="723">
        <f t="shared" si="5"/>
        <v>43</v>
      </c>
      <c r="B56" s="733" t="s">
        <v>190</v>
      </c>
      <c r="C56" s="736">
        <v>30</v>
      </c>
      <c r="D56" s="737">
        <v>0</v>
      </c>
      <c r="E56" s="737">
        <v>0</v>
      </c>
      <c r="F56" s="755">
        <f t="shared" si="7"/>
        <v>0</v>
      </c>
      <c r="G56" s="738"/>
      <c r="H56" s="737"/>
      <c r="I56" s="739">
        <f t="shared" si="8"/>
        <v>0</v>
      </c>
      <c r="J56" s="739">
        <f t="shared" si="6"/>
        <v>0</v>
      </c>
    </row>
    <row r="57" spans="1:10">
      <c r="A57" s="723">
        <f t="shared" si="5"/>
        <v>44</v>
      </c>
      <c r="B57" s="733" t="s">
        <v>573</v>
      </c>
      <c r="C57" s="736">
        <v>31</v>
      </c>
      <c r="D57" s="737">
        <v>0</v>
      </c>
      <c r="E57" s="737">
        <v>0</v>
      </c>
      <c r="F57" s="755">
        <f t="shared" si="7"/>
        <v>0</v>
      </c>
      <c r="G57" s="738"/>
      <c r="H57" s="737"/>
      <c r="I57" s="739">
        <f t="shared" si="8"/>
        <v>0</v>
      </c>
      <c r="J57" s="739">
        <f t="shared" si="6"/>
        <v>0</v>
      </c>
    </row>
    <row r="58" spans="1:10">
      <c r="A58" s="723">
        <f t="shared" si="5"/>
        <v>45</v>
      </c>
      <c r="B58" s="741"/>
      <c r="C58" s="741" t="s">
        <v>9</v>
      </c>
      <c r="D58" s="741"/>
      <c r="E58" s="741"/>
      <c r="F58" s="742"/>
      <c r="G58" s="734"/>
      <c r="H58" s="743">
        <f>SUM(H46:H57)</f>
        <v>0</v>
      </c>
      <c r="I58" s="743">
        <f>SUM(I46:I57)</f>
        <v>0</v>
      </c>
      <c r="J58" s="742"/>
    </row>
    <row r="59" spans="1:10">
      <c r="B59" s="745"/>
      <c r="C59" s="745"/>
      <c r="D59" s="745"/>
      <c r="E59" s="745"/>
      <c r="F59" s="744"/>
      <c r="G59" s="744"/>
      <c r="H59" s="746"/>
      <c r="I59" s="747"/>
      <c r="J59" s="744"/>
    </row>
    <row r="60" spans="1:10">
      <c r="A60" s="723">
        <f>+A58+1</f>
        <v>46</v>
      </c>
      <c r="B60" s="723" t="s">
        <v>963</v>
      </c>
      <c r="F60" s="748" t="s">
        <v>974</v>
      </c>
      <c r="G60" s="744"/>
      <c r="I60" s="744"/>
      <c r="J60" s="740">
        <f>'A3-ADIT'!E12</f>
        <v>0</v>
      </c>
    </row>
    <row r="61" spans="1:10">
      <c r="A61" s="723">
        <f>+A60+1</f>
        <v>47</v>
      </c>
      <c r="B61" s="723" t="s">
        <v>965</v>
      </c>
      <c r="F61" s="723" t="str">
        <f>"(Line "&amp;A60&amp;" less line "&amp;A62&amp;")"</f>
        <v>(Line 46 less line 48)</v>
      </c>
      <c r="G61" s="744"/>
      <c r="I61" s="744"/>
      <c r="J61" s="720">
        <f>+J60-J62</f>
        <v>0</v>
      </c>
    </row>
    <row r="62" spans="1:10">
      <c r="A62" s="723">
        <f t="shared" ref="A62:A68" si="9">+A61+1</f>
        <v>48</v>
      </c>
      <c r="B62" s="723" t="s">
        <v>966</v>
      </c>
      <c r="F62" s="723" t="str">
        <f>"(Line "&amp;A45&amp;", Col H)"</f>
        <v>(Line 32, Col H)</v>
      </c>
      <c r="G62" s="744"/>
      <c r="I62" s="744"/>
      <c r="J62" s="735">
        <f>+J45</f>
        <v>0</v>
      </c>
    </row>
    <row r="63" spans="1:10">
      <c r="A63" s="723">
        <f t="shared" si="9"/>
        <v>49</v>
      </c>
      <c r="B63" s="723" t="s">
        <v>967</v>
      </c>
      <c r="F63" s="748" t="s">
        <v>975</v>
      </c>
      <c r="G63" s="744"/>
      <c r="I63" s="744"/>
      <c r="J63" s="740">
        <v>0</v>
      </c>
    </row>
    <row r="64" spans="1:10">
      <c r="A64" s="723">
        <f t="shared" si="9"/>
        <v>50</v>
      </c>
      <c r="B64" s="723" t="str">
        <f>+B61</f>
        <v>Less non Prorated Items</v>
      </c>
      <c r="F64" s="723" t="str">
        <f>"(Line "&amp;A63&amp;" less line "&amp;A65&amp;")"</f>
        <v>(Line 49 less line 51)</v>
      </c>
      <c r="G64" s="744"/>
      <c r="I64" s="744"/>
      <c r="J64" s="720">
        <f>+J63-J65</f>
        <v>0</v>
      </c>
    </row>
    <row r="65" spans="1:16">
      <c r="A65" s="723">
        <f t="shared" si="9"/>
        <v>51</v>
      </c>
      <c r="B65" s="723" t="s">
        <v>969</v>
      </c>
      <c r="F65" s="723" t="str">
        <f>"(Line "&amp;A57&amp;", Col H)"</f>
        <v>(Line 44, Col H)</v>
      </c>
      <c r="G65" s="744"/>
      <c r="I65" s="744"/>
      <c r="J65" s="735">
        <f>+J57</f>
        <v>0</v>
      </c>
    </row>
    <row r="66" spans="1:16">
      <c r="A66" s="723">
        <f t="shared" si="9"/>
        <v>52</v>
      </c>
      <c r="B66" s="723" t="s">
        <v>869</v>
      </c>
      <c r="F66" s="723" t="str">
        <f>"([Lines "&amp;A62&amp;" + "&amp;A65&amp;"] /2)+([Lines "&amp;A61&amp;" +"&amp;A64&amp;")/2])"</f>
        <v>([Lines 48 + 51] /2)+([Lines 47 +50)/2])</v>
      </c>
      <c r="G66" s="744"/>
      <c r="I66" s="731"/>
      <c r="J66" s="749">
        <f>(J62+J65)/2+(J61+J64)/2</f>
        <v>0</v>
      </c>
    </row>
    <row r="67" spans="1:16">
      <c r="A67" s="723">
        <f t="shared" si="9"/>
        <v>53</v>
      </c>
      <c r="B67" s="723" t="s">
        <v>972</v>
      </c>
      <c r="F67" s="723" t="s">
        <v>979</v>
      </c>
      <c r="G67" s="744"/>
      <c r="I67" s="731"/>
      <c r="J67" s="740">
        <v>0</v>
      </c>
    </row>
    <row r="68" spans="1:16">
      <c r="A68" s="723">
        <f t="shared" si="9"/>
        <v>54</v>
      </c>
      <c r="B68" s="723" t="s">
        <v>982</v>
      </c>
      <c r="F68" s="723" t="str">
        <f>"(Line "&amp;A66&amp;" less line "&amp;A67&amp;")"</f>
        <v>(Line 52 less line 53)</v>
      </c>
      <c r="J68" s="750">
        <f>+J66-J67</f>
        <v>0</v>
      </c>
    </row>
    <row r="69" spans="1:16">
      <c r="A69" s="892" t="str">
        <f>A1</f>
        <v>Worksheet P5</v>
      </c>
      <c r="B69" s="892"/>
      <c r="C69" s="892"/>
      <c r="D69" s="892"/>
      <c r="E69" s="892"/>
      <c r="F69" s="892"/>
      <c r="G69" s="892"/>
      <c r="H69" s="892"/>
      <c r="I69" s="892"/>
      <c r="J69" s="892"/>
      <c r="K69" s="892"/>
    </row>
    <row r="70" spans="1:16">
      <c r="A70" s="892" t="str">
        <f>A2</f>
        <v>Accumulated Deferred Income Taxes</v>
      </c>
      <c r="B70" s="892"/>
      <c r="C70" s="892"/>
      <c r="D70" s="892"/>
      <c r="E70" s="892"/>
      <c r="F70" s="892"/>
      <c r="G70" s="892"/>
      <c r="H70" s="892"/>
      <c r="I70" s="892"/>
      <c r="J70" s="892"/>
      <c r="K70" s="892"/>
    </row>
    <row r="71" spans="1:16">
      <c r="A71" s="892" t="str">
        <f>A3</f>
        <v>Cheyenne Light, Fuel &amp; Power</v>
      </c>
      <c r="B71" s="892"/>
      <c r="C71" s="892"/>
      <c r="D71" s="892"/>
      <c r="E71" s="892"/>
      <c r="F71" s="892"/>
      <c r="G71" s="892"/>
      <c r="H71" s="892"/>
      <c r="I71" s="892"/>
      <c r="J71" s="892"/>
      <c r="K71" s="892"/>
    </row>
    <row r="72" spans="1:16">
      <c r="A72" s="763"/>
      <c r="B72" s="763"/>
      <c r="C72" s="763"/>
      <c r="D72" s="763"/>
      <c r="E72" s="763"/>
      <c r="F72" s="763"/>
      <c r="G72" s="763"/>
      <c r="H72" s="763"/>
      <c r="I72" s="763"/>
      <c r="J72" s="758" t="s">
        <v>538</v>
      </c>
      <c r="K72" s="763"/>
    </row>
    <row r="74" spans="1:16">
      <c r="A74" s="723">
        <f>+A68+1</f>
        <v>55</v>
      </c>
      <c r="B74" s="725" t="s">
        <v>970</v>
      </c>
      <c r="H74" s="726"/>
      <c r="I74" s="726"/>
      <c r="J74" s="726"/>
    </row>
    <row r="75" spans="1:16">
      <c r="A75" s="723">
        <f>+A74+1</f>
        <v>56</v>
      </c>
      <c r="B75" s="893" t="s">
        <v>953</v>
      </c>
      <c r="C75" s="894"/>
      <c r="D75" s="894"/>
      <c r="E75" s="894"/>
      <c r="F75" s="895"/>
      <c r="G75" s="727"/>
      <c r="H75" s="896" t="s">
        <v>954</v>
      </c>
      <c r="I75" s="897"/>
      <c r="J75" s="898"/>
    </row>
    <row r="76" spans="1:16">
      <c r="B76" s="728" t="s">
        <v>84</v>
      </c>
      <c r="C76" s="728" t="s">
        <v>85</v>
      </c>
      <c r="D76" s="728" t="s">
        <v>86</v>
      </c>
      <c r="E76" s="728" t="s">
        <v>87</v>
      </c>
      <c r="F76" s="728" t="s">
        <v>88</v>
      </c>
      <c r="G76" s="727"/>
      <c r="H76" s="728" t="s">
        <v>89</v>
      </c>
      <c r="I76" s="728" t="s">
        <v>90</v>
      </c>
      <c r="J76" s="728" t="s">
        <v>494</v>
      </c>
    </row>
    <row r="77" spans="1:16" ht="51">
      <c r="A77" s="723">
        <f>+A75+1</f>
        <v>57</v>
      </c>
      <c r="B77" s="730" t="s">
        <v>294</v>
      </c>
      <c r="C77" s="730" t="s">
        <v>955</v>
      </c>
      <c r="D77" s="730" t="s">
        <v>956</v>
      </c>
      <c r="E77" s="730" t="s">
        <v>957</v>
      </c>
      <c r="F77" s="730" t="s">
        <v>958</v>
      </c>
      <c r="G77" s="731"/>
      <c r="H77" s="730" t="s">
        <v>959</v>
      </c>
      <c r="I77" s="730" t="s">
        <v>960</v>
      </c>
      <c r="J77" s="730" t="s">
        <v>961</v>
      </c>
    </row>
    <row r="78" spans="1:16">
      <c r="A78" s="723">
        <f t="shared" ref="A78:A92" si="10">+A77+1</f>
        <v>58</v>
      </c>
      <c r="C78" s="731"/>
      <c r="D78" s="731"/>
      <c r="E78" s="731"/>
      <c r="F78" s="731"/>
      <c r="G78" s="731"/>
      <c r="H78" s="731"/>
      <c r="I78" s="731"/>
      <c r="J78" s="731"/>
      <c r="L78" s="718"/>
      <c r="M78" s="718"/>
      <c r="N78" s="718"/>
      <c r="O78" s="718"/>
      <c r="P78" s="718"/>
    </row>
    <row r="79" spans="1:16">
      <c r="A79" s="723">
        <f>+A78+1</f>
        <v>59</v>
      </c>
      <c r="B79" s="723" t="s">
        <v>966</v>
      </c>
      <c r="C79" s="733"/>
      <c r="D79" s="734"/>
      <c r="E79" s="734"/>
      <c r="F79" s="734"/>
      <c r="G79" s="734"/>
      <c r="H79" s="735"/>
      <c r="I79" s="735"/>
      <c r="J79" s="737">
        <v>0</v>
      </c>
      <c r="L79" s="721"/>
      <c r="M79" s="718"/>
      <c r="N79" s="718"/>
      <c r="O79" s="718"/>
      <c r="P79" s="718"/>
    </row>
    <row r="80" spans="1:16">
      <c r="A80" s="723">
        <f t="shared" si="10"/>
        <v>60</v>
      </c>
      <c r="B80" s="733" t="s">
        <v>182</v>
      </c>
      <c r="C80" s="736">
        <v>31</v>
      </c>
      <c r="D80" s="826">
        <f>E80-C80</f>
        <v>334</v>
      </c>
      <c r="E80" s="826">
        <v>365</v>
      </c>
      <c r="F80" s="781">
        <f>IF(E80=0,0,D80/E80)</f>
        <v>0.91506849315068495</v>
      </c>
      <c r="G80" s="752"/>
      <c r="H80" s="737">
        <f>'P1-Trans Plant'!AA30</f>
        <v>-7271.1411155265541</v>
      </c>
      <c r="I80" s="739">
        <f>+H80*F80</f>
        <v>-6653.5921440708744</v>
      </c>
      <c r="J80" s="806">
        <f>+I80+J79</f>
        <v>-6653.5921440708744</v>
      </c>
      <c r="L80" s="753"/>
      <c r="M80" s="754"/>
      <c r="N80" s="718"/>
      <c r="O80" s="718"/>
      <c r="P80" s="718"/>
    </row>
    <row r="81" spans="1:16">
      <c r="A81" s="723">
        <f t="shared" si="10"/>
        <v>61</v>
      </c>
      <c r="B81" s="733" t="s">
        <v>183</v>
      </c>
      <c r="C81" s="740">
        <v>28</v>
      </c>
      <c r="D81" s="826">
        <f>D80-C81</f>
        <v>306</v>
      </c>
      <c r="E81" s="826">
        <v>365</v>
      </c>
      <c r="F81" s="781">
        <f t="shared" ref="F81:F91" si="11">IF(E81=0,0,D81/E81)</f>
        <v>0.83835616438356164</v>
      </c>
      <c r="G81" s="756"/>
      <c r="H81" s="737">
        <f>'P1-Trans Plant'!AA31</f>
        <v>-7697.226714049054</v>
      </c>
      <c r="I81" s="739">
        <f t="shared" ref="I81:I91" si="12">+H81*F81</f>
        <v>-6453.0174643808505</v>
      </c>
      <c r="J81" s="806">
        <f t="shared" ref="J81:J91" si="13">+I81+J80</f>
        <v>-13106.609608451725</v>
      </c>
      <c r="K81" s="764"/>
      <c r="L81" s="753"/>
      <c r="M81" s="753"/>
      <c r="N81" s="718"/>
      <c r="O81" s="718"/>
      <c r="P81" s="718"/>
    </row>
    <row r="82" spans="1:16">
      <c r="A82" s="723">
        <f t="shared" si="10"/>
        <v>62</v>
      </c>
      <c r="B82" s="733" t="s">
        <v>571</v>
      </c>
      <c r="C82" s="736">
        <v>31</v>
      </c>
      <c r="D82" s="826">
        <f t="shared" ref="D82:D90" si="14">D81-C82</f>
        <v>275</v>
      </c>
      <c r="E82" s="826">
        <v>365</v>
      </c>
      <c r="F82" s="781">
        <f t="shared" si="11"/>
        <v>0.75342465753424659</v>
      </c>
      <c r="G82" s="756"/>
      <c r="H82" s="737">
        <f>'P1-Trans Plant'!AA32</f>
        <v>-7703.1290260940541</v>
      </c>
      <c r="I82" s="739">
        <f t="shared" si="12"/>
        <v>-5803.7273484270272</v>
      </c>
      <c r="J82" s="806">
        <f t="shared" si="13"/>
        <v>-18910.336956878753</v>
      </c>
      <c r="L82" s="753"/>
      <c r="M82" s="753"/>
      <c r="N82" s="718"/>
      <c r="O82" s="718"/>
      <c r="P82" s="718"/>
    </row>
    <row r="83" spans="1:16">
      <c r="A83" s="723">
        <f t="shared" si="10"/>
        <v>63</v>
      </c>
      <c r="B83" s="733" t="s">
        <v>184</v>
      </c>
      <c r="C83" s="736">
        <v>30</v>
      </c>
      <c r="D83" s="826">
        <f t="shared" si="14"/>
        <v>245</v>
      </c>
      <c r="E83" s="826">
        <v>365</v>
      </c>
      <c r="F83" s="781">
        <f t="shared" si="11"/>
        <v>0.67123287671232879</v>
      </c>
      <c r="G83" s="756"/>
      <c r="H83" s="737">
        <f>'P1-Trans Plant'!AA33</f>
        <v>-7862.8843875415541</v>
      </c>
      <c r="I83" s="739">
        <f t="shared" si="12"/>
        <v>-5277.8265067059747</v>
      </c>
      <c r="J83" s="806">
        <f t="shared" si="13"/>
        <v>-24188.163463584729</v>
      </c>
      <c r="L83" s="753"/>
      <c r="M83" s="753"/>
      <c r="N83" s="718"/>
      <c r="O83" s="718"/>
      <c r="P83" s="718"/>
    </row>
    <row r="84" spans="1:16">
      <c r="A84" s="723">
        <f t="shared" si="10"/>
        <v>64</v>
      </c>
      <c r="B84" s="733" t="s">
        <v>185</v>
      </c>
      <c r="C84" s="736">
        <v>31</v>
      </c>
      <c r="D84" s="826">
        <f t="shared" si="14"/>
        <v>214</v>
      </c>
      <c r="E84" s="826">
        <v>365</v>
      </c>
      <c r="F84" s="781">
        <f t="shared" si="11"/>
        <v>0.58630136986301373</v>
      </c>
      <c r="G84" s="756"/>
      <c r="H84" s="737">
        <f>'P1-Trans Plant'!AA34</f>
        <v>-7861.6527319765528</v>
      </c>
      <c r="I84" s="739">
        <f t="shared" si="12"/>
        <v>-4609.2977661451569</v>
      </c>
      <c r="J84" s="806">
        <f t="shared" si="13"/>
        <v>-28797.461229729888</v>
      </c>
      <c r="L84" s="753"/>
      <c r="M84" s="753"/>
      <c r="N84" s="718"/>
      <c r="O84" s="718"/>
      <c r="P84" s="718"/>
    </row>
    <row r="85" spans="1:16">
      <c r="A85" s="723">
        <f t="shared" si="10"/>
        <v>65</v>
      </c>
      <c r="B85" s="733" t="s">
        <v>186</v>
      </c>
      <c r="C85" s="736">
        <v>30</v>
      </c>
      <c r="D85" s="826">
        <f t="shared" si="14"/>
        <v>184</v>
      </c>
      <c r="E85" s="826">
        <v>365</v>
      </c>
      <c r="F85" s="781">
        <f t="shared" si="11"/>
        <v>0.50410958904109593</v>
      </c>
      <c r="G85" s="756"/>
      <c r="H85" s="737">
        <f>'P1-Trans Plant'!AA35</f>
        <v>-7843.6704169265549</v>
      </c>
      <c r="I85" s="739">
        <f t="shared" si="12"/>
        <v>-3954.0694704506473</v>
      </c>
      <c r="J85" s="806">
        <f t="shared" si="13"/>
        <v>-32751.530700180534</v>
      </c>
      <c r="L85" s="753"/>
      <c r="M85" s="753"/>
      <c r="N85" s="718"/>
      <c r="O85" s="718"/>
      <c r="P85" s="718"/>
    </row>
    <row r="86" spans="1:16">
      <c r="A86" s="723">
        <f t="shared" si="10"/>
        <v>66</v>
      </c>
      <c r="B86" s="733" t="s">
        <v>187</v>
      </c>
      <c r="C86" s="736">
        <v>31</v>
      </c>
      <c r="D86" s="826">
        <f t="shared" si="14"/>
        <v>153</v>
      </c>
      <c r="E86" s="826">
        <v>365</v>
      </c>
      <c r="F86" s="781">
        <f t="shared" si="11"/>
        <v>0.41917808219178082</v>
      </c>
      <c r="G86" s="756"/>
      <c r="H86" s="737">
        <f>'P1-Trans Plant'!AA36</f>
        <v>-7839.9833592865552</v>
      </c>
      <c r="I86" s="739">
        <f t="shared" si="12"/>
        <v>-3286.3491889612137</v>
      </c>
      <c r="J86" s="806">
        <f t="shared" si="13"/>
        <v>-36037.879889141746</v>
      </c>
      <c r="L86" s="753"/>
      <c r="M86" s="753"/>
      <c r="N86" s="721"/>
      <c r="O86" s="718"/>
      <c r="P86" s="753"/>
    </row>
    <row r="87" spans="1:16">
      <c r="A87" s="723">
        <f t="shared" si="10"/>
        <v>67</v>
      </c>
      <c r="B87" s="733" t="s">
        <v>572</v>
      </c>
      <c r="C87" s="736">
        <v>31</v>
      </c>
      <c r="D87" s="826">
        <f t="shared" si="14"/>
        <v>122</v>
      </c>
      <c r="E87" s="826">
        <v>365</v>
      </c>
      <c r="F87" s="781">
        <f t="shared" si="11"/>
        <v>0.33424657534246577</v>
      </c>
      <c r="G87" s="756"/>
      <c r="H87" s="737">
        <f>'P1-Trans Plant'!AA37</f>
        <v>-6004.5706677265562</v>
      </c>
      <c r="I87" s="739">
        <f t="shared" si="12"/>
        <v>-2007.0071820894243</v>
      </c>
      <c r="J87" s="806">
        <f t="shared" si="13"/>
        <v>-38044.887071231169</v>
      </c>
      <c r="L87" s="753"/>
      <c r="M87" s="753"/>
      <c r="N87" s="721"/>
      <c r="O87" s="718"/>
      <c r="P87" s="753"/>
    </row>
    <row r="88" spans="1:16">
      <c r="A88" s="723">
        <f t="shared" si="10"/>
        <v>68</v>
      </c>
      <c r="B88" s="733" t="s">
        <v>188</v>
      </c>
      <c r="C88" s="736">
        <v>30</v>
      </c>
      <c r="D88" s="826">
        <f t="shared" si="14"/>
        <v>92</v>
      </c>
      <c r="E88" s="826">
        <v>365</v>
      </c>
      <c r="F88" s="781">
        <f t="shared" si="11"/>
        <v>0.25205479452054796</v>
      </c>
      <c r="G88" s="756"/>
      <c r="H88" s="737">
        <f>'P1-Trans Plant'!AA38</f>
        <v>-7839.2859244365554</v>
      </c>
      <c r="I88" s="739">
        <f t="shared" si="12"/>
        <v>-1975.9296028716799</v>
      </c>
      <c r="J88" s="806">
        <f t="shared" si="13"/>
        <v>-40020.816674102847</v>
      </c>
      <c r="L88" s="753"/>
      <c r="M88" s="753"/>
      <c r="N88" s="721"/>
      <c r="O88" s="718"/>
      <c r="P88" s="753"/>
    </row>
    <row r="89" spans="1:16">
      <c r="A89" s="723">
        <f t="shared" si="10"/>
        <v>69</v>
      </c>
      <c r="B89" s="733" t="s">
        <v>189</v>
      </c>
      <c r="C89" s="736">
        <v>31</v>
      </c>
      <c r="D89" s="826">
        <f t="shared" si="14"/>
        <v>61</v>
      </c>
      <c r="E89" s="826">
        <v>365</v>
      </c>
      <c r="F89" s="781">
        <f t="shared" si="11"/>
        <v>0.16712328767123288</v>
      </c>
      <c r="G89" s="756"/>
      <c r="H89" s="737">
        <f>'P1-Trans Plant'!AA39</f>
        <v>-7850.1112637165534</v>
      </c>
      <c r="I89" s="739">
        <f t="shared" si="12"/>
        <v>-1311.9364029772871</v>
      </c>
      <c r="J89" s="806">
        <f t="shared" si="13"/>
        <v>-41332.753077080131</v>
      </c>
      <c r="L89" s="753"/>
      <c r="M89" s="753"/>
      <c r="N89" s="721"/>
      <c r="O89" s="718"/>
      <c r="P89" s="753"/>
    </row>
    <row r="90" spans="1:16">
      <c r="A90" s="723">
        <f t="shared" si="10"/>
        <v>70</v>
      </c>
      <c r="B90" s="733" t="s">
        <v>190</v>
      </c>
      <c r="C90" s="736">
        <v>30</v>
      </c>
      <c r="D90" s="826">
        <f t="shared" si="14"/>
        <v>31</v>
      </c>
      <c r="E90" s="826">
        <v>365</v>
      </c>
      <c r="F90" s="781">
        <f t="shared" si="11"/>
        <v>8.4931506849315067E-2</v>
      </c>
      <c r="G90" s="756"/>
      <c r="H90" s="737">
        <f>'P1-Trans Plant'!AA40</f>
        <v>-7859.6797822565559</v>
      </c>
      <c r="I90" s="739">
        <f t="shared" si="12"/>
        <v>-667.53444726014584</v>
      </c>
      <c r="J90" s="806">
        <f t="shared" si="13"/>
        <v>-42000.287524340274</v>
      </c>
      <c r="L90" s="753"/>
      <c r="M90" s="753"/>
      <c r="N90" s="721"/>
      <c r="O90" s="718"/>
      <c r="P90" s="753"/>
    </row>
    <row r="91" spans="1:16">
      <c r="A91" s="723">
        <f t="shared" si="10"/>
        <v>71</v>
      </c>
      <c r="B91" s="733" t="s">
        <v>573</v>
      </c>
      <c r="C91" s="736">
        <v>31</v>
      </c>
      <c r="D91" s="826">
        <v>1</v>
      </c>
      <c r="E91" s="826">
        <v>365</v>
      </c>
      <c r="F91" s="781">
        <f t="shared" si="11"/>
        <v>2.7397260273972603E-3</v>
      </c>
      <c r="G91" s="756"/>
      <c r="H91" s="737">
        <f>'P1-Trans Plant'!AA41</f>
        <v>-7871.2528867365536</v>
      </c>
      <c r="I91" s="739">
        <f t="shared" si="12"/>
        <v>-21.565076402017954</v>
      </c>
      <c r="J91" s="806">
        <f t="shared" si="13"/>
        <v>-42021.852600742292</v>
      </c>
      <c r="L91" s="753"/>
      <c r="M91" s="753"/>
      <c r="N91" s="721"/>
      <c r="O91" s="718"/>
      <c r="P91" s="753"/>
    </row>
    <row r="92" spans="1:16">
      <c r="A92" s="723">
        <f t="shared" si="10"/>
        <v>72</v>
      </c>
      <c r="B92" s="741"/>
      <c r="C92" s="741" t="s">
        <v>9</v>
      </c>
      <c r="D92" s="741"/>
      <c r="E92" s="741"/>
      <c r="F92" s="742"/>
      <c r="G92" s="734"/>
      <c r="H92" s="743">
        <f>SUM(H80:H91)</f>
        <v>-91504.588276273644</v>
      </c>
      <c r="I92" s="743">
        <f>SUM(I80:I91)</f>
        <v>-42021.852600742292</v>
      </c>
      <c r="J92" s="742"/>
      <c r="L92" s="807"/>
    </row>
    <row r="93" spans="1:16">
      <c r="B93" s="745"/>
      <c r="C93" s="745"/>
      <c r="D93" s="745"/>
      <c r="E93" s="745"/>
      <c r="F93" s="744"/>
      <c r="G93" s="734"/>
      <c r="H93" s="735"/>
      <c r="I93" s="735"/>
      <c r="J93" s="744"/>
      <c r="L93" s="807"/>
    </row>
    <row r="94" spans="1:16">
      <c r="A94" s="723">
        <f>+A92+1</f>
        <v>73</v>
      </c>
      <c r="B94" s="732" t="s">
        <v>1021</v>
      </c>
      <c r="C94" s="731"/>
      <c r="D94" s="731"/>
      <c r="E94" s="731"/>
      <c r="F94" s="732" t="s">
        <v>1030</v>
      </c>
      <c r="G94" s="731"/>
      <c r="H94" s="731"/>
      <c r="I94" s="731"/>
      <c r="J94" s="804">
        <f>'A3-ADIT'!E13</f>
        <v>-56750976</v>
      </c>
      <c r="L94" s="718"/>
      <c r="M94" s="718"/>
      <c r="N94" s="718"/>
      <c r="O94" s="718"/>
      <c r="P94" s="718"/>
    </row>
    <row r="95" spans="1:16">
      <c r="A95" s="723">
        <f>A94+1</f>
        <v>74</v>
      </c>
      <c r="B95" s="723" t="s">
        <v>1022</v>
      </c>
      <c r="C95" s="731"/>
      <c r="D95" s="731"/>
      <c r="E95" s="731"/>
      <c r="F95" s="732" t="s">
        <v>1032</v>
      </c>
      <c r="G95" s="731"/>
      <c r="H95" s="731"/>
      <c r="I95" s="731"/>
      <c r="J95" s="805">
        <f>'Proj Att-H'!G240</f>
        <v>9.5672868962500324E-2</v>
      </c>
      <c r="L95" s="718"/>
      <c r="M95" s="718"/>
      <c r="N95" s="718"/>
      <c r="O95" s="718"/>
      <c r="P95" s="718"/>
    </row>
    <row r="96" spans="1:16">
      <c r="A96" s="723">
        <f t="shared" ref="A96:A102" si="15">+A95+1</f>
        <v>75</v>
      </c>
      <c r="B96" s="723" t="s">
        <v>1023</v>
      </c>
      <c r="C96" s="731"/>
      <c r="D96" s="731"/>
      <c r="E96" s="731"/>
      <c r="F96" s="732" t="s">
        <v>1029</v>
      </c>
      <c r="G96" s="731"/>
      <c r="H96" s="731"/>
      <c r="I96" s="731"/>
      <c r="J96" s="804">
        <f>J94*J95</f>
        <v>-5429528.6903420007</v>
      </c>
      <c r="L96" s="718"/>
      <c r="M96" s="718"/>
      <c r="N96" s="718"/>
      <c r="O96" s="718"/>
      <c r="P96" s="718"/>
    </row>
    <row r="97" spans="1:16">
      <c r="A97" s="723">
        <f t="shared" si="15"/>
        <v>76</v>
      </c>
      <c r="B97" s="723" t="s">
        <v>1024</v>
      </c>
      <c r="C97" s="731"/>
      <c r="D97" s="731"/>
      <c r="E97" s="731"/>
      <c r="F97" s="732" t="s">
        <v>1031</v>
      </c>
      <c r="G97" s="731"/>
      <c r="H97" s="731"/>
      <c r="I97" s="731"/>
      <c r="J97" s="804">
        <f>'P1-Trans Plant'!V42</f>
        <v>-82764.975708978673</v>
      </c>
      <c r="L97" s="718"/>
      <c r="M97" s="718"/>
      <c r="N97" s="718"/>
      <c r="O97" s="718"/>
      <c r="P97" s="718"/>
    </row>
    <row r="98" spans="1:16">
      <c r="A98" s="723">
        <f t="shared" si="15"/>
        <v>77</v>
      </c>
      <c r="B98" s="723" t="s">
        <v>963</v>
      </c>
      <c r="F98" s="748" t="s">
        <v>1028</v>
      </c>
      <c r="G98" s="744"/>
      <c r="I98" s="744"/>
      <c r="J98" s="814">
        <f>J96+J97</f>
        <v>-5512293.6660509789</v>
      </c>
    </row>
    <row r="99" spans="1:16">
      <c r="A99" s="723">
        <f t="shared" si="15"/>
        <v>78</v>
      </c>
      <c r="B99" s="723" t="s">
        <v>969</v>
      </c>
      <c r="F99" s="723" t="str">
        <f>"(Line "&amp;A91&amp;", Col H)"</f>
        <v>(Line 71, Col H)</v>
      </c>
      <c r="G99" s="744"/>
      <c r="I99" s="744"/>
      <c r="J99" s="735">
        <f>+J91</f>
        <v>-42021.852600742292</v>
      </c>
    </row>
    <row r="100" spans="1:16">
      <c r="A100" s="723">
        <f t="shared" si="15"/>
        <v>79</v>
      </c>
      <c r="B100" s="723" t="s">
        <v>1026</v>
      </c>
      <c r="F100" s="723" t="s">
        <v>1027</v>
      </c>
      <c r="G100" s="744"/>
      <c r="I100" s="731"/>
      <c r="J100" s="749">
        <f>J98+J99</f>
        <v>-5554315.5186517211</v>
      </c>
      <c r="L100" s="799"/>
    </row>
    <row r="101" spans="1:16">
      <c r="A101" s="723">
        <f t="shared" si="15"/>
        <v>80</v>
      </c>
      <c r="B101" s="723" t="s">
        <v>972</v>
      </c>
      <c r="F101" s="723" t="s">
        <v>979</v>
      </c>
      <c r="G101" s="744"/>
      <c r="I101" s="731"/>
      <c r="J101" s="740">
        <v>0</v>
      </c>
    </row>
    <row r="102" spans="1:16">
      <c r="A102" s="723">
        <f t="shared" si="15"/>
        <v>81</v>
      </c>
      <c r="B102" s="723" t="s">
        <v>982</v>
      </c>
      <c r="F102" s="723" t="s">
        <v>1038</v>
      </c>
      <c r="J102" s="750">
        <f>+J100-J101</f>
        <v>-5554315.5186517211</v>
      </c>
    </row>
    <row r="103" spans="1:16">
      <c r="A103" s="892" t="str">
        <f>A1</f>
        <v>Worksheet P5</v>
      </c>
      <c r="B103" s="892"/>
      <c r="C103" s="892"/>
      <c r="D103" s="892"/>
      <c r="E103" s="892"/>
      <c r="F103" s="892"/>
      <c r="G103" s="892"/>
      <c r="H103" s="892"/>
      <c r="I103" s="892"/>
      <c r="J103" s="892"/>
      <c r="K103" s="892"/>
    </row>
    <row r="104" spans="1:16">
      <c r="A104" s="892" t="str">
        <f>A2</f>
        <v>Accumulated Deferred Income Taxes</v>
      </c>
      <c r="B104" s="892"/>
      <c r="C104" s="892"/>
      <c r="D104" s="892"/>
      <c r="E104" s="892"/>
      <c r="F104" s="892"/>
      <c r="G104" s="892"/>
      <c r="H104" s="892"/>
      <c r="I104" s="892"/>
      <c r="J104" s="892"/>
      <c r="K104" s="892"/>
    </row>
    <row r="105" spans="1:16">
      <c r="A105" s="892" t="str">
        <f>A3</f>
        <v>Cheyenne Light, Fuel &amp; Power</v>
      </c>
      <c r="B105" s="892"/>
      <c r="C105" s="892"/>
      <c r="D105" s="892"/>
      <c r="E105" s="892"/>
      <c r="F105" s="892"/>
      <c r="G105" s="892"/>
      <c r="H105" s="892"/>
      <c r="I105" s="892"/>
      <c r="J105" s="892"/>
      <c r="K105" s="892"/>
    </row>
    <row r="106" spans="1:16">
      <c r="J106" s="758" t="s">
        <v>981</v>
      </c>
    </row>
    <row r="107" spans="1:16">
      <c r="A107" s="757"/>
      <c r="B107" s="757"/>
      <c r="C107" s="757"/>
      <c r="D107" s="757"/>
      <c r="E107" s="757"/>
      <c r="F107" s="757"/>
      <c r="G107" s="757"/>
      <c r="H107" s="757"/>
    </row>
    <row r="108" spans="1:16">
      <c r="A108" s="723">
        <f>+A98+1</f>
        <v>78</v>
      </c>
      <c r="B108" s="725" t="s">
        <v>971</v>
      </c>
      <c r="H108" s="726"/>
      <c r="I108" s="726"/>
      <c r="J108" s="726"/>
    </row>
    <row r="109" spans="1:16">
      <c r="A109" s="723">
        <f>+A108+1</f>
        <v>79</v>
      </c>
      <c r="B109" s="896" t="s">
        <v>953</v>
      </c>
      <c r="C109" s="897"/>
      <c r="D109" s="897"/>
      <c r="E109" s="897"/>
      <c r="F109" s="898"/>
      <c r="G109" s="727"/>
      <c r="H109" s="896" t="s">
        <v>954</v>
      </c>
      <c r="I109" s="897"/>
      <c r="J109" s="898"/>
    </row>
    <row r="110" spans="1:16">
      <c r="B110" s="728" t="s">
        <v>84</v>
      </c>
      <c r="C110" s="728" t="s">
        <v>85</v>
      </c>
      <c r="D110" s="728" t="s">
        <v>86</v>
      </c>
      <c r="E110" s="728" t="s">
        <v>87</v>
      </c>
      <c r="F110" s="728" t="s">
        <v>88</v>
      </c>
      <c r="G110" s="727"/>
      <c r="H110" s="728" t="s">
        <v>89</v>
      </c>
      <c r="I110" s="728" t="s">
        <v>90</v>
      </c>
      <c r="J110" s="728" t="s">
        <v>494</v>
      </c>
    </row>
    <row r="111" spans="1:16" ht="51">
      <c r="A111" s="723">
        <f>+A109+1</f>
        <v>80</v>
      </c>
      <c r="B111" s="730" t="s">
        <v>294</v>
      </c>
      <c r="C111" s="730" t="s">
        <v>955</v>
      </c>
      <c r="D111" s="730" t="s">
        <v>956</v>
      </c>
      <c r="E111" s="730" t="s">
        <v>957</v>
      </c>
      <c r="F111" s="730" t="s">
        <v>958</v>
      </c>
      <c r="G111" s="731"/>
      <c r="H111" s="730" t="s">
        <v>959</v>
      </c>
      <c r="I111" s="730" t="s">
        <v>960</v>
      </c>
      <c r="J111" s="730" t="s">
        <v>961</v>
      </c>
    </row>
    <row r="112" spans="1:16">
      <c r="A112" s="723">
        <f t="shared" ref="A112:A126" si="16">+A111+1</f>
        <v>81</v>
      </c>
      <c r="C112" s="731"/>
      <c r="D112" s="731"/>
      <c r="E112" s="731"/>
      <c r="F112" s="731"/>
      <c r="G112" s="731"/>
      <c r="H112" s="731"/>
      <c r="I112" s="731"/>
      <c r="J112" s="731"/>
    </row>
    <row r="113" spans="1:10">
      <c r="A113" s="723">
        <f t="shared" si="16"/>
        <v>82</v>
      </c>
      <c r="B113" s="732" t="s">
        <v>962</v>
      </c>
      <c r="C113" s="733"/>
      <c r="D113" s="734"/>
      <c r="E113" s="734"/>
      <c r="F113" s="734"/>
      <c r="G113" s="734"/>
      <c r="H113" s="735"/>
      <c r="I113" s="735"/>
      <c r="J113" s="737">
        <v>0</v>
      </c>
    </row>
    <row r="114" spans="1:10">
      <c r="A114" s="723">
        <f t="shared" si="16"/>
        <v>83</v>
      </c>
      <c r="B114" s="733" t="s">
        <v>182</v>
      </c>
      <c r="C114" s="736">
        <v>31</v>
      </c>
      <c r="D114" s="737">
        <v>0</v>
      </c>
      <c r="E114" s="737">
        <v>0</v>
      </c>
      <c r="F114" s="755">
        <f>IF(E114=0,0,D114/E114)</f>
        <v>0</v>
      </c>
      <c r="G114" s="738"/>
      <c r="H114" s="737">
        <v>0</v>
      </c>
      <c r="I114" s="739">
        <f>+H114*F114</f>
        <v>0</v>
      </c>
      <c r="J114" s="739">
        <f t="shared" ref="J114:J125" si="17">+I114+J113</f>
        <v>0</v>
      </c>
    </row>
    <row r="115" spans="1:10">
      <c r="A115" s="723">
        <f t="shared" si="16"/>
        <v>84</v>
      </c>
      <c r="B115" s="733" t="s">
        <v>183</v>
      </c>
      <c r="C115" s="740">
        <v>28</v>
      </c>
      <c r="D115" s="737">
        <v>0</v>
      </c>
      <c r="E115" s="737">
        <v>0</v>
      </c>
      <c r="F115" s="755">
        <f t="shared" ref="F115:F125" si="18">IF(E115=0,0,D115/E115)</f>
        <v>0</v>
      </c>
      <c r="G115" s="738"/>
      <c r="H115" s="737">
        <v>0</v>
      </c>
      <c r="I115" s="739">
        <f t="shared" ref="I115:I125" si="19">+H115*F115</f>
        <v>0</v>
      </c>
      <c r="J115" s="739">
        <f t="shared" si="17"/>
        <v>0</v>
      </c>
    </row>
    <row r="116" spans="1:10">
      <c r="A116" s="723">
        <f t="shared" si="16"/>
        <v>85</v>
      </c>
      <c r="B116" s="733" t="s">
        <v>571</v>
      </c>
      <c r="C116" s="736">
        <v>31</v>
      </c>
      <c r="D116" s="737">
        <v>0</v>
      </c>
      <c r="E116" s="737">
        <v>0</v>
      </c>
      <c r="F116" s="755">
        <f t="shared" si="18"/>
        <v>0</v>
      </c>
      <c r="G116" s="738"/>
      <c r="H116" s="737">
        <v>0</v>
      </c>
      <c r="I116" s="739">
        <f t="shared" si="19"/>
        <v>0</v>
      </c>
      <c r="J116" s="739">
        <f t="shared" si="17"/>
        <v>0</v>
      </c>
    </row>
    <row r="117" spans="1:10">
      <c r="A117" s="723">
        <f t="shared" si="16"/>
        <v>86</v>
      </c>
      <c r="B117" s="733" t="s">
        <v>184</v>
      </c>
      <c r="C117" s="736">
        <v>30</v>
      </c>
      <c r="D117" s="737">
        <v>0</v>
      </c>
      <c r="E117" s="737">
        <v>0</v>
      </c>
      <c r="F117" s="755">
        <f t="shared" si="18"/>
        <v>0</v>
      </c>
      <c r="G117" s="738"/>
      <c r="H117" s="737">
        <v>0</v>
      </c>
      <c r="I117" s="739">
        <f t="shared" si="19"/>
        <v>0</v>
      </c>
      <c r="J117" s="739">
        <f t="shared" si="17"/>
        <v>0</v>
      </c>
    </row>
    <row r="118" spans="1:10">
      <c r="A118" s="723">
        <f t="shared" si="16"/>
        <v>87</v>
      </c>
      <c r="B118" s="733" t="s">
        <v>185</v>
      </c>
      <c r="C118" s="736">
        <v>31</v>
      </c>
      <c r="D118" s="737">
        <v>0</v>
      </c>
      <c r="E118" s="737">
        <v>0</v>
      </c>
      <c r="F118" s="755">
        <f t="shared" si="18"/>
        <v>0</v>
      </c>
      <c r="G118" s="738"/>
      <c r="H118" s="737">
        <v>0</v>
      </c>
      <c r="I118" s="739">
        <f t="shared" si="19"/>
        <v>0</v>
      </c>
      <c r="J118" s="739">
        <f t="shared" si="17"/>
        <v>0</v>
      </c>
    </row>
    <row r="119" spans="1:10">
      <c r="A119" s="723">
        <f t="shared" si="16"/>
        <v>88</v>
      </c>
      <c r="B119" s="733" t="s">
        <v>186</v>
      </c>
      <c r="C119" s="736">
        <v>30</v>
      </c>
      <c r="D119" s="737">
        <v>0</v>
      </c>
      <c r="E119" s="737">
        <v>0</v>
      </c>
      <c r="F119" s="755">
        <f t="shared" si="18"/>
        <v>0</v>
      </c>
      <c r="G119" s="738"/>
      <c r="H119" s="737">
        <v>0</v>
      </c>
      <c r="I119" s="739">
        <f t="shared" si="19"/>
        <v>0</v>
      </c>
      <c r="J119" s="739">
        <f t="shared" si="17"/>
        <v>0</v>
      </c>
    </row>
    <row r="120" spans="1:10">
      <c r="A120" s="723">
        <f t="shared" si="16"/>
        <v>89</v>
      </c>
      <c r="B120" s="733" t="s">
        <v>187</v>
      </c>
      <c r="C120" s="736">
        <v>31</v>
      </c>
      <c r="D120" s="737">
        <v>0</v>
      </c>
      <c r="E120" s="737">
        <v>0</v>
      </c>
      <c r="F120" s="755">
        <f t="shared" si="18"/>
        <v>0</v>
      </c>
      <c r="G120" s="738"/>
      <c r="H120" s="737">
        <v>0</v>
      </c>
      <c r="I120" s="739">
        <f t="shared" si="19"/>
        <v>0</v>
      </c>
      <c r="J120" s="739">
        <f t="shared" si="17"/>
        <v>0</v>
      </c>
    </row>
    <row r="121" spans="1:10">
      <c r="A121" s="723">
        <f t="shared" si="16"/>
        <v>90</v>
      </c>
      <c r="B121" s="733" t="s">
        <v>572</v>
      </c>
      <c r="C121" s="736">
        <v>31</v>
      </c>
      <c r="D121" s="737">
        <v>0</v>
      </c>
      <c r="E121" s="737">
        <v>0</v>
      </c>
      <c r="F121" s="755">
        <f t="shared" si="18"/>
        <v>0</v>
      </c>
      <c r="G121" s="738"/>
      <c r="H121" s="737">
        <v>0</v>
      </c>
      <c r="I121" s="739">
        <f t="shared" si="19"/>
        <v>0</v>
      </c>
      <c r="J121" s="739">
        <f t="shared" si="17"/>
        <v>0</v>
      </c>
    </row>
    <row r="122" spans="1:10">
      <c r="A122" s="723">
        <f t="shared" si="16"/>
        <v>91</v>
      </c>
      <c r="B122" s="733" t="s">
        <v>188</v>
      </c>
      <c r="C122" s="736">
        <v>30</v>
      </c>
      <c r="D122" s="737">
        <v>0</v>
      </c>
      <c r="E122" s="737">
        <v>0</v>
      </c>
      <c r="F122" s="755">
        <f t="shared" si="18"/>
        <v>0</v>
      </c>
      <c r="G122" s="738"/>
      <c r="H122" s="737">
        <v>0</v>
      </c>
      <c r="I122" s="739">
        <f t="shared" si="19"/>
        <v>0</v>
      </c>
      <c r="J122" s="739">
        <f t="shared" si="17"/>
        <v>0</v>
      </c>
    </row>
    <row r="123" spans="1:10">
      <c r="A123" s="723">
        <f t="shared" si="16"/>
        <v>92</v>
      </c>
      <c r="B123" s="733" t="s">
        <v>189</v>
      </c>
      <c r="C123" s="736">
        <v>31</v>
      </c>
      <c r="D123" s="737">
        <v>0</v>
      </c>
      <c r="E123" s="737">
        <v>0</v>
      </c>
      <c r="F123" s="755">
        <f t="shared" si="18"/>
        <v>0</v>
      </c>
      <c r="G123" s="738"/>
      <c r="H123" s="737">
        <v>0</v>
      </c>
      <c r="I123" s="739">
        <f t="shared" si="19"/>
        <v>0</v>
      </c>
      <c r="J123" s="739">
        <f t="shared" si="17"/>
        <v>0</v>
      </c>
    </row>
    <row r="124" spans="1:10">
      <c r="A124" s="723">
        <f t="shared" si="16"/>
        <v>93</v>
      </c>
      <c r="B124" s="733" t="s">
        <v>190</v>
      </c>
      <c r="C124" s="736">
        <v>30</v>
      </c>
      <c r="D124" s="737">
        <v>0</v>
      </c>
      <c r="E124" s="737">
        <v>0</v>
      </c>
      <c r="F124" s="755">
        <f t="shared" si="18"/>
        <v>0</v>
      </c>
      <c r="G124" s="738"/>
      <c r="H124" s="737">
        <v>0</v>
      </c>
      <c r="I124" s="739">
        <f t="shared" si="19"/>
        <v>0</v>
      </c>
      <c r="J124" s="739">
        <f t="shared" si="17"/>
        <v>0</v>
      </c>
    </row>
    <row r="125" spans="1:10">
      <c r="A125" s="723">
        <f t="shared" si="16"/>
        <v>94</v>
      </c>
      <c r="B125" s="733" t="s">
        <v>573</v>
      </c>
      <c r="C125" s="736">
        <v>31</v>
      </c>
      <c r="D125" s="737">
        <v>0</v>
      </c>
      <c r="E125" s="737">
        <v>0</v>
      </c>
      <c r="F125" s="755">
        <f t="shared" si="18"/>
        <v>0</v>
      </c>
      <c r="G125" s="738"/>
      <c r="H125" s="737">
        <v>0</v>
      </c>
      <c r="I125" s="739">
        <f t="shared" si="19"/>
        <v>0</v>
      </c>
      <c r="J125" s="739">
        <f t="shared" si="17"/>
        <v>0</v>
      </c>
    </row>
    <row r="126" spans="1:10">
      <c r="A126" s="723">
        <f t="shared" si="16"/>
        <v>95</v>
      </c>
      <c r="B126" s="741"/>
      <c r="C126" s="741" t="s">
        <v>9</v>
      </c>
      <c r="D126" s="741"/>
      <c r="E126" s="741"/>
      <c r="F126" s="742"/>
      <c r="G126" s="734"/>
      <c r="H126" s="743">
        <f>SUM(H114:H125)</f>
        <v>0</v>
      </c>
      <c r="I126" s="743">
        <f>SUM(I114:I125)</f>
        <v>0</v>
      </c>
      <c r="J126" s="742"/>
    </row>
    <row r="127" spans="1:10">
      <c r="B127" s="745"/>
      <c r="C127" s="745"/>
      <c r="D127" s="745"/>
      <c r="E127" s="745"/>
      <c r="F127" s="744"/>
      <c r="G127" s="744"/>
      <c r="H127" s="746"/>
      <c r="I127" s="747"/>
      <c r="J127" s="744"/>
    </row>
    <row r="128" spans="1:10">
      <c r="A128" s="723">
        <f>+A126+1</f>
        <v>96</v>
      </c>
      <c r="B128" s="723" t="s">
        <v>963</v>
      </c>
      <c r="F128" s="748" t="s">
        <v>976</v>
      </c>
      <c r="G128" s="744"/>
      <c r="I128" s="744"/>
      <c r="J128" s="740">
        <f>'A3-ADIT'!E14</f>
        <v>-3143419</v>
      </c>
    </row>
    <row r="129" spans="1:10">
      <c r="A129" s="723">
        <f>+A128+1</f>
        <v>97</v>
      </c>
      <c r="B129" s="723" t="s">
        <v>965</v>
      </c>
      <c r="F129" s="723" t="str">
        <f>"(Line "&amp;A128&amp;" less line "&amp;A130&amp;")"</f>
        <v>(Line 96 less line 98)</v>
      </c>
      <c r="G129" s="744"/>
      <c r="I129" s="744"/>
      <c r="J129" s="720">
        <f>+J128-J130</f>
        <v>-3143419</v>
      </c>
    </row>
    <row r="130" spans="1:10">
      <c r="A130" s="723">
        <f t="shared" ref="A130:A136" si="20">+A129+1</f>
        <v>98</v>
      </c>
      <c r="B130" s="723" t="s">
        <v>966</v>
      </c>
      <c r="F130" s="723" t="str">
        <f>"(Line "&amp;A113&amp;", Col H)"</f>
        <v>(Line 82, Col H)</v>
      </c>
      <c r="G130" s="744"/>
      <c r="I130" s="744"/>
      <c r="J130" s="735">
        <f>+J113</f>
        <v>0</v>
      </c>
    </row>
    <row r="131" spans="1:10">
      <c r="A131" s="723">
        <f t="shared" si="20"/>
        <v>99</v>
      </c>
      <c r="B131" s="723" t="s">
        <v>967</v>
      </c>
      <c r="F131" s="748" t="s">
        <v>977</v>
      </c>
      <c r="G131" s="744"/>
      <c r="I131" s="744"/>
      <c r="J131" s="740">
        <f>'A3-ADIT'!E14</f>
        <v>-3143419</v>
      </c>
    </row>
    <row r="132" spans="1:10">
      <c r="A132" s="723">
        <f t="shared" si="20"/>
        <v>100</v>
      </c>
      <c r="B132" s="723" t="str">
        <f>+B129</f>
        <v>Less non Prorated Items</v>
      </c>
      <c r="F132" s="723" t="str">
        <f>"(Line "&amp;A131&amp;" less line "&amp;A133&amp;")"</f>
        <v>(Line 99 less line 101)</v>
      </c>
      <c r="G132" s="744"/>
      <c r="I132" s="744"/>
      <c r="J132" s="720">
        <f>+J131-J133</f>
        <v>-3143419</v>
      </c>
    </row>
    <row r="133" spans="1:10">
      <c r="A133" s="723">
        <f t="shared" si="20"/>
        <v>101</v>
      </c>
      <c r="B133" s="723" t="s">
        <v>969</v>
      </c>
      <c r="F133" s="723" t="str">
        <f>"(Line "&amp;A125&amp;", Col H)"</f>
        <v>(Line 94, Col H)</v>
      </c>
      <c r="G133" s="744"/>
      <c r="I133" s="744"/>
      <c r="J133" s="735">
        <f>+J125</f>
        <v>0</v>
      </c>
    </row>
    <row r="134" spans="1:10">
      <c r="A134" s="723">
        <f t="shared" si="20"/>
        <v>102</v>
      </c>
      <c r="B134" s="723" t="s">
        <v>869</v>
      </c>
      <c r="F134" s="723" t="str">
        <f>"([Lines "&amp;A130&amp;" + "&amp;A133&amp;"] /2)+([Lines "&amp;A129&amp;" +"&amp;A132&amp;")/2])"</f>
        <v>([Lines 98 + 101] /2)+([Lines 97 +100)/2])</v>
      </c>
      <c r="G134" s="744"/>
      <c r="I134" s="731"/>
      <c r="J134" s="749">
        <f>(J130+J133)/2+(J129+J132)/2</f>
        <v>-3143419</v>
      </c>
    </row>
    <row r="135" spans="1:10">
      <c r="A135" s="723">
        <f t="shared" si="20"/>
        <v>103</v>
      </c>
      <c r="B135" s="723" t="s">
        <v>972</v>
      </c>
      <c r="F135" s="723" t="s">
        <v>979</v>
      </c>
      <c r="G135" s="744"/>
      <c r="I135" s="731"/>
      <c r="J135" s="740">
        <v>0</v>
      </c>
    </row>
    <row r="136" spans="1:10">
      <c r="A136" s="723">
        <f t="shared" si="20"/>
        <v>104</v>
      </c>
      <c r="B136" s="723" t="s">
        <v>982</v>
      </c>
      <c r="F136" s="723" t="str">
        <f>"(Line "&amp;A134&amp;" less line "&amp;A135&amp;")"</f>
        <v>(Line 102 less line 103)</v>
      </c>
      <c r="J136" s="750">
        <f>+J134-J135</f>
        <v>-3143419</v>
      </c>
    </row>
  </sheetData>
  <mergeCells count="20">
    <mergeCell ref="B41:F41"/>
    <mergeCell ref="H41:J41"/>
    <mergeCell ref="A1:K1"/>
    <mergeCell ref="A2:K2"/>
    <mergeCell ref="A3:K3"/>
    <mergeCell ref="A35:K35"/>
    <mergeCell ref="A37:K37"/>
    <mergeCell ref="A36:K36"/>
    <mergeCell ref="B7:F7"/>
    <mergeCell ref="H7:J7"/>
    <mergeCell ref="A105:K105"/>
    <mergeCell ref="B75:F75"/>
    <mergeCell ref="H75:J75"/>
    <mergeCell ref="B109:F109"/>
    <mergeCell ref="H109:J109"/>
    <mergeCell ref="A69:K69"/>
    <mergeCell ref="A70:K70"/>
    <mergeCell ref="A71:K71"/>
    <mergeCell ref="A103:K103"/>
    <mergeCell ref="A104:K104"/>
  </mergeCells>
  <printOptions horizontalCentered="1"/>
  <pageMargins left="0.45" right="0.45" top="0.5" bottom="0.5" header="0.3" footer="0.3"/>
  <pageSetup scale="94" fitToHeight="0" orientation="portrait" r:id="rId1"/>
  <rowBreaks count="3" manualBreakCount="3">
    <brk id="34" max="9" man="1"/>
    <brk id="68" max="9" man="1"/>
    <brk id="102" max="9" man="1"/>
  </rowBreaks>
  <ignoredErrors>
    <ignoredError sqref="J99"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99"/>
    <pageSetUpPr fitToPage="1"/>
  </sheetPr>
  <dimension ref="A1:K161"/>
  <sheetViews>
    <sheetView topLeftCell="A3" zoomScale="75" zoomScaleNormal="75" workbookViewId="0">
      <selection activeCell="I40" sqref="I40"/>
    </sheetView>
  </sheetViews>
  <sheetFormatPr defaultColWidth="8.88671875" defaultRowHeight="12.75"/>
  <cols>
    <col min="1" max="1" width="5.88671875" style="487" bestFit="1" customWidth="1"/>
    <col min="2" max="2" width="50.21875" style="487" customWidth="1"/>
    <col min="3" max="3" width="19.5546875" style="491" bestFit="1" customWidth="1"/>
    <col min="4" max="4" width="12.109375" style="493" customWidth="1"/>
    <col min="5" max="5" width="8.5546875" style="487" bestFit="1" customWidth="1"/>
    <col min="6" max="16384" width="8.88671875" style="487"/>
  </cols>
  <sheetData>
    <row r="1" spans="1:7">
      <c r="A1" s="854" t="s">
        <v>829</v>
      </c>
      <c r="B1" s="854"/>
      <c r="C1" s="854"/>
      <c r="D1" s="854"/>
      <c r="E1" s="854"/>
      <c r="F1" s="311"/>
      <c r="G1" s="311"/>
    </row>
    <row r="2" spans="1:7">
      <c r="A2" s="854" t="s">
        <v>830</v>
      </c>
      <c r="B2" s="854"/>
      <c r="C2" s="854"/>
      <c r="D2" s="854"/>
      <c r="E2" s="854"/>
      <c r="F2" s="311"/>
      <c r="G2" s="311"/>
    </row>
    <row r="3" spans="1:7">
      <c r="A3" s="855" t="str">
        <f>'Act Att-H'!C7</f>
        <v>Cheyenne Light, Fuel &amp; Power</v>
      </c>
      <c r="B3" s="855"/>
      <c r="C3" s="855"/>
      <c r="D3" s="855"/>
      <c r="E3" s="855"/>
      <c r="F3" s="312"/>
      <c r="G3" s="312"/>
    </row>
    <row r="4" spans="1:7" ht="12.75" customHeight="1">
      <c r="A4" s="488"/>
      <c r="C4" s="489"/>
      <c r="D4" s="490" t="s">
        <v>261</v>
      </c>
      <c r="E4" s="490"/>
    </row>
    <row r="6" spans="1:7">
      <c r="A6" s="570" t="s">
        <v>562</v>
      </c>
      <c r="B6" s="570" t="s">
        <v>208</v>
      </c>
      <c r="C6" s="580" t="s">
        <v>635</v>
      </c>
      <c r="D6" s="571" t="s">
        <v>7</v>
      </c>
    </row>
    <row r="7" spans="1:7">
      <c r="C7" s="581"/>
    </row>
    <row r="8" spans="1:7">
      <c r="A8" s="491">
        <v>1</v>
      </c>
      <c r="B8" s="492" t="s">
        <v>897</v>
      </c>
      <c r="C8" s="581"/>
    </row>
    <row r="9" spans="1:7">
      <c r="A9" s="491">
        <f>A8+1</f>
        <v>2</v>
      </c>
      <c r="B9" s="494" t="s">
        <v>828</v>
      </c>
      <c r="C9" s="578" t="s">
        <v>603</v>
      </c>
      <c r="D9" s="572">
        <f>422+243180+67372+348727+68+-8483+159184</f>
        <v>810470</v>
      </c>
    </row>
    <row r="10" spans="1:7">
      <c r="A10" s="491">
        <f t="shared" ref="A10:A41" si="0">A9+1</f>
        <v>3</v>
      </c>
      <c r="B10" s="497" t="s">
        <v>827</v>
      </c>
      <c r="C10" s="578" t="s">
        <v>831</v>
      </c>
      <c r="D10" s="572">
        <v>0</v>
      </c>
    </row>
    <row r="11" spans="1:7">
      <c r="A11" s="491">
        <f t="shared" si="0"/>
        <v>4</v>
      </c>
      <c r="B11" s="498" t="s">
        <v>826</v>
      </c>
      <c r="C11" s="578" t="s">
        <v>832</v>
      </c>
      <c r="D11" s="572">
        <v>348727</v>
      </c>
    </row>
    <row r="12" spans="1:7">
      <c r="A12" s="491">
        <f t="shared" si="0"/>
        <v>5</v>
      </c>
      <c r="B12" s="498" t="s">
        <v>825</v>
      </c>
      <c r="C12" s="578" t="s">
        <v>833</v>
      </c>
      <c r="D12" s="572">
        <v>68</v>
      </c>
    </row>
    <row r="13" spans="1:7">
      <c r="A13" s="491">
        <f t="shared" si="0"/>
        <v>6</v>
      </c>
      <c r="B13" s="498" t="s">
        <v>824</v>
      </c>
      <c r="C13" s="578" t="s">
        <v>834</v>
      </c>
      <c r="D13" s="572">
        <v>-8483</v>
      </c>
    </row>
    <row r="14" spans="1:7">
      <c r="A14" s="491">
        <f t="shared" si="0"/>
        <v>7</v>
      </c>
      <c r="B14" s="498" t="s">
        <v>823</v>
      </c>
      <c r="C14" s="578" t="s">
        <v>835</v>
      </c>
      <c r="D14" s="572">
        <v>159184</v>
      </c>
    </row>
    <row r="15" spans="1:7">
      <c r="A15" s="491">
        <f t="shared" si="0"/>
        <v>8</v>
      </c>
      <c r="B15" s="574" t="s">
        <v>894</v>
      </c>
      <c r="C15" s="582" t="str">
        <f>"Sum Lines "&amp;A9&amp;" through "&amp;A14</f>
        <v>Sum Lines 2 through 7</v>
      </c>
      <c r="D15" s="573">
        <f>D9-D10-D11-D12-D13-D14</f>
        <v>310974</v>
      </c>
    </row>
    <row r="16" spans="1:7">
      <c r="A16" s="491">
        <f t="shared" si="0"/>
        <v>9</v>
      </c>
      <c r="B16" s="494"/>
      <c r="C16" s="495"/>
      <c r="D16" s="496"/>
    </row>
    <row r="17" spans="1:11">
      <c r="A17" s="491">
        <f t="shared" si="0"/>
        <v>10</v>
      </c>
      <c r="B17" s="494" t="s">
        <v>905</v>
      </c>
      <c r="C17" s="578" t="s">
        <v>919</v>
      </c>
      <c r="D17" s="236">
        <f>'A1-RevCred'!H48</f>
        <v>0</v>
      </c>
    </row>
    <row r="18" spans="1:11">
      <c r="A18" s="491">
        <f t="shared" si="0"/>
        <v>11</v>
      </c>
      <c r="B18" s="494"/>
      <c r="C18" s="495"/>
      <c r="D18" s="496"/>
    </row>
    <row r="19" spans="1:11">
      <c r="A19" s="491">
        <f t="shared" si="0"/>
        <v>12</v>
      </c>
      <c r="B19" s="494" t="s">
        <v>907</v>
      </c>
      <c r="C19" s="578" t="s">
        <v>908</v>
      </c>
      <c r="D19" s="583">
        <f>D15-D17</f>
        <v>310974</v>
      </c>
    </row>
    <row r="20" spans="1:11">
      <c r="A20" s="491">
        <f t="shared" si="0"/>
        <v>13</v>
      </c>
      <c r="B20" s="494"/>
      <c r="C20" s="578"/>
      <c r="D20" s="579"/>
    </row>
    <row r="21" spans="1:11">
      <c r="A21" s="491">
        <f t="shared" si="0"/>
        <v>14</v>
      </c>
      <c r="B21" s="492" t="s">
        <v>906</v>
      </c>
      <c r="C21" s="495"/>
      <c r="D21" s="496"/>
    </row>
    <row r="22" spans="1:11">
      <c r="A22" s="491">
        <f t="shared" si="0"/>
        <v>15</v>
      </c>
      <c r="B22" s="329" t="s">
        <v>901</v>
      </c>
      <c r="C22" s="578" t="s">
        <v>904</v>
      </c>
      <c r="D22" s="576">
        <f>D15</f>
        <v>310974</v>
      </c>
    </row>
    <row r="23" spans="1:11">
      <c r="A23" s="491">
        <f t="shared" si="0"/>
        <v>16</v>
      </c>
      <c r="B23" s="329" t="s">
        <v>940</v>
      </c>
      <c r="C23" s="578" t="s">
        <v>942</v>
      </c>
      <c r="D23" s="572">
        <f>D22</f>
        <v>310974</v>
      </c>
    </row>
    <row r="24" spans="1:11">
      <c r="A24" s="491">
        <f t="shared" si="0"/>
        <v>17</v>
      </c>
      <c r="B24" s="329" t="s">
        <v>312</v>
      </c>
      <c r="C24" s="578" t="s">
        <v>909</v>
      </c>
      <c r="D24" s="577">
        <f>D22-D23</f>
        <v>0</v>
      </c>
    </row>
    <row r="25" spans="1:11" s="329" customFormat="1">
      <c r="A25" s="491">
        <f t="shared" si="0"/>
        <v>18</v>
      </c>
      <c r="B25" s="329" t="s">
        <v>902</v>
      </c>
      <c r="C25" s="568" t="s">
        <v>932</v>
      </c>
      <c r="D25" s="367">
        <f>'TU-TrueUp'!H52</f>
        <v>0</v>
      </c>
      <c r="I25" s="336"/>
      <c r="J25" s="352"/>
      <c r="K25" s="336"/>
    </row>
    <row r="26" spans="1:11" s="329" customFormat="1">
      <c r="A26" s="491">
        <f t="shared" si="0"/>
        <v>19</v>
      </c>
      <c r="B26" s="329" t="s">
        <v>903</v>
      </c>
      <c r="C26" s="329" t="s">
        <v>910</v>
      </c>
      <c r="D26" s="369">
        <f>D25*D24</f>
        <v>0</v>
      </c>
      <c r="I26" s="336"/>
      <c r="J26" s="352"/>
      <c r="K26" s="336"/>
    </row>
    <row r="27" spans="1:11" s="329" customFormat="1">
      <c r="A27" s="491">
        <f t="shared" si="0"/>
        <v>20</v>
      </c>
      <c r="B27" s="568" t="s">
        <v>609</v>
      </c>
      <c r="C27" s="568" t="s">
        <v>911</v>
      </c>
      <c r="D27" s="584">
        <f>(D24+D26)</f>
        <v>0</v>
      </c>
      <c r="E27" s="330"/>
      <c r="I27" s="336"/>
      <c r="J27" s="352"/>
      <c r="K27" s="336"/>
    </row>
    <row r="28" spans="1:11" s="329" customFormat="1">
      <c r="A28" s="491">
        <f t="shared" si="0"/>
        <v>21</v>
      </c>
      <c r="B28" s="332"/>
      <c r="C28" s="568"/>
      <c r="E28" s="330"/>
      <c r="F28" s="575"/>
      <c r="I28" s="336"/>
      <c r="J28" s="352"/>
      <c r="K28" s="336"/>
    </row>
    <row r="29" spans="1:11" s="329" customFormat="1" ht="13.5" thickBot="1">
      <c r="A29" s="491">
        <f t="shared" si="0"/>
        <v>22</v>
      </c>
      <c r="B29" s="332" t="s">
        <v>900</v>
      </c>
      <c r="C29" s="568" t="s">
        <v>941</v>
      </c>
      <c r="D29" s="592">
        <f>D19+D27</f>
        <v>310974</v>
      </c>
      <c r="E29" s="330"/>
      <c r="F29" s="575"/>
      <c r="I29" s="336"/>
      <c r="J29" s="352"/>
      <c r="K29" s="336"/>
    </row>
    <row r="30" spans="1:11" s="329" customFormat="1" ht="13.5" thickTop="1">
      <c r="A30" s="491">
        <f t="shared" si="0"/>
        <v>23</v>
      </c>
      <c r="B30" s="332"/>
      <c r="C30" s="568"/>
      <c r="E30" s="330"/>
      <c r="F30" s="575"/>
      <c r="I30" s="336"/>
      <c r="J30" s="352"/>
      <c r="K30" s="336"/>
    </row>
    <row r="31" spans="1:11">
      <c r="A31" s="491">
        <f t="shared" si="0"/>
        <v>24</v>
      </c>
      <c r="B31" s="492" t="s">
        <v>214</v>
      </c>
      <c r="C31" s="90"/>
      <c r="D31" s="143"/>
      <c r="E31" s="90"/>
      <c r="F31" s="90"/>
      <c r="G31" s="90"/>
      <c r="H31" s="90"/>
      <c r="I31" s="143"/>
      <c r="J31" s="90"/>
      <c r="K31" s="89"/>
    </row>
    <row r="32" spans="1:11">
      <c r="A32" s="491">
        <f t="shared" si="0"/>
        <v>25</v>
      </c>
      <c r="B32" s="133" t="s">
        <v>277</v>
      </c>
      <c r="C32" s="132" t="s">
        <v>624</v>
      </c>
      <c r="D32" s="236">
        <f>'P3-Divisor'!G24</f>
        <v>239282.9436287838</v>
      </c>
      <c r="E32" s="90"/>
      <c r="F32" s="90"/>
      <c r="G32" s="89"/>
      <c r="H32" s="90"/>
      <c r="J32" s="90"/>
      <c r="K32" s="89"/>
    </row>
    <row r="33" spans="1:11">
      <c r="A33" s="491">
        <f t="shared" si="0"/>
        <v>26</v>
      </c>
      <c r="B33" s="133"/>
      <c r="C33" s="137"/>
      <c r="D33" s="137"/>
      <c r="E33" s="137"/>
      <c r="F33" s="137"/>
      <c r="G33" s="140"/>
      <c r="H33" s="137"/>
      <c r="I33" s="137"/>
      <c r="J33" s="90"/>
      <c r="K33" s="89"/>
    </row>
    <row r="34" spans="1:11">
      <c r="A34" s="491">
        <f t="shared" si="0"/>
        <v>27</v>
      </c>
      <c r="B34" s="492" t="s">
        <v>169</v>
      </c>
      <c r="C34" s="153"/>
      <c r="D34" s="153"/>
      <c r="E34" s="153"/>
      <c r="F34" s="153"/>
      <c r="G34" s="153"/>
      <c r="H34" s="153"/>
      <c r="I34" s="153"/>
      <c r="J34" s="153"/>
      <c r="K34" s="89"/>
    </row>
    <row r="35" spans="1:11">
      <c r="A35" s="491">
        <f t="shared" si="0"/>
        <v>28</v>
      </c>
      <c r="B35" s="133" t="s">
        <v>278</v>
      </c>
      <c r="C35" s="133"/>
      <c r="D35" s="792">
        <f>ROUND(D29/D32,2)</f>
        <v>1.3</v>
      </c>
      <c r="E35" s="133" t="s">
        <v>266</v>
      </c>
      <c r="F35" s="792">
        <f>+ROUND(D35*1000,2)</f>
        <v>1300</v>
      </c>
      <c r="G35" s="133" t="s">
        <v>1056</v>
      </c>
      <c r="H35" s="153"/>
      <c r="I35" s="153"/>
      <c r="J35" s="153"/>
      <c r="K35" s="89"/>
    </row>
    <row r="36" spans="1:11">
      <c r="A36" s="491">
        <f t="shared" si="0"/>
        <v>29</v>
      </c>
      <c r="B36" s="133" t="s">
        <v>279</v>
      </c>
      <c r="C36" s="133" t="s">
        <v>898</v>
      </c>
      <c r="D36" s="792">
        <f>ROUND(D35/12,2)</f>
        <v>0.11</v>
      </c>
      <c r="E36" s="133" t="s">
        <v>267</v>
      </c>
      <c r="F36" s="792">
        <f t="shared" ref="F36:F39" si="1">+ROUND(D36*1000,2)</f>
        <v>110</v>
      </c>
      <c r="G36" s="133" t="s">
        <v>1057</v>
      </c>
      <c r="H36" s="153"/>
      <c r="I36" s="153"/>
      <c r="J36" s="153"/>
      <c r="K36" s="89"/>
    </row>
    <row r="37" spans="1:11">
      <c r="A37" s="491">
        <f t="shared" si="0"/>
        <v>30</v>
      </c>
      <c r="B37" s="133" t="s">
        <v>280</v>
      </c>
      <c r="C37" s="133" t="s">
        <v>899</v>
      </c>
      <c r="D37" s="792">
        <f>ROUND(D35/52,2)</f>
        <v>0.03</v>
      </c>
      <c r="E37" s="133" t="s">
        <v>268</v>
      </c>
      <c r="F37" s="792">
        <f t="shared" si="1"/>
        <v>30</v>
      </c>
      <c r="G37" s="133" t="s">
        <v>1058</v>
      </c>
      <c r="H37" s="153"/>
      <c r="I37" s="153"/>
      <c r="J37" s="153"/>
      <c r="K37" s="89"/>
    </row>
    <row r="38" spans="1:11">
      <c r="A38" s="491">
        <f t="shared" si="0"/>
        <v>31</v>
      </c>
      <c r="B38" s="133" t="s">
        <v>281</v>
      </c>
      <c r="C38" s="133" t="s">
        <v>269</v>
      </c>
      <c r="D38" s="793">
        <f>+D37/6</f>
        <v>5.0000000000000001E-3</v>
      </c>
      <c r="E38" s="133" t="s">
        <v>270</v>
      </c>
      <c r="F38" s="792">
        <f t="shared" si="1"/>
        <v>5</v>
      </c>
      <c r="G38" s="133" t="s">
        <v>1059</v>
      </c>
      <c r="H38" s="153"/>
      <c r="I38" s="153"/>
      <c r="J38" s="153"/>
      <c r="K38" s="89"/>
    </row>
    <row r="39" spans="1:11">
      <c r="A39" s="491">
        <f t="shared" si="0"/>
        <v>32</v>
      </c>
      <c r="B39" s="133" t="s">
        <v>282</v>
      </c>
      <c r="C39" s="133" t="s">
        <v>271</v>
      </c>
      <c r="D39" s="793">
        <f>+D37/7</f>
        <v>4.2857142857142859E-3</v>
      </c>
      <c r="E39" s="133" t="s">
        <v>270</v>
      </c>
      <c r="F39" s="792">
        <f t="shared" si="1"/>
        <v>4.29</v>
      </c>
      <c r="G39" s="133" t="s">
        <v>1059</v>
      </c>
      <c r="H39" s="153"/>
      <c r="I39" s="153"/>
      <c r="J39" s="153"/>
      <c r="K39" s="89"/>
    </row>
    <row r="40" spans="1:11">
      <c r="A40" s="491">
        <f t="shared" si="0"/>
        <v>33</v>
      </c>
      <c r="B40" s="133" t="s">
        <v>283</v>
      </c>
      <c r="C40" s="133" t="s">
        <v>272</v>
      </c>
      <c r="D40" s="795">
        <f>+D38/16*1000</f>
        <v>0.3125</v>
      </c>
      <c r="E40" s="133" t="s">
        <v>1018</v>
      </c>
      <c r="F40" s="792">
        <f>+D40</f>
        <v>0.3125</v>
      </c>
      <c r="G40" s="133" t="s">
        <v>1018</v>
      </c>
      <c r="H40" s="153"/>
      <c r="I40" s="153"/>
      <c r="J40" s="153"/>
      <c r="K40" s="89"/>
    </row>
    <row r="41" spans="1:11">
      <c r="A41" s="491">
        <f t="shared" si="0"/>
        <v>34</v>
      </c>
      <c r="B41" s="133" t="s">
        <v>284</v>
      </c>
      <c r="C41" s="133" t="s">
        <v>273</v>
      </c>
      <c r="D41" s="795">
        <f>+D39/24*1000</f>
        <v>0.17857142857142858</v>
      </c>
      <c r="E41" s="133" t="s">
        <v>1018</v>
      </c>
      <c r="F41" s="792">
        <f>+D41</f>
        <v>0.17857142857142858</v>
      </c>
      <c r="G41" s="133" t="s">
        <v>1018</v>
      </c>
      <c r="H41" s="153"/>
      <c r="I41" s="153"/>
      <c r="J41" s="153"/>
      <c r="K41" s="89"/>
    </row>
    <row r="42" spans="1:11">
      <c r="A42" s="491"/>
      <c r="B42" s="133"/>
      <c r="C42" s="133"/>
      <c r="D42" s="794"/>
      <c r="E42" s="133"/>
      <c r="F42" s="153"/>
      <c r="G42" s="153"/>
      <c r="H42" s="153"/>
      <c r="I42" s="153"/>
      <c r="J42" s="153"/>
      <c r="K42" s="89"/>
    </row>
    <row r="43" spans="1:11">
      <c r="A43" s="491"/>
      <c r="B43" s="494"/>
      <c r="C43" s="569"/>
      <c r="D43" s="496"/>
    </row>
    <row r="44" spans="1:11">
      <c r="A44" s="276" t="s">
        <v>191</v>
      </c>
      <c r="B44" s="494"/>
      <c r="C44" s="495"/>
      <c r="D44" s="496"/>
    </row>
    <row r="45" spans="1:11">
      <c r="A45" s="551" t="s">
        <v>84</v>
      </c>
      <c r="B45" s="902" t="s">
        <v>943</v>
      </c>
      <c r="C45" s="902"/>
      <c r="D45" s="902"/>
    </row>
    <row r="46" spans="1:11">
      <c r="A46" s="491" t="s">
        <v>85</v>
      </c>
      <c r="B46" s="903" t="s">
        <v>944</v>
      </c>
      <c r="C46" s="903"/>
      <c r="D46" s="903"/>
    </row>
    <row r="47" spans="1:11">
      <c r="A47" s="491"/>
      <c r="B47" s="900"/>
      <c r="C47" s="900"/>
      <c r="D47" s="900"/>
    </row>
    <row r="48" spans="1:11">
      <c r="A48" s="491"/>
      <c r="B48" s="712"/>
      <c r="C48" s="712"/>
      <c r="D48" s="713"/>
    </row>
    <row r="49" spans="1:5">
      <c r="A49" s="491"/>
      <c r="B49" s="711"/>
      <c r="C49" s="712"/>
      <c r="D49" s="713"/>
    </row>
    <row r="50" spans="1:5">
      <c r="A50" s="491"/>
      <c r="B50" s="901"/>
      <c r="C50" s="901"/>
      <c r="D50" s="901"/>
    </row>
    <row r="51" spans="1:5">
      <c r="A51" s="491"/>
      <c r="B51" s="494"/>
      <c r="C51" s="495"/>
      <c r="D51" s="503"/>
      <c r="E51" s="504"/>
    </row>
    <row r="52" spans="1:5">
      <c r="A52" s="491"/>
      <c r="B52" s="494"/>
      <c r="C52" s="495"/>
      <c r="D52" s="503"/>
    </row>
    <row r="53" spans="1:5">
      <c r="A53" s="491"/>
      <c r="B53" s="494"/>
      <c r="C53" s="495"/>
      <c r="D53" s="503"/>
    </row>
    <row r="54" spans="1:5">
      <c r="A54" s="491"/>
      <c r="B54" s="494"/>
      <c r="C54" s="495"/>
      <c r="D54" s="503"/>
    </row>
    <row r="55" spans="1:5">
      <c r="A55" s="491"/>
      <c r="C55" s="495"/>
      <c r="D55" s="500"/>
    </row>
    <row r="56" spans="1:5">
      <c r="A56" s="491"/>
      <c r="B56" s="505"/>
      <c r="D56" s="500"/>
    </row>
    <row r="57" spans="1:5">
      <c r="A57" s="491"/>
      <c r="B57" s="505"/>
      <c r="D57" s="500"/>
    </row>
    <row r="58" spans="1:5">
      <c r="A58" s="491"/>
      <c r="B58" s="505"/>
      <c r="D58" s="500"/>
    </row>
    <row r="59" spans="1:5">
      <c r="A59" s="491"/>
      <c r="B59" s="505"/>
      <c r="D59" s="500"/>
    </row>
    <row r="60" spans="1:5">
      <c r="A60" s="491"/>
      <c r="B60" s="505"/>
      <c r="D60" s="500"/>
    </row>
    <row r="61" spans="1:5">
      <c r="A61" s="491"/>
      <c r="B61" s="505"/>
      <c r="D61" s="500"/>
    </row>
    <row r="62" spans="1:5">
      <c r="A62" s="491"/>
      <c r="B62" s="505"/>
      <c r="D62" s="500"/>
    </row>
    <row r="63" spans="1:5">
      <c r="A63" s="491"/>
      <c r="B63" s="505"/>
      <c r="D63" s="500"/>
    </row>
    <row r="64" spans="1:5">
      <c r="A64" s="491"/>
      <c r="B64" s="505"/>
      <c r="D64" s="500"/>
    </row>
    <row r="65" spans="1:5">
      <c r="A65" s="491"/>
      <c r="B65" s="505"/>
      <c r="D65" s="500"/>
    </row>
    <row r="66" spans="1:5">
      <c r="A66" s="491"/>
      <c r="B66" s="494"/>
      <c r="D66" s="496"/>
    </row>
    <row r="67" spans="1:5">
      <c r="A67" s="491"/>
      <c r="B67" s="494"/>
      <c r="C67" s="495"/>
      <c r="D67" s="496"/>
    </row>
    <row r="68" spans="1:5">
      <c r="A68" s="491"/>
      <c r="B68" s="494"/>
      <c r="D68" s="500"/>
    </row>
    <row r="69" spans="1:5">
      <c r="A69" s="491"/>
      <c r="B69" s="494"/>
      <c r="D69" s="500"/>
    </row>
    <row r="70" spans="1:5">
      <c r="A70" s="491"/>
      <c r="B70" s="494"/>
      <c r="D70" s="500"/>
    </row>
    <row r="71" spans="1:5">
      <c r="A71" s="495"/>
      <c r="B71" s="501"/>
      <c r="C71" s="495"/>
      <c r="D71" s="496"/>
      <c r="E71" s="506"/>
    </row>
    <row r="72" spans="1:5">
      <c r="A72" s="495"/>
      <c r="B72" s="499"/>
      <c r="C72" s="495"/>
      <c r="D72" s="502"/>
      <c r="E72" s="506"/>
    </row>
    <row r="73" spans="1:5">
      <c r="A73" s="495"/>
      <c r="B73" s="499"/>
      <c r="C73" s="495"/>
      <c r="D73" s="502"/>
      <c r="E73" s="506"/>
    </row>
    <row r="74" spans="1:5">
      <c r="A74" s="495"/>
      <c r="B74" s="499"/>
      <c r="C74" s="495"/>
      <c r="D74" s="507"/>
      <c r="E74" s="506"/>
    </row>
    <row r="75" spans="1:5">
      <c r="A75" s="495"/>
      <c r="B75" s="499"/>
      <c r="C75" s="495"/>
      <c r="D75" s="507"/>
      <c r="E75" s="506"/>
    </row>
    <row r="76" spans="1:5">
      <c r="A76" s="495"/>
      <c r="B76" s="499"/>
      <c r="C76" s="495"/>
      <c r="D76" s="507"/>
      <c r="E76" s="506"/>
    </row>
    <row r="77" spans="1:5">
      <c r="A77" s="495"/>
      <c r="B77" s="499"/>
      <c r="C77" s="495"/>
      <c r="D77" s="507"/>
      <c r="E77" s="506"/>
    </row>
    <row r="78" spans="1:5">
      <c r="A78" s="491"/>
      <c r="B78" s="494"/>
      <c r="D78" s="500"/>
    </row>
    <row r="79" spans="1:5">
      <c r="A79" s="491"/>
      <c r="B79" s="494"/>
      <c r="D79" s="500"/>
    </row>
    <row r="80" spans="1:5">
      <c r="A80" s="491"/>
      <c r="B80" s="494"/>
      <c r="D80" s="500"/>
    </row>
    <row r="150" spans="1:11" s="491" customFormat="1">
      <c r="A150" s="487"/>
      <c r="B150" s="487"/>
      <c r="D150" s="493"/>
      <c r="E150" s="487"/>
      <c r="F150" s="487"/>
      <c r="G150" s="487"/>
      <c r="H150" s="487"/>
      <c r="I150" s="487"/>
      <c r="J150" s="487"/>
      <c r="K150" s="487"/>
    </row>
    <row r="161" spans="1:11">
      <c r="A161" s="506"/>
      <c r="B161" s="506"/>
      <c r="E161" s="491"/>
      <c r="F161" s="491"/>
      <c r="G161" s="491"/>
      <c r="H161" s="491"/>
      <c r="I161" s="491"/>
      <c r="J161" s="491"/>
      <c r="K161" s="491"/>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274"/>
  <sheetViews>
    <sheetView topLeftCell="A89" zoomScale="75" zoomScaleNormal="75" workbookViewId="0">
      <selection activeCell="L127" sqref="L127"/>
    </sheetView>
  </sheetViews>
  <sheetFormatPr defaultColWidth="8.88671875" defaultRowHeight="12.75"/>
  <cols>
    <col min="1" max="1" width="4.21875" style="132" customWidth="1"/>
    <col min="2" max="2" width="44.5546875" style="132" customWidth="1"/>
    <col min="3" max="3" width="41.88671875" style="132" customWidth="1"/>
    <col min="4" max="4" width="12.77734375" style="132" customWidth="1"/>
    <col min="5" max="5" width="4.77734375" style="132" customWidth="1"/>
    <col min="6" max="6" width="3.21875" style="132" customWidth="1"/>
    <col min="7" max="7" width="10.6640625" style="132" customWidth="1"/>
    <col min="8" max="8" width="3.6640625" style="132" customWidth="1"/>
    <col min="9" max="9" width="12.44140625" style="132" customWidth="1"/>
    <col min="10" max="10" width="1.44140625" style="132" customWidth="1"/>
    <col min="11" max="11" width="10" style="166" customWidth="1"/>
    <col min="12" max="12" width="8.88671875" style="132"/>
    <col min="13" max="14" width="10.88671875" style="132" customWidth="1"/>
    <col min="15" max="15" width="9.33203125" style="132" bestFit="1" customWidth="1"/>
    <col min="16" max="16" width="8.88671875" style="132"/>
    <col min="17" max="17" width="10.33203125" style="132" customWidth="1"/>
    <col min="18" max="18" width="8.88671875" style="132"/>
    <col min="19" max="19" width="10.21875" style="132" customWidth="1"/>
    <col min="20" max="16384" width="8.88671875" style="132"/>
  </cols>
  <sheetData>
    <row r="1" spans="1:11">
      <c r="B1" s="133"/>
      <c r="C1" s="133"/>
      <c r="D1" s="134"/>
      <c r="E1" s="133"/>
      <c r="F1" s="133"/>
      <c r="G1" s="133"/>
      <c r="H1" s="90"/>
      <c r="I1" s="833" t="s">
        <v>533</v>
      </c>
      <c r="J1" s="833"/>
      <c r="K1" s="833"/>
    </row>
    <row r="2" spans="1:11">
      <c r="B2" s="133"/>
      <c r="C2" s="133"/>
      <c r="D2" s="134"/>
      <c r="E2" s="133"/>
      <c r="F2" s="133"/>
      <c r="G2" s="133"/>
      <c r="H2" s="90"/>
      <c r="I2" s="90"/>
      <c r="J2" s="832" t="s">
        <v>261</v>
      </c>
      <c r="K2" s="832"/>
    </row>
    <row r="3" spans="1:11">
      <c r="B3" s="133"/>
      <c r="D3" s="134"/>
      <c r="E3" s="133"/>
      <c r="F3" s="133"/>
      <c r="G3" s="133"/>
      <c r="H3" s="90"/>
      <c r="I3" s="90"/>
      <c r="J3" s="90"/>
      <c r="K3" s="135"/>
    </row>
    <row r="4" spans="1:11">
      <c r="B4" s="134" t="s">
        <v>0</v>
      </c>
      <c r="C4" s="102" t="s">
        <v>131</v>
      </c>
      <c r="E4" s="133"/>
      <c r="F4" s="133"/>
      <c r="G4" s="133"/>
      <c r="H4" s="90"/>
      <c r="I4" s="90"/>
      <c r="J4" s="90"/>
      <c r="K4" s="136" t="s">
        <v>1051</v>
      </c>
    </row>
    <row r="5" spans="1:11">
      <c r="B5" s="133"/>
      <c r="C5" s="138" t="s">
        <v>132</v>
      </c>
      <c r="E5" s="137"/>
      <c r="F5" s="137"/>
      <c r="G5" s="137"/>
      <c r="H5" s="90"/>
      <c r="I5" s="90"/>
      <c r="J5" s="90"/>
      <c r="K5" s="89"/>
    </row>
    <row r="6" spans="1:11">
      <c r="B6" s="133"/>
      <c r="C6" s="137"/>
      <c r="D6" s="137"/>
      <c r="E6" s="137"/>
      <c r="F6" s="137"/>
      <c r="G6" s="137"/>
      <c r="H6" s="90"/>
      <c r="I6" s="90"/>
      <c r="J6" s="90"/>
      <c r="K6" s="89"/>
    </row>
    <row r="7" spans="1:11">
      <c r="B7" s="133"/>
      <c r="C7" s="139" t="s">
        <v>139</v>
      </c>
      <c r="E7" s="137"/>
      <c r="F7" s="137"/>
      <c r="G7" s="137"/>
      <c r="H7" s="137"/>
      <c r="I7" s="137"/>
      <c r="J7" s="137"/>
      <c r="K7" s="140"/>
    </row>
    <row r="8" spans="1:11">
      <c r="A8" s="102" t="s">
        <v>4</v>
      </c>
      <c r="B8" s="90"/>
      <c r="C8" s="90"/>
      <c r="D8" s="141"/>
      <c r="E8" s="90"/>
      <c r="F8" s="90"/>
      <c r="G8" s="90"/>
      <c r="H8" s="90"/>
      <c r="I8" s="102" t="s">
        <v>5</v>
      </c>
      <c r="J8" s="90"/>
      <c r="K8" s="89"/>
    </row>
    <row r="9" spans="1:11" ht="13.5" thickBot="1">
      <c r="A9" s="142" t="s">
        <v>6</v>
      </c>
      <c r="B9" s="90"/>
      <c r="C9" s="90"/>
      <c r="D9" s="90"/>
      <c r="E9" s="90"/>
      <c r="F9" s="90"/>
      <c r="G9" s="90"/>
      <c r="H9" s="90"/>
      <c r="I9" s="142" t="s">
        <v>7</v>
      </c>
      <c r="J9" s="90"/>
      <c r="K9" s="89"/>
    </row>
    <row r="10" spans="1:11">
      <c r="A10" s="102">
        <v>1</v>
      </c>
      <c r="B10" s="90" t="s">
        <v>134</v>
      </c>
      <c r="C10" s="90"/>
      <c r="D10" s="143"/>
      <c r="E10" s="90"/>
      <c r="F10" s="90"/>
      <c r="G10" s="90"/>
      <c r="H10" s="90"/>
      <c r="I10" s="144">
        <f>'Act Att-H'!I155</f>
        <v>6483231.1747665796</v>
      </c>
      <c r="J10" s="90"/>
      <c r="K10" s="89"/>
    </row>
    <row r="11" spans="1:11">
      <c r="A11" s="102"/>
      <c r="B11" s="90"/>
      <c r="C11" s="90"/>
      <c r="D11" s="90"/>
      <c r="E11" s="90"/>
      <c r="F11" s="90"/>
      <c r="G11" s="90"/>
      <c r="H11" s="90"/>
      <c r="I11" s="143"/>
      <c r="J11" s="90"/>
      <c r="K11" s="89"/>
    </row>
    <row r="12" spans="1:11" ht="15.75" customHeight="1" thickBot="1">
      <c r="A12" s="102" t="s">
        <v>2</v>
      </c>
      <c r="B12" s="133" t="s">
        <v>8</v>
      </c>
      <c r="C12" s="140" t="s">
        <v>510</v>
      </c>
      <c r="D12" s="142" t="s">
        <v>9</v>
      </c>
      <c r="E12" s="137"/>
      <c r="F12" s="841" t="s">
        <v>10</v>
      </c>
      <c r="G12" s="841"/>
      <c r="H12" s="90"/>
      <c r="I12" s="143"/>
      <c r="J12" s="90"/>
      <c r="K12" s="89"/>
    </row>
    <row r="13" spans="1:11">
      <c r="A13" s="102">
        <v>2</v>
      </c>
      <c r="B13" s="133" t="s">
        <v>12</v>
      </c>
      <c r="C13" s="137" t="s">
        <v>720</v>
      </c>
      <c r="D13" s="236">
        <f>'A1-RevCred'!G12</f>
        <v>922124</v>
      </c>
      <c r="E13" s="137"/>
      <c r="F13" s="137" t="s">
        <v>11</v>
      </c>
      <c r="G13" s="146">
        <f>$I$174</f>
        <v>1</v>
      </c>
      <c r="H13" s="137"/>
      <c r="I13" s="77">
        <f>+G13*D13</f>
        <v>922124</v>
      </c>
      <c r="J13" s="90"/>
      <c r="K13" s="89"/>
    </row>
    <row r="14" spans="1:11">
      <c r="A14" s="102">
        <v>3</v>
      </c>
      <c r="B14" s="133" t="s">
        <v>119</v>
      </c>
      <c r="C14" s="137" t="s">
        <v>920</v>
      </c>
      <c r="D14" s="236">
        <f>'A1-RevCred'!F48</f>
        <v>369695</v>
      </c>
      <c r="E14" s="137"/>
      <c r="F14" s="147" t="str">
        <f t="shared" ref="F14" si="0">+F13</f>
        <v>TP</v>
      </c>
      <c r="G14" s="146">
        <f>$I$174</f>
        <v>1</v>
      </c>
      <c r="H14" s="137"/>
      <c r="I14" s="77">
        <f>+G14*D14</f>
        <v>369695</v>
      </c>
      <c r="J14" s="90"/>
      <c r="K14" s="89"/>
    </row>
    <row r="15" spans="1:11">
      <c r="A15" s="102">
        <v>4</v>
      </c>
      <c r="B15" s="238" t="s">
        <v>625</v>
      </c>
      <c r="C15" s="137"/>
      <c r="D15" s="237"/>
      <c r="E15" s="137"/>
      <c r="F15" s="147"/>
      <c r="G15" s="146"/>
      <c r="H15" s="137"/>
      <c r="I15" s="77"/>
      <c r="J15" s="90"/>
      <c r="K15" s="89"/>
    </row>
    <row r="16" spans="1:11" ht="13.5" thickBot="1">
      <c r="A16" s="102">
        <v>5</v>
      </c>
      <c r="B16" s="238" t="s">
        <v>625</v>
      </c>
      <c r="C16" s="137"/>
      <c r="D16" s="237"/>
      <c r="E16" s="137"/>
      <c r="F16" s="147"/>
      <c r="G16" s="146"/>
      <c r="H16" s="137"/>
      <c r="I16" s="78"/>
      <c r="J16" s="90"/>
      <c r="K16" s="89"/>
    </row>
    <row r="17" spans="1:11">
      <c r="A17" s="102">
        <v>6</v>
      </c>
      <c r="B17" s="133" t="s">
        <v>97</v>
      </c>
      <c r="C17" s="90"/>
      <c r="D17" s="149" t="s">
        <v>2</v>
      </c>
      <c r="E17" s="137"/>
      <c r="F17" s="137"/>
      <c r="G17" s="150"/>
      <c r="H17" s="137"/>
      <c r="I17" s="77">
        <f>SUM(I13:I16)</f>
        <v>1291819</v>
      </c>
      <c r="J17" s="90"/>
      <c r="K17" s="89"/>
    </row>
    <row r="18" spans="1:11">
      <c r="A18" s="102"/>
      <c r="B18" s="133"/>
      <c r="C18" s="90"/>
      <c r="I18" s="77"/>
      <c r="J18" s="90"/>
      <c r="K18" s="89"/>
    </row>
    <row r="19" spans="1:11" ht="13.5" thickBot="1">
      <c r="A19" s="102">
        <v>7</v>
      </c>
      <c r="B19" s="133" t="s">
        <v>13</v>
      </c>
      <c r="C19" s="90" t="s">
        <v>931</v>
      </c>
      <c r="D19" s="149"/>
      <c r="E19" s="137"/>
      <c r="F19" s="137"/>
      <c r="G19" s="137"/>
      <c r="H19" s="137"/>
      <c r="I19" s="151">
        <f>I10-I17</f>
        <v>5191412.1747665796</v>
      </c>
      <c r="J19" s="90"/>
      <c r="K19" s="89"/>
    </row>
    <row r="20" spans="1:11" ht="13.5" thickTop="1">
      <c r="A20" s="102"/>
      <c r="B20" s="133"/>
      <c r="C20" s="90"/>
      <c r="D20" s="149"/>
      <c r="E20" s="137"/>
      <c r="F20" s="137"/>
      <c r="G20" s="137"/>
      <c r="H20" s="137"/>
      <c r="I20" s="552"/>
      <c r="J20" s="90"/>
      <c r="K20" s="89"/>
    </row>
    <row r="21" spans="1:11">
      <c r="A21" s="102"/>
      <c r="B21" s="133" t="s">
        <v>14</v>
      </c>
      <c r="C21" s="90"/>
      <c r="D21" s="143"/>
      <c r="E21" s="90"/>
      <c r="F21" s="90"/>
      <c r="G21" s="90"/>
      <c r="H21" s="90"/>
      <c r="I21" s="143"/>
      <c r="J21" s="90"/>
      <c r="K21" s="89"/>
    </row>
    <row r="22" spans="1:11">
      <c r="A22" s="102">
        <v>8</v>
      </c>
      <c r="B22" s="133" t="s">
        <v>277</v>
      </c>
      <c r="C22" s="132" t="s">
        <v>721</v>
      </c>
      <c r="D22" s="143"/>
      <c r="E22" s="90"/>
      <c r="F22" s="90"/>
      <c r="G22" s="89"/>
      <c r="H22" s="90"/>
      <c r="I22" s="236">
        <f>'A6-Divisor'!E21</f>
        <v>229666.66666666666</v>
      </c>
      <c r="J22" s="90"/>
      <c r="K22" s="89"/>
    </row>
    <row r="23" spans="1:11">
      <c r="A23" s="102">
        <v>9</v>
      </c>
      <c r="B23" s="133"/>
      <c r="C23" s="137"/>
      <c r="D23" s="137"/>
      <c r="E23" s="137"/>
      <c r="F23" s="137"/>
      <c r="G23" s="140"/>
      <c r="H23" s="137"/>
      <c r="I23" s="137"/>
      <c r="J23" s="90"/>
      <c r="K23" s="89"/>
    </row>
    <row r="24" spans="1:11">
      <c r="A24" s="102">
        <v>10</v>
      </c>
      <c r="B24" s="153" t="s">
        <v>275</v>
      </c>
      <c r="C24" s="153"/>
      <c r="D24" s="153"/>
      <c r="E24" s="153"/>
      <c r="F24" s="153"/>
      <c r="G24" s="153"/>
      <c r="H24" s="153"/>
      <c r="I24" s="153"/>
      <c r="J24" s="153"/>
      <c r="K24" s="89"/>
    </row>
    <row r="25" spans="1:11">
      <c r="A25" s="102">
        <v>11</v>
      </c>
      <c r="B25" s="133" t="s">
        <v>278</v>
      </c>
      <c r="C25" s="133"/>
      <c r="D25" s="792">
        <f>ROUND(I19/I22,2)</f>
        <v>22.6</v>
      </c>
      <c r="E25" s="133" t="s">
        <v>266</v>
      </c>
      <c r="F25" s="153"/>
      <c r="G25" s="153"/>
      <c r="H25" s="153"/>
      <c r="I25" s="153"/>
      <c r="J25" s="153"/>
      <c r="K25" s="89"/>
    </row>
    <row r="26" spans="1:11">
      <c r="A26" s="102">
        <v>12</v>
      </c>
      <c r="B26" s="133" t="s">
        <v>279</v>
      </c>
      <c r="C26" s="133" t="s">
        <v>898</v>
      </c>
      <c r="D26" s="792">
        <f>ROUND(D25/12,2)</f>
        <v>1.88</v>
      </c>
      <c r="E26" s="133" t="s">
        <v>267</v>
      </c>
      <c r="F26" s="153"/>
      <c r="G26" s="153"/>
      <c r="H26" s="153"/>
      <c r="I26" s="153"/>
      <c r="J26" s="153"/>
      <c r="K26" s="89"/>
    </row>
    <row r="27" spans="1:11">
      <c r="A27" s="102">
        <v>13</v>
      </c>
      <c r="B27" s="133" t="s">
        <v>280</v>
      </c>
      <c r="C27" s="133" t="s">
        <v>899</v>
      </c>
      <c r="D27" s="792">
        <f>ROUND(D25/52,2)</f>
        <v>0.43</v>
      </c>
      <c r="E27" s="133" t="s">
        <v>268</v>
      </c>
      <c r="F27" s="153"/>
      <c r="G27" s="153"/>
      <c r="H27" s="153"/>
      <c r="I27" s="153"/>
      <c r="J27" s="153"/>
      <c r="K27" s="89"/>
    </row>
    <row r="28" spans="1:11">
      <c r="A28" s="102">
        <v>14</v>
      </c>
      <c r="B28" s="133" t="s">
        <v>281</v>
      </c>
      <c r="C28" s="133" t="s">
        <v>269</v>
      </c>
      <c r="D28" s="793">
        <f>+D27/6</f>
        <v>7.166666666666667E-2</v>
      </c>
      <c r="E28" s="133" t="s">
        <v>270</v>
      </c>
      <c r="F28" s="153"/>
      <c r="G28" s="153"/>
      <c r="H28" s="153"/>
      <c r="I28" s="153"/>
      <c r="J28" s="153"/>
      <c r="K28" s="89"/>
    </row>
    <row r="29" spans="1:11">
      <c r="A29" s="102">
        <v>15</v>
      </c>
      <c r="B29" s="133" t="s">
        <v>282</v>
      </c>
      <c r="C29" s="133" t="s">
        <v>271</v>
      </c>
      <c r="D29" s="793">
        <f>+D27/7</f>
        <v>6.142857142857143E-2</v>
      </c>
      <c r="E29" s="133" t="s">
        <v>270</v>
      </c>
      <c r="F29" s="153"/>
      <c r="G29" s="153"/>
      <c r="H29" s="153"/>
      <c r="I29" s="153"/>
      <c r="J29" s="153"/>
      <c r="K29" s="89"/>
    </row>
    <row r="30" spans="1:11">
      <c r="A30" s="102">
        <v>16</v>
      </c>
      <c r="B30" s="133" t="s">
        <v>283</v>
      </c>
      <c r="C30" s="133" t="s">
        <v>272</v>
      </c>
      <c r="D30" s="792">
        <f>+D28/16*1000</f>
        <v>4.479166666666667</v>
      </c>
      <c r="E30" s="133" t="s">
        <v>1018</v>
      </c>
      <c r="F30" s="153"/>
      <c r="G30" s="153"/>
      <c r="H30" s="153"/>
      <c r="I30" s="153"/>
      <c r="J30" s="153"/>
      <c r="K30" s="89"/>
    </row>
    <row r="31" spans="1:11">
      <c r="A31" s="102">
        <v>17</v>
      </c>
      <c r="B31" s="133" t="s">
        <v>284</v>
      </c>
      <c r="C31" s="133" t="s">
        <v>273</v>
      </c>
      <c r="D31" s="792">
        <f>+D29/24*1000</f>
        <v>2.5595238095238098</v>
      </c>
      <c r="E31" s="133" t="s">
        <v>1018</v>
      </c>
      <c r="F31" s="153"/>
      <c r="G31" s="153"/>
      <c r="H31" s="153"/>
      <c r="I31" s="153"/>
      <c r="J31" s="153"/>
      <c r="K31" s="89"/>
    </row>
    <row r="32" spans="1:11">
      <c r="B32" s="133"/>
      <c r="C32" s="133"/>
      <c r="D32" s="134"/>
      <c r="E32" s="133"/>
      <c r="F32" s="133"/>
      <c r="G32" s="133"/>
      <c r="H32" s="90"/>
      <c r="I32" s="833" t="str">
        <f>I1</f>
        <v>Actual Attachment H</v>
      </c>
      <c r="J32" s="833"/>
      <c r="K32" s="833"/>
    </row>
    <row r="33" spans="1:15">
      <c r="B33" s="133"/>
      <c r="C33" s="133"/>
      <c r="D33" s="134"/>
      <c r="E33" s="133"/>
      <c r="F33" s="133"/>
      <c r="G33" s="133"/>
      <c r="H33" s="90"/>
      <c r="I33" s="90"/>
      <c r="J33" s="832" t="s">
        <v>262</v>
      </c>
      <c r="K33" s="832"/>
    </row>
    <row r="34" spans="1:15">
      <c r="B34" s="133"/>
      <c r="C34" s="133"/>
      <c r="D34" s="134"/>
      <c r="E34" s="133"/>
      <c r="F34" s="133"/>
      <c r="G34" s="133"/>
      <c r="H34" s="90"/>
      <c r="I34" s="90"/>
      <c r="J34" s="90"/>
      <c r="K34" s="135"/>
    </row>
    <row r="35" spans="1:15">
      <c r="B35" s="134" t="s">
        <v>0</v>
      </c>
      <c r="C35" s="133"/>
      <c r="D35" s="102" t="s">
        <v>1</v>
      </c>
      <c r="E35" s="133"/>
      <c r="F35" s="133"/>
      <c r="G35" s="133"/>
      <c r="H35" s="90"/>
      <c r="I35" s="90"/>
      <c r="J35" s="90"/>
      <c r="K35" s="154" t="str">
        <f>K4</f>
        <v>Actuals - For the 12 months ended 12/31/2020</v>
      </c>
    </row>
    <row r="36" spans="1:15">
      <c r="B36" s="133"/>
      <c r="C36" s="137"/>
      <c r="D36" s="138" t="s">
        <v>3</v>
      </c>
      <c r="E36" s="137"/>
      <c r="F36" s="137"/>
      <c r="G36" s="137"/>
      <c r="H36" s="90"/>
      <c r="I36" s="90"/>
      <c r="J36" s="90"/>
      <c r="K36" s="89"/>
    </row>
    <row r="37" spans="1:15">
      <c r="B37" s="133"/>
      <c r="C37" s="137"/>
      <c r="D37" s="137"/>
      <c r="E37" s="137"/>
      <c r="F37" s="137"/>
      <c r="G37" s="137"/>
      <c r="H37" s="90"/>
      <c r="I37" s="90"/>
      <c r="J37" s="90"/>
      <c r="K37" s="89"/>
    </row>
    <row r="38" spans="1:15">
      <c r="A38" s="102"/>
      <c r="D38" s="155" t="str">
        <f>C7</f>
        <v>Cheyenne Light, Fuel &amp; Power</v>
      </c>
      <c r="J38" s="137"/>
      <c r="K38" s="140"/>
    </row>
    <row r="39" spans="1:15">
      <c r="B39" s="133"/>
      <c r="C39" s="133"/>
      <c r="D39" s="133"/>
      <c r="E39" s="133"/>
      <c r="F39" s="90"/>
      <c r="G39" s="90"/>
      <c r="H39" s="90"/>
      <c r="J39" s="90"/>
      <c r="K39" s="89"/>
    </row>
    <row r="40" spans="1:15">
      <c r="B40" s="102" t="s">
        <v>15</v>
      </c>
      <c r="C40" s="102" t="s">
        <v>16</v>
      </c>
      <c r="D40" s="102" t="s">
        <v>17</v>
      </c>
      <c r="E40" s="137" t="s">
        <v>2</v>
      </c>
      <c r="F40" s="137"/>
      <c r="G40" s="156" t="s">
        <v>18</v>
      </c>
      <c r="H40" s="137"/>
      <c r="I40" s="157" t="s">
        <v>19</v>
      </c>
      <c r="J40" s="137"/>
      <c r="K40" s="158"/>
    </row>
    <row r="41" spans="1:15">
      <c r="B41" s="133"/>
      <c r="C41" s="159" t="s">
        <v>20</v>
      </c>
      <c r="D41" s="137"/>
      <c r="E41" s="137"/>
      <c r="F41" s="137"/>
      <c r="G41" s="102"/>
      <c r="H41" s="137"/>
      <c r="I41" s="160" t="s">
        <v>21</v>
      </c>
      <c r="J41" s="137"/>
      <c r="K41" s="158"/>
    </row>
    <row r="42" spans="1:15">
      <c r="A42" s="102" t="s">
        <v>4</v>
      </c>
      <c r="B42" s="133"/>
      <c r="C42" s="161" t="s">
        <v>22</v>
      </c>
      <c r="D42" s="160" t="s">
        <v>23</v>
      </c>
      <c r="E42" s="162"/>
      <c r="F42" s="160" t="s">
        <v>24</v>
      </c>
      <c r="H42" s="162"/>
      <c r="I42" s="102" t="s">
        <v>25</v>
      </c>
      <c r="J42" s="137"/>
      <c r="K42" s="158"/>
    </row>
    <row r="43" spans="1:15" ht="13.5" thickBot="1">
      <c r="A43" s="142" t="s">
        <v>6</v>
      </c>
      <c r="B43" s="163" t="s">
        <v>525</v>
      </c>
      <c r="C43" s="137"/>
      <c r="D43" s="137"/>
      <c r="E43" s="137"/>
      <c r="F43" s="137"/>
      <c r="G43" s="137"/>
      <c r="H43" s="137"/>
      <c r="I43" s="137"/>
      <c r="J43" s="137"/>
      <c r="K43" s="140"/>
    </row>
    <row r="44" spans="1:15">
      <c r="A44" s="102"/>
      <c r="B44" s="133" t="s">
        <v>520</v>
      </c>
      <c r="C44" s="137"/>
      <c r="D44" s="137"/>
      <c r="E44" s="137"/>
      <c r="F44" s="137"/>
      <c r="G44" s="137"/>
      <c r="H44" s="137"/>
      <c r="I44" s="137"/>
      <c r="J44" s="137"/>
      <c r="K44" s="140"/>
    </row>
    <row r="45" spans="1:15">
      <c r="A45" s="102">
        <v>1</v>
      </c>
      <c r="B45" s="133" t="s">
        <v>26</v>
      </c>
      <c r="C45" s="62" t="s">
        <v>726</v>
      </c>
      <c r="D45" s="236">
        <f>'A4-Rate Base'!C23</f>
        <v>304803321.26615387</v>
      </c>
      <c r="E45" s="137"/>
      <c r="F45" s="137" t="s">
        <v>27</v>
      </c>
      <c r="G45" s="164" t="s">
        <v>2</v>
      </c>
      <c r="H45" s="137"/>
      <c r="I45" s="77">
        <v>0</v>
      </c>
      <c r="J45" s="137"/>
      <c r="K45" s="140"/>
    </row>
    <row r="46" spans="1:15">
      <c r="A46" s="102">
        <v>2</v>
      </c>
      <c r="B46" s="133" t="s">
        <v>28</v>
      </c>
      <c r="C46" s="62" t="s">
        <v>727</v>
      </c>
      <c r="D46" s="236">
        <f>'A4-Rate Base'!D23</f>
        <v>44387975.0153846</v>
      </c>
      <c r="E46" s="137"/>
      <c r="F46" s="137" t="s">
        <v>11</v>
      </c>
      <c r="G46" s="146">
        <f>$I$174</f>
        <v>1</v>
      </c>
      <c r="H46" s="137"/>
      <c r="I46" s="77">
        <f>+G46*D46</f>
        <v>44387975.0153846</v>
      </c>
      <c r="J46" s="137"/>
      <c r="K46" s="140"/>
      <c r="M46" s="166"/>
      <c r="N46" s="166"/>
      <c r="O46" s="166"/>
    </row>
    <row r="47" spans="1:15">
      <c r="A47" s="102">
        <v>3</v>
      </c>
      <c r="B47" s="133" t="s">
        <v>29</v>
      </c>
      <c r="C47" s="62" t="s">
        <v>728</v>
      </c>
      <c r="D47" s="236">
        <f>'A4-Rate Base'!E23</f>
        <v>190478376.23846155</v>
      </c>
      <c r="E47" s="137"/>
      <c r="F47" s="137" t="s">
        <v>27</v>
      </c>
      <c r="G47" s="164" t="s">
        <v>2</v>
      </c>
      <c r="H47" s="137"/>
      <c r="I47" s="77">
        <v>0</v>
      </c>
      <c r="J47" s="137"/>
      <c r="K47" s="140"/>
    </row>
    <row r="48" spans="1:15">
      <c r="A48" s="102">
        <v>4</v>
      </c>
      <c r="B48" s="133" t="s">
        <v>30</v>
      </c>
      <c r="C48" s="62" t="s">
        <v>729</v>
      </c>
      <c r="D48" s="236">
        <f>'A4-Rate Base'!F23</f>
        <v>6396091.7930769231</v>
      </c>
      <c r="E48" s="137"/>
      <c r="F48" s="137" t="s">
        <v>31</v>
      </c>
      <c r="G48" s="165">
        <f>$I$191</f>
        <v>8.4955471613637312E-2</v>
      </c>
      <c r="H48" s="137"/>
      <c r="I48" s="77">
        <f>+G48*D48</f>
        <v>543382.99476496514</v>
      </c>
      <c r="J48" s="137"/>
      <c r="K48" s="140"/>
    </row>
    <row r="49" spans="1:11">
      <c r="A49" s="102">
        <v>5</v>
      </c>
      <c r="B49" s="133" t="s">
        <v>32</v>
      </c>
      <c r="C49" s="62" t="s">
        <v>730</v>
      </c>
      <c r="D49" s="236">
        <f>'A4-Rate Base'!G23</f>
        <v>0</v>
      </c>
      <c r="E49" s="137"/>
      <c r="F49" s="137" t="s">
        <v>70</v>
      </c>
      <c r="G49" s="165">
        <f>$K$195</f>
        <v>6.4828651960454647E-2</v>
      </c>
      <c r="H49" s="137"/>
      <c r="I49" s="77">
        <f>+G49*D49</f>
        <v>0</v>
      </c>
      <c r="J49" s="137"/>
      <c r="K49" s="140"/>
    </row>
    <row r="50" spans="1:11">
      <c r="A50" s="102">
        <v>6</v>
      </c>
      <c r="B50" s="133" t="s">
        <v>403</v>
      </c>
      <c r="C50" s="63" t="s">
        <v>402</v>
      </c>
      <c r="D50" s="249">
        <f>SUM(D45:D49)</f>
        <v>546065764.31307685</v>
      </c>
      <c r="E50" s="137"/>
      <c r="F50" s="137" t="s">
        <v>34</v>
      </c>
      <c r="G50" s="146">
        <f>IF(I50&gt;0,I50/D50,0)</f>
        <v>8.228195383512267E-2</v>
      </c>
      <c r="H50" s="137"/>
      <c r="I50" s="249">
        <f>SUM(I45:I49)</f>
        <v>44931358.010149568</v>
      </c>
      <c r="J50" s="137"/>
      <c r="K50" s="510"/>
    </row>
    <row r="51" spans="1:11">
      <c r="B51" s="133"/>
      <c r="C51" s="140"/>
      <c r="D51" s="137"/>
      <c r="E51" s="137"/>
      <c r="F51" s="137"/>
      <c r="G51" s="169"/>
      <c r="H51" s="137"/>
      <c r="I51" s="77"/>
      <c r="J51" s="137"/>
      <c r="K51" s="168"/>
    </row>
    <row r="52" spans="1:11">
      <c r="B52" s="133" t="s">
        <v>521</v>
      </c>
      <c r="C52" s="140"/>
      <c r="D52" s="137"/>
      <c r="E52" s="137"/>
      <c r="F52" s="137"/>
      <c r="G52" s="137"/>
      <c r="H52" s="137"/>
      <c r="I52" s="137"/>
      <c r="J52" s="137"/>
      <c r="K52" s="140"/>
    </row>
    <row r="53" spans="1:11">
      <c r="A53" s="102">
        <v>7</v>
      </c>
      <c r="B53" s="170" t="str">
        <f>+B45</f>
        <v xml:space="preserve">  Production</v>
      </c>
      <c r="C53" s="62" t="s">
        <v>733</v>
      </c>
      <c r="D53" s="236">
        <f>'A4-Rate Base'!E46</f>
        <v>48598863.144507967</v>
      </c>
      <c r="E53" s="137"/>
      <c r="F53" s="147" t="str">
        <f>+F45</f>
        <v>NA</v>
      </c>
      <c r="G53" s="165"/>
      <c r="H53" s="137"/>
      <c r="I53" s="77">
        <v>0</v>
      </c>
      <c r="J53" s="137"/>
      <c r="K53" s="140"/>
    </row>
    <row r="54" spans="1:11">
      <c r="A54" s="102">
        <v>8</v>
      </c>
      <c r="B54" s="170" t="str">
        <f>+B46</f>
        <v xml:space="preserve">  Transmission</v>
      </c>
      <c r="C54" s="62" t="s">
        <v>734</v>
      </c>
      <c r="D54" s="236">
        <f>'A4-Rate Base'!F46</f>
        <v>5603265.8208151311</v>
      </c>
      <c r="E54" s="137"/>
      <c r="F54" s="147" t="str">
        <f t="shared" ref="F54:F57" si="1">+F46</f>
        <v>TP</v>
      </c>
      <c r="G54" s="146">
        <f>$I$174</f>
        <v>1</v>
      </c>
      <c r="H54" s="137"/>
      <c r="I54" s="77">
        <f>+G54*D54</f>
        <v>5603265.8208151311</v>
      </c>
      <c r="J54" s="137"/>
      <c r="K54" s="140"/>
    </row>
    <row r="55" spans="1:11">
      <c r="A55" s="102">
        <v>9</v>
      </c>
      <c r="B55" s="170" t="str">
        <f>+B47</f>
        <v xml:space="preserve">  Distribution</v>
      </c>
      <c r="C55" s="62" t="s">
        <v>735</v>
      </c>
      <c r="D55" s="236">
        <f>'A4-Rate Base'!G46</f>
        <v>61890952.465831824</v>
      </c>
      <c r="E55" s="137"/>
      <c r="F55" s="147" t="str">
        <f t="shared" si="1"/>
        <v>NA</v>
      </c>
      <c r="G55" s="165"/>
      <c r="H55" s="137"/>
      <c r="I55" s="77">
        <v>0</v>
      </c>
      <c r="J55" s="137"/>
      <c r="K55" s="140"/>
    </row>
    <row r="56" spans="1:11">
      <c r="A56" s="102">
        <v>10</v>
      </c>
      <c r="B56" s="170" t="str">
        <f>+B48</f>
        <v xml:space="preserve">  General &amp; Intangible</v>
      </c>
      <c r="C56" s="62" t="s">
        <v>736</v>
      </c>
      <c r="D56" s="236">
        <f>'A4-Rate Base'!H46</f>
        <v>2564893.3104229346</v>
      </c>
      <c r="E56" s="137"/>
      <c r="F56" s="147" t="str">
        <f t="shared" si="1"/>
        <v>W/S</v>
      </c>
      <c r="G56" s="165">
        <f>$I$191</f>
        <v>8.4955471613637312E-2</v>
      </c>
      <c r="H56" s="137"/>
      <c r="I56" s="77">
        <f>+G56*D56</f>
        <v>217901.72082564386</v>
      </c>
      <c r="J56" s="137"/>
      <c r="K56" s="140"/>
    </row>
    <row r="57" spans="1:11">
      <c r="A57" s="102">
        <v>11</v>
      </c>
      <c r="B57" s="170" t="str">
        <f>+B49</f>
        <v xml:space="preserve">  Common</v>
      </c>
      <c r="C57" s="62" t="s">
        <v>737</v>
      </c>
      <c r="D57" s="236">
        <f>'A4-Rate Base'!I46</f>
        <v>0</v>
      </c>
      <c r="E57" s="137"/>
      <c r="F57" s="147" t="str">
        <f t="shared" si="1"/>
        <v>CE</v>
      </c>
      <c r="G57" s="165">
        <f>$K$195</f>
        <v>6.4828651960454647E-2</v>
      </c>
      <c r="H57" s="137"/>
      <c r="I57" s="70">
        <f>+G57*D57</f>
        <v>0</v>
      </c>
      <c r="J57" s="137"/>
      <c r="K57" s="140"/>
    </row>
    <row r="58" spans="1:11">
      <c r="A58" s="102">
        <v>12</v>
      </c>
      <c r="B58" s="133" t="s">
        <v>405</v>
      </c>
      <c r="C58" s="63" t="s">
        <v>404</v>
      </c>
      <c r="D58" s="249">
        <f>SUM(D53:D57)</f>
        <v>118657974.74157786</v>
      </c>
      <c r="E58" s="137"/>
      <c r="F58" s="137"/>
      <c r="G58" s="137"/>
      <c r="H58" s="137"/>
      <c r="I58" s="249">
        <f>SUM(I53:I57)</f>
        <v>5821167.5416407753</v>
      </c>
      <c r="J58" s="137"/>
      <c r="K58" s="140"/>
    </row>
    <row r="59" spans="1:11">
      <c r="A59" s="102"/>
      <c r="C59" s="137" t="s">
        <v>2</v>
      </c>
      <c r="E59" s="137"/>
      <c r="F59" s="137"/>
      <c r="G59" s="169"/>
      <c r="H59" s="137"/>
      <c r="J59" s="137"/>
      <c r="K59" s="168"/>
    </row>
    <row r="60" spans="1:11">
      <c r="A60" s="102"/>
      <c r="B60" s="133" t="s">
        <v>153</v>
      </c>
      <c r="C60" s="137"/>
      <c r="D60" s="137"/>
      <c r="E60" s="137"/>
      <c r="F60" s="137"/>
      <c r="G60" s="137"/>
      <c r="H60" s="137"/>
      <c r="I60" s="137"/>
      <c r="J60" s="137"/>
      <c r="K60" s="140"/>
    </row>
    <row r="61" spans="1:11">
      <c r="A61" s="102">
        <v>13</v>
      </c>
      <c r="B61" s="170" t="str">
        <f>+B53</f>
        <v xml:space="preserve">  Production</v>
      </c>
      <c r="C61" s="63" t="str">
        <f>"(Line "&amp;A45&amp;" - Line "&amp;A53&amp;")"</f>
        <v>(Line 1 - Line 7)</v>
      </c>
      <c r="D61" s="77">
        <f>D45-D53</f>
        <v>256204458.1216459</v>
      </c>
      <c r="E61" s="137"/>
      <c r="F61" s="137"/>
      <c r="G61" s="169"/>
      <c r="H61" s="137"/>
      <c r="I61" s="137" t="s">
        <v>2</v>
      </c>
      <c r="J61" s="137"/>
      <c r="K61" s="168"/>
    </row>
    <row r="62" spans="1:11">
      <c r="A62" s="102">
        <v>14</v>
      </c>
      <c r="B62" s="170" t="str">
        <f>+B54</f>
        <v xml:space="preserve">  Transmission</v>
      </c>
      <c r="C62" s="63" t="str">
        <f>"(Line "&amp;A46&amp;" - Line "&amp;A54&amp;")"</f>
        <v>(Line 2 - Line 8)</v>
      </c>
      <c r="D62" s="77">
        <f>D46-D54</f>
        <v>38784709.194569468</v>
      </c>
      <c r="E62" s="137"/>
      <c r="F62" s="137"/>
      <c r="G62" s="164"/>
      <c r="H62" s="137"/>
      <c r="I62" s="77">
        <f>I46-I54</f>
        <v>38784709.194569468</v>
      </c>
      <c r="J62" s="137"/>
      <c r="K62" s="168"/>
    </row>
    <row r="63" spans="1:11">
      <c r="A63" s="102">
        <v>15</v>
      </c>
      <c r="B63" s="170" t="str">
        <f>+B55</f>
        <v xml:space="preserve">  Distribution</v>
      </c>
      <c r="C63" s="63" t="str">
        <f>"(Line "&amp;A47&amp;" - Line "&amp;A55&amp;")"</f>
        <v>(Line 3 - Line 9)</v>
      </c>
      <c r="D63" s="77">
        <f>D47-D55</f>
        <v>128587423.77262974</v>
      </c>
      <c r="E63" s="137"/>
      <c r="F63" s="137"/>
      <c r="G63" s="169"/>
      <c r="H63" s="137"/>
      <c r="I63" s="77" t="s">
        <v>2</v>
      </c>
      <c r="J63" s="137"/>
      <c r="K63" s="168"/>
    </row>
    <row r="64" spans="1:11">
      <c r="A64" s="102">
        <v>16</v>
      </c>
      <c r="B64" s="170" t="str">
        <f>+B56</f>
        <v xml:space="preserve">  General &amp; Intangible</v>
      </c>
      <c r="C64" s="63" t="str">
        <f>"(Line "&amp;A48&amp;" - Line "&amp;A56&amp;")"</f>
        <v>(Line 4 - Line 10)</v>
      </c>
      <c r="D64" s="77">
        <f>D48-D56</f>
        <v>3831198.4826539885</v>
      </c>
      <c r="E64" s="137"/>
      <c r="F64" s="137"/>
      <c r="G64" s="169"/>
      <c r="H64" s="137"/>
      <c r="I64" s="77">
        <f>I48-I56</f>
        <v>325481.27393932128</v>
      </c>
      <c r="J64" s="137"/>
      <c r="K64" s="168"/>
    </row>
    <row r="65" spans="1:11" ht="13.5" thickBot="1">
      <c r="A65" s="102">
        <v>17</v>
      </c>
      <c r="B65" s="170" t="str">
        <f>+B57</f>
        <v xml:space="preserve">  Common</v>
      </c>
      <c r="C65" s="63" t="str">
        <f>"(Line "&amp;A49&amp;" - Line "&amp;A57&amp;")"</f>
        <v>(Line 5 - Line 11)</v>
      </c>
      <c r="D65" s="78">
        <f>D49-D57</f>
        <v>0</v>
      </c>
      <c r="E65" s="137"/>
      <c r="F65" s="137"/>
      <c r="G65" s="169"/>
      <c r="H65" s="137"/>
      <c r="I65" s="70">
        <f>I49-I57</f>
        <v>0</v>
      </c>
      <c r="J65" s="137"/>
      <c r="K65" s="168"/>
    </row>
    <row r="66" spans="1:11">
      <c r="A66" s="102">
        <v>18</v>
      </c>
      <c r="B66" s="133" t="s">
        <v>407</v>
      </c>
      <c r="C66" s="63" t="s">
        <v>406</v>
      </c>
      <c r="D66" s="77">
        <f>SUM(D61:D65)</f>
        <v>427407789.57149911</v>
      </c>
      <c r="E66" s="137"/>
      <c r="F66" s="137" t="s">
        <v>35</v>
      </c>
      <c r="G66" s="146">
        <f>IF(I66&gt;0,I66/D66,0)</f>
        <v>9.150556312443206E-2</v>
      </c>
      <c r="H66" s="137"/>
      <c r="I66" s="249">
        <f>SUM(I61:I65)</f>
        <v>39110190.468508787</v>
      </c>
      <c r="J66" s="137"/>
      <c r="K66" s="140"/>
    </row>
    <row r="67" spans="1:11" s="2" customFormat="1">
      <c r="A67" s="64"/>
      <c r="B67" s="65"/>
      <c r="C67" s="63"/>
      <c r="D67" s="66"/>
      <c r="E67" s="62"/>
      <c r="F67" s="62"/>
      <c r="G67" s="67"/>
      <c r="H67" s="62"/>
      <c r="I67" s="77"/>
      <c r="J67" s="63"/>
      <c r="K67" s="63"/>
    </row>
    <row r="68" spans="1:11" s="2" customFormat="1">
      <c r="A68" s="64" t="s">
        <v>408</v>
      </c>
      <c r="B68" s="68" t="s">
        <v>409</v>
      </c>
      <c r="C68" s="69" t="s">
        <v>747</v>
      </c>
      <c r="D68" s="236">
        <f>'A4-Rate Base'!H23</f>
        <v>0</v>
      </c>
      <c r="E68" s="71"/>
      <c r="F68" s="72" t="str">
        <f>+F76</f>
        <v>DA</v>
      </c>
      <c r="G68" s="73">
        <v>1</v>
      </c>
      <c r="H68" s="71"/>
      <c r="I68" s="74">
        <f>+G68*D68</f>
        <v>0</v>
      </c>
      <c r="J68" s="63"/>
      <c r="K68" s="63"/>
    </row>
    <row r="69" spans="1:11" s="2" customFormat="1">
      <c r="A69" s="64"/>
      <c r="B69" s="75"/>
      <c r="C69" s="63"/>
      <c r="D69" s="66"/>
      <c r="E69" s="63"/>
      <c r="F69" s="75"/>
      <c r="G69" s="75"/>
      <c r="H69" s="63"/>
      <c r="I69" s="66"/>
      <c r="J69" s="63"/>
      <c r="K69" s="76"/>
    </row>
    <row r="70" spans="1:11">
      <c r="A70" s="102"/>
      <c r="B70" s="133" t="s">
        <v>839</v>
      </c>
      <c r="C70" s="137"/>
      <c r="D70" s="137"/>
      <c r="E70" s="137"/>
      <c r="F70" s="137"/>
      <c r="G70" s="137"/>
      <c r="H70" s="137"/>
      <c r="I70" s="137"/>
      <c r="J70" s="137"/>
      <c r="K70" s="140"/>
    </row>
    <row r="71" spans="1:11">
      <c r="A71" s="64">
        <f>+A66+1</f>
        <v>19</v>
      </c>
      <c r="B71" s="65" t="s">
        <v>142</v>
      </c>
      <c r="C71" s="79" t="s">
        <v>738</v>
      </c>
      <c r="D71" s="236">
        <f>'A4-Rate Base'!E70</f>
        <v>0</v>
      </c>
      <c r="E71" s="79"/>
      <c r="F71" s="79" t="s">
        <v>27</v>
      </c>
      <c r="G71" s="80"/>
      <c r="H71" s="81"/>
      <c r="I71" s="77">
        <v>0</v>
      </c>
      <c r="J71" s="137"/>
      <c r="K71" s="168"/>
    </row>
    <row r="72" spans="1:11">
      <c r="A72" s="64">
        <f t="shared" ref="A72:A75" si="2">+A71+1</f>
        <v>20</v>
      </c>
      <c r="B72" s="65" t="s">
        <v>143</v>
      </c>
      <c r="C72" s="79" t="s">
        <v>739</v>
      </c>
      <c r="D72" s="236">
        <f>'A4-Rate Base'!F70</f>
        <v>-56329589.5</v>
      </c>
      <c r="E72" s="79"/>
      <c r="F72" s="63" t="s">
        <v>36</v>
      </c>
      <c r="G72" s="82">
        <f>+$G$66</f>
        <v>9.150556312443206E-2</v>
      </c>
      <c r="H72" s="62"/>
      <c r="I72" s="66">
        <f>D72*G72</f>
        <v>-5154470.8077655956</v>
      </c>
      <c r="J72" s="137"/>
      <c r="K72" s="168"/>
    </row>
    <row r="73" spans="1:11">
      <c r="A73" s="64">
        <f t="shared" si="2"/>
        <v>21</v>
      </c>
      <c r="B73" s="65" t="s">
        <v>144</v>
      </c>
      <c r="C73" s="79" t="s">
        <v>740</v>
      </c>
      <c r="D73" s="236">
        <f>'A4-Rate Base'!G70</f>
        <v>-3308041.5</v>
      </c>
      <c r="E73" s="79"/>
      <c r="F73" s="63" t="s">
        <v>36</v>
      </c>
      <c r="G73" s="82">
        <f>+$G$66</f>
        <v>9.150556312443206E-2</v>
      </c>
      <c r="H73" s="62"/>
      <c r="I73" s="66">
        <f>D73*G73</f>
        <v>-302704.20029649092</v>
      </c>
      <c r="J73" s="137"/>
      <c r="K73" s="168"/>
    </row>
    <row r="74" spans="1:11">
      <c r="A74" s="64">
        <f t="shared" si="2"/>
        <v>22</v>
      </c>
      <c r="B74" s="65" t="s">
        <v>145</v>
      </c>
      <c r="C74" s="79" t="s">
        <v>741</v>
      </c>
      <c r="D74" s="236">
        <f>'A4-Rate Base'!H70</f>
        <v>12340464</v>
      </c>
      <c r="E74" s="79"/>
      <c r="F74" s="63" t="s">
        <v>36</v>
      </c>
      <c r="G74" s="82">
        <f>+$G$66</f>
        <v>9.150556312443206E-2</v>
      </c>
      <c r="H74" s="62"/>
      <c r="I74" s="66">
        <f>D74*G74</f>
        <v>1129221.1075367813</v>
      </c>
      <c r="J74" s="137"/>
      <c r="K74" s="168"/>
    </row>
    <row r="75" spans="1:11">
      <c r="A75" s="64">
        <f t="shared" si="2"/>
        <v>23</v>
      </c>
      <c r="B75" s="75" t="s">
        <v>146</v>
      </c>
      <c r="C75" s="83" t="s">
        <v>742</v>
      </c>
      <c r="D75" s="236">
        <f>'A4-Rate Base'!I70</f>
        <v>-106783.76923076923</v>
      </c>
      <c r="E75" s="63"/>
      <c r="F75" s="63" t="s">
        <v>36</v>
      </c>
      <c r="G75" s="82">
        <f>+$G$66</f>
        <v>9.150556312443206E-2</v>
      </c>
      <c r="H75" s="62"/>
      <c r="I75" s="74">
        <f>D75*G75</f>
        <v>-9771.3089360109407</v>
      </c>
      <c r="J75" s="137"/>
      <c r="K75" s="168"/>
    </row>
    <row r="76" spans="1:11">
      <c r="A76" s="64" t="s">
        <v>414</v>
      </c>
      <c r="B76" s="84" t="s">
        <v>410</v>
      </c>
      <c r="C76" s="69" t="s">
        <v>743</v>
      </c>
      <c r="D76" s="236">
        <f>'A4-Rate Base'!C70</f>
        <v>0</v>
      </c>
      <c r="E76" s="72"/>
      <c r="F76" s="72" t="str">
        <f>+F77</f>
        <v>DA</v>
      </c>
      <c r="G76" s="73">
        <v>1</v>
      </c>
      <c r="H76" s="72"/>
      <c r="I76" s="74">
        <f>+G76*D76</f>
        <v>0</v>
      </c>
      <c r="J76" s="137"/>
      <c r="K76" s="168"/>
    </row>
    <row r="77" spans="1:11">
      <c r="A77" s="64" t="s">
        <v>415</v>
      </c>
      <c r="B77" s="84" t="s">
        <v>411</v>
      </c>
      <c r="C77" s="69" t="s">
        <v>744</v>
      </c>
      <c r="D77" s="236">
        <f>'A4-Rate Base'!D70</f>
        <v>0</v>
      </c>
      <c r="E77" s="71"/>
      <c r="F77" s="71" t="s">
        <v>412</v>
      </c>
      <c r="G77" s="85">
        <v>1</v>
      </c>
      <c r="H77" s="71"/>
      <c r="I77" s="74">
        <f>+G77*D77</f>
        <v>0</v>
      </c>
      <c r="J77" s="137"/>
      <c r="K77" s="168"/>
    </row>
    <row r="78" spans="1:11">
      <c r="A78" s="64" t="s">
        <v>416</v>
      </c>
      <c r="B78" s="84" t="s">
        <v>413</v>
      </c>
      <c r="C78" s="69" t="s">
        <v>745</v>
      </c>
      <c r="D78" s="236">
        <f>'A4-Rate Base'!I82</f>
        <v>0</v>
      </c>
      <c r="E78" s="71"/>
      <c r="F78" s="71" t="str">
        <f>+F77</f>
        <v>DA</v>
      </c>
      <c r="G78" s="85">
        <v>1</v>
      </c>
      <c r="H78" s="71"/>
      <c r="I78" s="74">
        <f>+D78*G78</f>
        <v>0</v>
      </c>
      <c r="J78" s="137"/>
      <c r="K78" s="168"/>
    </row>
    <row r="79" spans="1:11">
      <c r="A79" s="64">
        <v>24</v>
      </c>
      <c r="B79" s="170" t="s">
        <v>147</v>
      </c>
      <c r="C79" s="170" t="s">
        <v>260</v>
      </c>
      <c r="D79" s="92">
        <f>+(1836075-86595-940294)*21%</f>
        <v>169929.06</v>
      </c>
      <c r="E79" s="137"/>
      <c r="F79" s="137" t="s">
        <v>36</v>
      </c>
      <c r="G79" s="82">
        <f>+$G$66</f>
        <v>9.150556312443206E-2</v>
      </c>
      <c r="H79" s="137"/>
      <c r="I79" s="74">
        <f t="shared" ref="I79" si="3">D79*G79</f>
        <v>15549.454326505404</v>
      </c>
      <c r="J79" s="137"/>
      <c r="K79" s="168"/>
    </row>
    <row r="80" spans="1:11" ht="13.5" thickBot="1">
      <c r="A80" s="102">
        <v>25</v>
      </c>
      <c r="B80" s="170" t="s">
        <v>750</v>
      </c>
      <c r="C80" s="171" t="s">
        <v>751</v>
      </c>
      <c r="D80" s="93">
        <f>(-41786215-42379312)/2</f>
        <v>-42082763.5</v>
      </c>
      <c r="E80" s="137"/>
      <c r="F80" s="137" t="s">
        <v>36</v>
      </c>
      <c r="G80" s="82">
        <f>+$G$66</f>
        <v>9.150556312443206E-2</v>
      </c>
      <c r="H80" s="137"/>
      <c r="I80" s="78">
        <f t="shared" ref="I80" si="4">D80*G80</f>
        <v>-3850806.9718997953</v>
      </c>
      <c r="J80" s="137"/>
      <c r="K80" s="168"/>
    </row>
    <row r="81" spans="1:11">
      <c r="A81" s="102">
        <v>26</v>
      </c>
      <c r="B81" s="133" t="s">
        <v>419</v>
      </c>
      <c r="C81" s="63" t="s">
        <v>420</v>
      </c>
      <c r="D81" s="77">
        <f>SUM(D71:D80)</f>
        <v>-89316785.209230766</v>
      </c>
      <c r="E81" s="137"/>
      <c r="F81" s="137"/>
      <c r="G81" s="137"/>
      <c r="H81" s="137"/>
      <c r="I81" s="77">
        <f>SUM(I71:I80)</f>
        <v>-8172982.727034606</v>
      </c>
      <c r="J81" s="137"/>
      <c r="K81" s="140"/>
    </row>
    <row r="82" spans="1:11">
      <c r="A82" s="102"/>
      <c r="C82" s="137"/>
      <c r="E82" s="137"/>
      <c r="F82" s="137"/>
      <c r="G82" s="169"/>
      <c r="H82" s="137"/>
      <c r="J82" s="137"/>
      <c r="K82" s="168"/>
    </row>
    <row r="83" spans="1:11">
      <c r="A83" s="102">
        <v>27</v>
      </c>
      <c r="B83" s="133" t="s">
        <v>37</v>
      </c>
      <c r="C83" s="87" t="s">
        <v>746</v>
      </c>
      <c r="D83" s="236">
        <f>'A4-Rate Base'!I23</f>
        <v>318000</v>
      </c>
      <c r="E83" s="137"/>
      <c r="F83" s="147" t="str">
        <f>+F54</f>
        <v>TP</v>
      </c>
      <c r="G83" s="146">
        <f>$I$174</f>
        <v>1</v>
      </c>
      <c r="H83" s="137"/>
      <c r="I83" s="77">
        <f>+G83*D83</f>
        <v>318000</v>
      </c>
      <c r="J83" s="137"/>
      <c r="K83" s="140"/>
    </row>
    <row r="84" spans="1:11">
      <c r="A84" s="102"/>
      <c r="B84" s="133"/>
      <c r="C84" s="137"/>
      <c r="D84" s="137"/>
      <c r="E84" s="137"/>
      <c r="F84" s="137"/>
      <c r="G84" s="137"/>
      <c r="H84" s="137"/>
      <c r="I84" s="137"/>
      <c r="J84" s="137"/>
      <c r="K84" s="140"/>
    </row>
    <row r="85" spans="1:11">
      <c r="A85" s="102"/>
      <c r="B85" s="133" t="s">
        <v>154</v>
      </c>
      <c r="C85" s="63" t="s">
        <v>141</v>
      </c>
      <c r="D85" s="137"/>
      <c r="E85" s="137"/>
      <c r="F85" s="137"/>
      <c r="G85" s="137"/>
      <c r="H85" s="137"/>
      <c r="I85" s="137"/>
      <c r="J85" s="137"/>
      <c r="K85" s="140"/>
    </row>
    <row r="86" spans="1:11">
      <c r="A86" s="102">
        <v>28</v>
      </c>
      <c r="B86" s="133" t="s">
        <v>109</v>
      </c>
      <c r="C86" s="75" t="s">
        <v>688</v>
      </c>
      <c r="D86" s="77">
        <f>+D116/8</f>
        <v>1529158.10375</v>
      </c>
      <c r="E86" s="137"/>
      <c r="F86" s="137"/>
      <c r="G86" s="169"/>
      <c r="H86" s="137"/>
      <c r="I86" s="77">
        <f>+I116/8</f>
        <v>236255.79353986523</v>
      </c>
      <c r="J86" s="90"/>
      <c r="K86" s="168"/>
    </row>
    <row r="87" spans="1:11">
      <c r="A87" s="102">
        <v>29</v>
      </c>
      <c r="B87" s="133" t="s">
        <v>155</v>
      </c>
      <c r="C87" s="87" t="s">
        <v>731</v>
      </c>
      <c r="D87" s="236">
        <f>'A4-Rate Base'!C46</f>
        <v>731318.70723923959</v>
      </c>
      <c r="E87" s="137"/>
      <c r="F87" s="137" t="s">
        <v>38</v>
      </c>
      <c r="G87" s="165">
        <f>$I$183</f>
        <v>1</v>
      </c>
      <c r="H87" s="137"/>
      <c r="I87" s="77">
        <f>+G87*D87</f>
        <v>731318.70723923959</v>
      </c>
      <c r="J87" s="137" t="s">
        <v>2</v>
      </c>
      <c r="K87" s="168"/>
    </row>
    <row r="88" spans="1:11" ht="13.5" thickBot="1">
      <c r="A88" s="102">
        <v>30</v>
      </c>
      <c r="B88" s="133" t="s">
        <v>148</v>
      </c>
      <c r="C88" s="62" t="s">
        <v>732</v>
      </c>
      <c r="D88" s="236">
        <f>'A4-Rate Base'!D46</f>
        <v>910680.55230769259</v>
      </c>
      <c r="E88" s="137"/>
      <c r="F88" s="137" t="s">
        <v>39</v>
      </c>
      <c r="G88" s="165">
        <f>+$G$50</f>
        <v>8.228195383512267E-2</v>
      </c>
      <c r="H88" s="137"/>
      <c r="I88" s="78">
        <f>+G88*D88</f>
        <v>74932.575163525573</v>
      </c>
      <c r="J88" s="137"/>
      <c r="K88" s="168"/>
    </row>
    <row r="89" spans="1:11">
      <c r="A89" s="102">
        <v>31</v>
      </c>
      <c r="B89" s="133" t="s">
        <v>417</v>
      </c>
      <c r="C89" s="63" t="s">
        <v>418</v>
      </c>
      <c r="D89" s="249">
        <f>D86+D87+D88</f>
        <v>3171157.3632969325</v>
      </c>
      <c r="E89" s="90"/>
      <c r="F89" s="90"/>
      <c r="G89" s="90"/>
      <c r="H89" s="90"/>
      <c r="I89" s="77">
        <f>I86+I87+I88</f>
        <v>1042507.0759426304</v>
      </c>
      <c r="J89" s="90"/>
      <c r="K89" s="89"/>
    </row>
    <row r="90" spans="1:11" ht="13.5" thickBot="1">
      <c r="C90" s="137"/>
      <c r="D90" s="172"/>
      <c r="E90" s="137"/>
      <c r="F90" s="137"/>
      <c r="G90" s="137"/>
      <c r="H90" s="137"/>
      <c r="I90" s="173"/>
      <c r="J90" s="137"/>
      <c r="K90" s="140"/>
    </row>
    <row r="91" spans="1:11" ht="13.5" thickBot="1">
      <c r="A91" s="102">
        <v>32</v>
      </c>
      <c r="B91" s="133" t="s">
        <v>627</v>
      </c>
      <c r="C91" s="133" t="s">
        <v>628</v>
      </c>
      <c r="D91" s="88">
        <f>+D89+D83+D81+D66</f>
        <v>341580161.72556525</v>
      </c>
      <c r="E91" s="137"/>
      <c r="F91" s="137"/>
      <c r="G91" s="169"/>
      <c r="H91" s="137"/>
      <c r="I91" s="88">
        <f>+I89+I83+I81+I66</f>
        <v>32297714.817416809</v>
      </c>
      <c r="J91" s="137"/>
      <c r="K91" s="168"/>
    </row>
    <row r="92" spans="1:11" ht="13.5" thickTop="1">
      <c r="B92" s="133"/>
      <c r="C92" s="133"/>
      <c r="D92" s="134"/>
      <c r="E92" s="133"/>
      <c r="F92" s="133"/>
      <c r="G92" s="133"/>
      <c r="H92" s="90"/>
      <c r="I92" s="174"/>
      <c r="J92" s="174"/>
      <c r="K92" s="135"/>
    </row>
    <row r="93" spans="1:11">
      <c r="B93" s="133"/>
      <c r="C93" s="133"/>
      <c r="D93" s="134"/>
      <c r="E93" s="133"/>
      <c r="F93" s="133"/>
      <c r="G93" s="133"/>
      <c r="H93" s="90"/>
      <c r="I93" s="833" t="str">
        <f>I1</f>
        <v>Actual Attachment H</v>
      </c>
      <c r="J93" s="833"/>
      <c r="K93" s="833"/>
    </row>
    <row r="94" spans="1:11">
      <c r="B94" s="133"/>
      <c r="C94" s="133"/>
      <c r="D94" s="134"/>
      <c r="E94" s="133"/>
      <c r="F94" s="133"/>
      <c r="G94" s="133"/>
      <c r="H94" s="90"/>
      <c r="I94" s="90"/>
      <c r="J94" s="832" t="s">
        <v>263</v>
      </c>
      <c r="K94" s="832"/>
    </row>
    <row r="95" spans="1:11">
      <c r="B95" s="133"/>
      <c r="C95" s="133"/>
      <c r="D95" s="134"/>
      <c r="E95" s="133"/>
      <c r="F95" s="133"/>
      <c r="G95" s="133"/>
      <c r="H95" s="90"/>
      <c r="I95" s="90"/>
      <c r="J95" s="90"/>
      <c r="K95" s="135"/>
    </row>
    <row r="96" spans="1:11">
      <c r="B96" s="134" t="s">
        <v>0</v>
      </c>
      <c r="C96" s="133"/>
      <c r="D96" s="102" t="s">
        <v>1</v>
      </c>
      <c r="E96" s="133"/>
      <c r="F96" s="133"/>
      <c r="G96" s="133"/>
      <c r="H96" s="90"/>
      <c r="I96" s="90"/>
      <c r="J96" s="90"/>
      <c r="K96" s="154" t="str">
        <f>K4</f>
        <v>Actuals - For the 12 months ended 12/31/2020</v>
      </c>
    </row>
    <row r="97" spans="1:11">
      <c r="B97" s="133"/>
      <c r="C97" s="137"/>
      <c r="D97" s="138" t="s">
        <v>3</v>
      </c>
      <c r="E97" s="137"/>
      <c r="F97" s="137"/>
      <c r="G97" s="137"/>
      <c r="H97" s="90"/>
      <c r="I97" s="90"/>
      <c r="J97" s="90"/>
      <c r="K97" s="89"/>
    </row>
    <row r="98" spans="1:11">
      <c r="B98" s="133"/>
      <c r="C98" s="137"/>
      <c r="D98" s="137"/>
      <c r="E98" s="137"/>
      <c r="F98" s="137"/>
      <c r="G98" s="137"/>
      <c r="H98" s="90"/>
      <c r="I98" s="90"/>
      <c r="J98" s="90"/>
      <c r="K98" s="89"/>
    </row>
    <row r="99" spans="1:11">
      <c r="A99" s="102"/>
      <c r="D99" s="155" t="str">
        <f>C7</f>
        <v>Cheyenne Light, Fuel &amp; Power</v>
      </c>
      <c r="J99" s="137"/>
      <c r="K99" s="140"/>
    </row>
    <row r="100" spans="1:11">
      <c r="A100" s="102"/>
      <c r="D100" s="175"/>
      <c r="J100" s="137"/>
      <c r="K100" s="140"/>
    </row>
    <row r="101" spans="1:11">
      <c r="A101" s="102"/>
      <c r="B101" s="102" t="s">
        <v>15</v>
      </c>
      <c r="C101" s="102" t="s">
        <v>16</v>
      </c>
      <c r="D101" s="102" t="s">
        <v>17</v>
      </c>
      <c r="E101" s="137" t="s">
        <v>2</v>
      </c>
      <c r="F101" s="137"/>
      <c r="G101" s="156" t="s">
        <v>18</v>
      </c>
      <c r="H101" s="137"/>
      <c r="I101" s="157" t="s">
        <v>19</v>
      </c>
      <c r="J101" s="137"/>
      <c r="K101" s="140"/>
    </row>
    <row r="102" spans="1:11">
      <c r="A102" s="102" t="s">
        <v>4</v>
      </c>
      <c r="B102" s="133"/>
      <c r="C102" s="159" t="s">
        <v>20</v>
      </c>
      <c r="D102" s="137"/>
      <c r="E102" s="137"/>
      <c r="F102" s="137"/>
      <c r="G102" s="102"/>
      <c r="H102" s="137"/>
      <c r="I102" s="160" t="s">
        <v>21</v>
      </c>
      <c r="J102" s="137"/>
      <c r="K102" s="176"/>
    </row>
    <row r="103" spans="1:11" ht="13.5" thickBot="1">
      <c r="A103" s="142" t="s">
        <v>6</v>
      </c>
      <c r="B103" s="133"/>
      <c r="C103" s="161" t="s">
        <v>22</v>
      </c>
      <c r="D103" s="160" t="s">
        <v>23</v>
      </c>
      <c r="E103" s="162"/>
      <c r="F103" s="160" t="s">
        <v>24</v>
      </c>
      <c r="H103" s="162"/>
      <c r="I103" s="102" t="s">
        <v>25</v>
      </c>
      <c r="J103" s="137"/>
      <c r="K103" s="176"/>
    </row>
    <row r="104" spans="1:11">
      <c r="A104" s="102"/>
      <c r="B104" s="133" t="s">
        <v>158</v>
      </c>
      <c r="C104" s="137"/>
      <c r="D104" s="137"/>
      <c r="E104" s="137"/>
      <c r="F104" s="137"/>
      <c r="G104" s="137"/>
      <c r="H104" s="137"/>
      <c r="I104" s="137"/>
      <c r="J104" s="137"/>
      <c r="K104" s="140"/>
    </row>
    <row r="105" spans="1:11">
      <c r="A105" s="102">
        <v>1</v>
      </c>
      <c r="B105" s="133" t="s">
        <v>40</v>
      </c>
      <c r="C105" s="137" t="s">
        <v>122</v>
      </c>
      <c r="D105" s="92">
        <v>20580228</v>
      </c>
      <c r="E105" s="137"/>
      <c r="F105" s="137" t="s">
        <v>38</v>
      </c>
      <c r="G105" s="165">
        <f>$I$183</f>
        <v>1</v>
      </c>
      <c r="H105" s="137"/>
      <c r="I105" s="77">
        <f>+G105*D105</f>
        <v>20580228</v>
      </c>
      <c r="J105" s="90"/>
      <c r="K105" s="140"/>
    </row>
    <row r="106" spans="1:11">
      <c r="A106" s="102">
        <v>2</v>
      </c>
      <c r="B106" s="133" t="s">
        <v>895</v>
      </c>
      <c r="C106" s="140" t="s">
        <v>896</v>
      </c>
      <c r="D106" s="92">
        <f>422+243180+67372</f>
        <v>310974</v>
      </c>
      <c r="E106" s="137"/>
      <c r="F106" s="137" t="s">
        <v>38</v>
      </c>
      <c r="G106" s="165">
        <f>$I$183</f>
        <v>1</v>
      </c>
      <c r="H106" s="137"/>
      <c r="I106" s="66">
        <f t="shared" ref="I106:I115" si="5">+G106*D106</f>
        <v>310974</v>
      </c>
      <c r="J106" s="90"/>
      <c r="K106" s="140"/>
    </row>
    <row r="107" spans="1:11">
      <c r="A107" s="102" t="s">
        <v>157</v>
      </c>
      <c r="B107" s="133" t="s">
        <v>41</v>
      </c>
      <c r="C107" s="137" t="s">
        <v>123</v>
      </c>
      <c r="D107" s="92">
        <v>19339503</v>
      </c>
      <c r="E107" s="137"/>
      <c r="F107" s="137" t="s">
        <v>38</v>
      </c>
      <c r="G107" s="165">
        <f>$I$183</f>
        <v>1</v>
      </c>
      <c r="H107" s="137"/>
      <c r="I107" s="66">
        <f t="shared" ref="I107" si="6">+G107*D107</f>
        <v>19339503</v>
      </c>
      <c r="J107" s="90"/>
      <c r="K107" s="140"/>
    </row>
    <row r="108" spans="1:11">
      <c r="A108" s="102">
        <v>3</v>
      </c>
      <c r="B108" s="133" t="s">
        <v>42</v>
      </c>
      <c r="C108" s="137" t="s">
        <v>124</v>
      </c>
      <c r="D108" s="92">
        <v>12432349</v>
      </c>
      <c r="E108" s="137"/>
      <c r="F108" s="137" t="s">
        <v>31</v>
      </c>
      <c r="G108" s="165">
        <f>$I$191</f>
        <v>8.4955471613637312E-2</v>
      </c>
      <c r="H108" s="137"/>
      <c r="I108" s="77">
        <f t="shared" si="5"/>
        <v>1056196.0725603322</v>
      </c>
      <c r="J108" s="137"/>
      <c r="K108" s="140" t="s">
        <v>2</v>
      </c>
    </row>
    <row r="109" spans="1:11">
      <c r="A109" s="102">
        <v>4</v>
      </c>
      <c r="B109" s="133" t="s">
        <v>512</v>
      </c>
      <c r="C109" s="137" t="s">
        <v>160</v>
      </c>
      <c r="D109" s="92">
        <v>349559</v>
      </c>
      <c r="E109" s="137"/>
      <c r="F109" s="147" t="str">
        <f>+F108</f>
        <v>W/S</v>
      </c>
      <c r="G109" s="165">
        <f>$I$191</f>
        <v>8.4955471613637312E-2</v>
      </c>
      <c r="H109" s="137"/>
      <c r="I109" s="66">
        <f t="shared" si="5"/>
        <v>29696.949701791444</v>
      </c>
      <c r="J109" s="137"/>
      <c r="K109" s="140"/>
    </row>
    <row r="110" spans="1:11">
      <c r="A110" s="102">
        <v>5</v>
      </c>
      <c r="B110" s="103" t="s">
        <v>513</v>
      </c>
      <c r="C110" s="140" t="s">
        <v>718</v>
      </c>
      <c r="D110" s="236">
        <f>'A2-A&amp;G'!D12</f>
        <v>392570</v>
      </c>
      <c r="E110" s="137"/>
      <c r="F110" s="147" t="str">
        <f>+F109</f>
        <v>W/S</v>
      </c>
      <c r="G110" s="165">
        <f>$I$191</f>
        <v>8.4955471613637312E-2</v>
      </c>
      <c r="H110" s="137"/>
      <c r="I110" s="66">
        <f t="shared" si="5"/>
        <v>33350.969491365599</v>
      </c>
      <c r="J110" s="137"/>
      <c r="K110" s="140"/>
    </row>
    <row r="111" spans="1:11">
      <c r="A111" s="102" t="s">
        <v>110</v>
      </c>
      <c r="B111" s="103" t="s">
        <v>514</v>
      </c>
      <c r="C111" s="140" t="s">
        <v>719</v>
      </c>
      <c r="D111" s="236">
        <f>'A2-A&amp;G'!D17</f>
        <v>0</v>
      </c>
      <c r="E111" s="137"/>
      <c r="F111" s="177" t="str">
        <f>+F105</f>
        <v>TE</v>
      </c>
      <c r="G111" s="165">
        <f>$I$183</f>
        <v>1</v>
      </c>
      <c r="H111" s="137"/>
      <c r="I111" s="66">
        <f>+G111*D111</f>
        <v>0</v>
      </c>
      <c r="J111" s="137"/>
      <c r="K111" s="140"/>
    </row>
    <row r="112" spans="1:11">
      <c r="A112" s="102" t="s">
        <v>165</v>
      </c>
      <c r="B112" s="103" t="s">
        <v>163</v>
      </c>
      <c r="C112" s="140" t="s">
        <v>289</v>
      </c>
      <c r="D112" s="92">
        <v>431285</v>
      </c>
      <c r="E112" s="137"/>
      <c r="F112" s="147" t="s">
        <v>31</v>
      </c>
      <c r="G112" s="165">
        <f>$I$191</f>
        <v>8.4955471613637312E-2</v>
      </c>
      <c r="H112" s="137"/>
      <c r="I112" s="74">
        <f t="shared" ref="I112:I113" si="7">+G112*D112</f>
        <v>36640.020574887567</v>
      </c>
      <c r="J112" s="137"/>
      <c r="K112" s="140"/>
    </row>
    <row r="113" spans="1:15">
      <c r="A113" s="102" t="s">
        <v>166</v>
      </c>
      <c r="B113" s="103" t="s">
        <v>164</v>
      </c>
      <c r="C113" s="140" t="s">
        <v>754</v>
      </c>
      <c r="D113" s="236">
        <f>'A2-A&amp;G'!D29</f>
        <v>817991.17</v>
      </c>
      <c r="E113" s="137"/>
      <c r="F113" s="147" t="str">
        <f>+F112</f>
        <v>W/S</v>
      </c>
      <c r="G113" s="165">
        <f>$I$191</f>
        <v>8.4955471613637312E-2</v>
      </c>
      <c r="H113" s="137"/>
      <c r="I113" s="74">
        <f t="shared" si="7"/>
        <v>69492.825623140976</v>
      </c>
      <c r="J113" s="137"/>
      <c r="K113" s="140"/>
    </row>
    <row r="114" spans="1:15">
      <c r="A114" s="102">
        <v>6</v>
      </c>
      <c r="B114" s="133" t="s">
        <v>32</v>
      </c>
      <c r="C114" s="147" t="s">
        <v>33</v>
      </c>
      <c r="D114" s="92">
        <v>0</v>
      </c>
      <c r="E114" s="137"/>
      <c r="F114" s="137" t="s">
        <v>70</v>
      </c>
      <c r="G114" s="165">
        <f>$K$195</f>
        <v>6.4828651960454647E-2</v>
      </c>
      <c r="H114" s="137"/>
      <c r="I114" s="77">
        <f t="shared" si="5"/>
        <v>0</v>
      </c>
      <c r="J114" s="137"/>
      <c r="K114" s="140"/>
    </row>
    <row r="115" spans="1:15" ht="13.5" thickBot="1">
      <c r="A115" s="102">
        <v>7</v>
      </c>
      <c r="B115" s="133" t="s">
        <v>43</v>
      </c>
      <c r="C115" s="137" t="s">
        <v>722</v>
      </c>
      <c r="D115" s="92">
        <v>0</v>
      </c>
      <c r="E115" s="137"/>
      <c r="F115" s="137" t="s">
        <v>412</v>
      </c>
      <c r="G115" s="164">
        <v>1</v>
      </c>
      <c r="H115" s="137"/>
      <c r="I115" s="78">
        <f t="shared" si="5"/>
        <v>0</v>
      </c>
      <c r="J115" s="137"/>
      <c r="K115" s="140"/>
    </row>
    <row r="116" spans="1:15">
      <c r="A116" s="158">
        <v>8</v>
      </c>
      <c r="B116" s="103" t="s">
        <v>167</v>
      </c>
      <c r="C116" s="140"/>
      <c r="D116" s="91">
        <f>+D105-D106-D107+D108-D109-D110+D114+D115+D111+D112-D113</f>
        <v>12233264.83</v>
      </c>
      <c r="E116" s="140"/>
      <c r="F116" s="140"/>
      <c r="G116" s="140"/>
      <c r="H116" s="140"/>
      <c r="I116" s="77">
        <f>+I105-I106-I107+I108-I109-I110+I114+I115+I111+I112-I113</f>
        <v>1890046.3483189219</v>
      </c>
      <c r="J116" s="140"/>
      <c r="K116" s="140"/>
      <c r="L116" s="166"/>
      <c r="M116" s="166"/>
      <c r="N116" s="166"/>
      <c r="O116" s="166"/>
    </row>
    <row r="117" spans="1:15">
      <c r="A117" s="102"/>
      <c r="C117" s="137"/>
      <c r="E117" s="137"/>
      <c r="F117" s="137"/>
      <c r="G117" s="137"/>
      <c r="H117" s="137"/>
      <c r="J117" s="137"/>
      <c r="K117" s="140"/>
    </row>
    <row r="118" spans="1:15">
      <c r="A118" s="102"/>
      <c r="B118" s="133" t="s">
        <v>526</v>
      </c>
      <c r="C118" s="137"/>
      <c r="D118" s="137"/>
      <c r="E118" s="137"/>
      <c r="F118" s="137"/>
      <c r="G118" s="137"/>
      <c r="H118" s="137"/>
      <c r="I118" s="137"/>
      <c r="J118" s="137"/>
      <c r="K118" s="140"/>
    </row>
    <row r="119" spans="1:15">
      <c r="A119" s="102">
        <v>9</v>
      </c>
      <c r="B119" s="170" t="str">
        <f>+B105</f>
        <v xml:space="preserve">  Transmission </v>
      </c>
      <c r="C119" s="137" t="s">
        <v>421</v>
      </c>
      <c r="D119" s="92">
        <v>911860</v>
      </c>
      <c r="E119" s="137"/>
      <c r="F119" s="137" t="s">
        <v>11</v>
      </c>
      <c r="G119" s="146">
        <f>$I$174</f>
        <v>1</v>
      </c>
      <c r="H119" s="137"/>
      <c r="I119" s="77">
        <f>+G119*D119</f>
        <v>911860</v>
      </c>
      <c r="J119" s="137"/>
      <c r="K119" s="168"/>
    </row>
    <row r="120" spans="1:15">
      <c r="A120" s="102">
        <v>10</v>
      </c>
      <c r="B120" s="133" t="s">
        <v>136</v>
      </c>
      <c r="C120" s="137" t="s">
        <v>138</v>
      </c>
      <c r="D120" s="92">
        <f>1159367+0</f>
        <v>1159367</v>
      </c>
      <c r="E120" s="137"/>
      <c r="F120" s="137" t="s">
        <v>31</v>
      </c>
      <c r="G120" s="165">
        <f>$I$191</f>
        <v>8.4955471613637312E-2</v>
      </c>
      <c r="H120" s="137"/>
      <c r="I120" s="77">
        <f>+G120*D120</f>
        <v>98494.570258287844</v>
      </c>
      <c r="J120" s="137"/>
      <c r="K120" s="168"/>
    </row>
    <row r="121" spans="1:15">
      <c r="A121" s="102">
        <v>11</v>
      </c>
      <c r="B121" s="170" t="str">
        <f>+B114</f>
        <v xml:space="preserve">  Common</v>
      </c>
      <c r="C121" s="137" t="s">
        <v>427</v>
      </c>
      <c r="D121" s="92">
        <f>0</f>
        <v>0</v>
      </c>
      <c r="E121" s="137"/>
      <c r="F121" s="137" t="s">
        <v>70</v>
      </c>
      <c r="G121" s="165">
        <f>$K$195</f>
        <v>6.4828651960454647E-2</v>
      </c>
      <c r="H121" s="137"/>
      <c r="I121" s="77">
        <f>+G121*D121</f>
        <v>0</v>
      </c>
      <c r="J121" s="137"/>
      <c r="K121" s="168"/>
    </row>
    <row r="122" spans="1:15" s="2" customFormat="1" ht="13.5" thickBot="1">
      <c r="A122" s="94" t="s">
        <v>423</v>
      </c>
      <c r="B122" s="95" t="s">
        <v>429</v>
      </c>
      <c r="C122" s="96" t="s">
        <v>535</v>
      </c>
      <c r="D122" s="92">
        <v>0</v>
      </c>
      <c r="E122" s="66"/>
      <c r="F122" s="66" t="s">
        <v>412</v>
      </c>
      <c r="G122" s="97">
        <v>1</v>
      </c>
      <c r="H122" s="66"/>
      <c r="I122" s="86">
        <f>+G122*D122</f>
        <v>0</v>
      </c>
      <c r="J122" s="63"/>
      <c r="K122" s="76"/>
    </row>
    <row r="123" spans="1:15">
      <c r="A123" s="102">
        <v>12</v>
      </c>
      <c r="B123" s="133" t="s">
        <v>430</v>
      </c>
      <c r="C123" s="79" t="s">
        <v>431</v>
      </c>
      <c r="D123" s="91">
        <f>SUM(D119:D122)</f>
        <v>2071227</v>
      </c>
      <c r="E123" s="137"/>
      <c r="F123" s="137"/>
      <c r="G123" s="137"/>
      <c r="H123" s="137"/>
      <c r="I123" s="77">
        <f>SUM(I119:I122)</f>
        <v>1010354.5702582878</v>
      </c>
      <c r="J123" s="137"/>
      <c r="K123" s="140"/>
    </row>
    <row r="124" spans="1:15">
      <c r="A124" s="102"/>
      <c r="B124" s="133"/>
      <c r="C124" s="137"/>
      <c r="D124" s="137"/>
      <c r="E124" s="137"/>
      <c r="F124" s="137"/>
      <c r="G124" s="137"/>
      <c r="H124" s="137"/>
      <c r="I124" s="137"/>
      <c r="J124" s="137"/>
      <c r="K124" s="140"/>
    </row>
    <row r="125" spans="1:15">
      <c r="A125" s="102" t="s">
        <v>2</v>
      </c>
      <c r="B125" s="133" t="s">
        <v>517</v>
      </c>
      <c r="D125" s="137"/>
      <c r="E125" s="137"/>
      <c r="F125" s="137"/>
      <c r="G125" s="137"/>
      <c r="H125" s="137"/>
      <c r="I125" s="137"/>
      <c r="J125" s="137"/>
      <c r="K125" s="140"/>
    </row>
    <row r="126" spans="1:15">
      <c r="A126" s="102"/>
      <c r="B126" s="133" t="s">
        <v>44</v>
      </c>
      <c r="E126" s="137"/>
      <c r="F126" s="137"/>
      <c r="H126" s="137"/>
      <c r="J126" s="137"/>
      <c r="K126" s="168"/>
    </row>
    <row r="127" spans="1:15">
      <c r="A127" s="102">
        <v>13</v>
      </c>
      <c r="B127" s="133" t="s">
        <v>45</v>
      </c>
      <c r="C127" s="137" t="s">
        <v>114</v>
      </c>
      <c r="D127" s="92">
        <f>1367423+10721+14795+453</f>
        <v>1393392</v>
      </c>
      <c r="E127" s="137"/>
      <c r="F127" s="137" t="s">
        <v>31</v>
      </c>
      <c r="G127" s="165">
        <f>$I$191</f>
        <v>8.4955471613637312E-2</v>
      </c>
      <c r="H127" s="137"/>
      <c r="I127" s="77">
        <f>+G127*D127</f>
        <v>118376.27450266932</v>
      </c>
      <c r="J127" s="137"/>
      <c r="K127" s="168"/>
    </row>
    <row r="128" spans="1:15">
      <c r="A128" s="102">
        <v>14</v>
      </c>
      <c r="B128" s="133" t="s">
        <v>46</v>
      </c>
      <c r="C128" s="147" t="str">
        <f>+C127</f>
        <v>263.i</v>
      </c>
      <c r="D128" s="92">
        <v>0</v>
      </c>
      <c r="E128" s="137"/>
      <c r="F128" s="147" t="str">
        <f>+F127</f>
        <v>W/S</v>
      </c>
      <c r="G128" s="165">
        <f>$I$191</f>
        <v>8.4955471613637312E-2</v>
      </c>
      <c r="H128" s="137"/>
      <c r="I128" s="77">
        <f>+G128*D128</f>
        <v>0</v>
      </c>
      <c r="J128" s="137"/>
      <c r="K128" s="168"/>
    </row>
    <row r="129" spans="1:11">
      <c r="A129" s="102">
        <v>15</v>
      </c>
      <c r="B129" s="133" t="s">
        <v>47</v>
      </c>
      <c r="C129" s="137" t="s">
        <v>2</v>
      </c>
      <c r="E129" s="137"/>
      <c r="F129" s="137"/>
      <c r="H129" s="137"/>
      <c r="J129" s="137"/>
      <c r="K129" s="168"/>
    </row>
    <row r="130" spans="1:11">
      <c r="A130" s="102">
        <v>16</v>
      </c>
      <c r="B130" s="133" t="s">
        <v>48</v>
      </c>
      <c r="C130" s="137" t="s">
        <v>114</v>
      </c>
      <c r="D130" s="92">
        <v>2835808</v>
      </c>
      <c r="E130" s="137"/>
      <c r="F130" s="137" t="s">
        <v>39</v>
      </c>
      <c r="G130" s="165">
        <f>+$G$50</f>
        <v>8.228195383512267E-2</v>
      </c>
      <c r="H130" s="137"/>
      <c r="I130" s="77">
        <f>+G130*D130</f>
        <v>233335.82294127156</v>
      </c>
      <c r="J130" s="137"/>
      <c r="K130" s="168"/>
    </row>
    <row r="131" spans="1:11">
      <c r="A131" s="102">
        <v>17</v>
      </c>
      <c r="B131" s="133" t="s">
        <v>49</v>
      </c>
      <c r="C131" s="137" t="s">
        <v>114</v>
      </c>
      <c r="D131" s="92">
        <v>-6824</v>
      </c>
      <c r="E131" s="137"/>
      <c r="F131" s="179" t="str">
        <f>+F71</f>
        <v>NA</v>
      </c>
      <c r="G131" s="180">
        <v>0</v>
      </c>
      <c r="H131" s="137"/>
      <c r="I131" s="77">
        <v>0</v>
      </c>
      <c r="J131" s="137"/>
      <c r="K131" s="168"/>
    </row>
    <row r="132" spans="1:11">
      <c r="A132" s="102">
        <v>18</v>
      </c>
      <c r="B132" s="133" t="s">
        <v>50</v>
      </c>
      <c r="C132" s="147" t="str">
        <f>+C131</f>
        <v>263.i</v>
      </c>
      <c r="D132" s="92">
        <v>0</v>
      </c>
      <c r="E132" s="137"/>
      <c r="F132" s="147" t="str">
        <f>+F130</f>
        <v>GP</v>
      </c>
      <c r="G132" s="165">
        <f>+$G$50</f>
        <v>8.228195383512267E-2</v>
      </c>
      <c r="H132" s="137"/>
      <c r="I132" s="77">
        <f>+G132*D132</f>
        <v>0</v>
      </c>
      <c r="J132" s="137"/>
      <c r="K132" s="168"/>
    </row>
    <row r="133" spans="1:11" ht="13.5" thickBot="1">
      <c r="A133" s="102">
        <v>19</v>
      </c>
      <c r="B133" s="133" t="s">
        <v>51</v>
      </c>
      <c r="C133" s="137"/>
      <c r="D133" s="92">
        <v>0</v>
      </c>
      <c r="E133" s="137"/>
      <c r="F133" s="137" t="s">
        <v>39</v>
      </c>
      <c r="G133" s="165">
        <f>+$G$50</f>
        <v>8.228195383512267E-2</v>
      </c>
      <c r="H133" s="137"/>
      <c r="I133" s="77">
        <f>+G133*D133</f>
        <v>0</v>
      </c>
      <c r="J133" s="137"/>
      <c r="K133" s="168"/>
    </row>
    <row r="134" spans="1:11">
      <c r="A134" s="102">
        <v>20</v>
      </c>
      <c r="B134" s="133" t="s">
        <v>433</v>
      </c>
      <c r="C134" s="79" t="s">
        <v>432</v>
      </c>
      <c r="D134" s="91">
        <f>SUM(D127:D133)</f>
        <v>4222376</v>
      </c>
      <c r="E134" s="137"/>
      <c r="F134" s="137"/>
      <c r="G134" s="150"/>
      <c r="H134" s="137"/>
      <c r="I134" s="91">
        <f>SUM(I127:I133)</f>
        <v>351712.09744394087</v>
      </c>
      <c r="J134" s="137"/>
      <c r="K134" s="140"/>
    </row>
    <row r="135" spans="1:11">
      <c r="A135" s="102"/>
      <c r="B135" s="133"/>
      <c r="C135" s="137"/>
      <c r="D135" s="137"/>
      <c r="E135" s="137"/>
      <c r="F135" s="137"/>
      <c r="G135" s="150"/>
      <c r="H135" s="137"/>
      <c r="I135" s="137"/>
      <c r="J135" s="137"/>
      <c r="K135" s="140"/>
    </row>
    <row r="136" spans="1:11">
      <c r="A136" s="102" t="s">
        <v>2</v>
      </c>
      <c r="B136" s="133" t="s">
        <v>52</v>
      </c>
      <c r="C136" s="137" t="s">
        <v>515</v>
      </c>
      <c r="D136" s="137"/>
      <c r="E136" s="137"/>
      <c r="G136" s="181"/>
      <c r="H136" s="137"/>
      <c r="J136" s="137"/>
    </row>
    <row r="137" spans="1:11">
      <c r="A137" s="102">
        <v>21</v>
      </c>
      <c r="B137" s="182" t="s">
        <v>104</v>
      </c>
      <c r="C137" s="137"/>
      <c r="D137" s="183">
        <f>IF(D242&gt;0,1-(((1-D243)*(1-D242))/(1-D243*D242*D244)),0)</f>
        <v>0.20999999999999996</v>
      </c>
      <c r="E137" s="137"/>
      <c r="G137" s="181"/>
      <c r="H137" s="137"/>
      <c r="J137" s="137"/>
    </row>
    <row r="138" spans="1:11">
      <c r="A138" s="102">
        <v>22</v>
      </c>
      <c r="B138" s="132" t="s">
        <v>105</v>
      </c>
      <c r="C138" s="137"/>
      <c r="D138" s="183">
        <f>IF(I214&gt;0,(D137/(1-D137))*(1-I211/I214),0)</f>
        <v>0.17488854205639434</v>
      </c>
      <c r="E138" s="137"/>
      <c r="G138" s="181"/>
      <c r="H138" s="137"/>
      <c r="J138" s="137"/>
    </row>
    <row r="139" spans="1:11">
      <c r="A139" s="102"/>
      <c r="B139" s="133" t="s">
        <v>162</v>
      </c>
      <c r="C139" s="137"/>
      <c r="D139" s="137"/>
      <c r="E139" s="137"/>
      <c r="G139" s="181"/>
      <c r="H139" s="137"/>
      <c r="J139" s="137"/>
    </row>
    <row r="140" spans="1:11">
      <c r="A140" s="102"/>
      <c r="B140" s="133" t="s">
        <v>702</v>
      </c>
      <c r="C140" s="137"/>
      <c r="D140" s="137"/>
      <c r="E140" s="137"/>
      <c r="G140" s="181"/>
      <c r="H140" s="137"/>
      <c r="J140" s="137"/>
    </row>
    <row r="141" spans="1:11">
      <c r="A141" s="102">
        <v>23</v>
      </c>
      <c r="B141" s="182" t="s">
        <v>107</v>
      </c>
      <c r="C141" s="137"/>
      <c r="D141" s="512">
        <f>IF(D137&gt;0,1/(1-D137),0)</f>
        <v>1.2658227848101264</v>
      </c>
      <c r="E141" s="137"/>
      <c r="G141" s="181"/>
      <c r="H141" s="137"/>
      <c r="J141" s="137"/>
    </row>
    <row r="142" spans="1:11">
      <c r="A142" s="102">
        <v>24</v>
      </c>
      <c r="B142" s="133" t="s">
        <v>106</v>
      </c>
      <c r="C142" s="137" t="s">
        <v>426</v>
      </c>
      <c r="D142" s="92"/>
      <c r="E142" s="137"/>
      <c r="G142" s="181"/>
      <c r="H142" s="137"/>
      <c r="J142" s="137"/>
    </row>
    <row r="143" spans="1:11">
      <c r="A143" s="102" t="s">
        <v>424</v>
      </c>
      <c r="B143" s="98" t="s">
        <v>434</v>
      </c>
      <c r="C143" s="79" t="s">
        <v>847</v>
      </c>
      <c r="D143" s="92">
        <v>0</v>
      </c>
      <c r="E143" s="137"/>
      <c r="G143" s="181"/>
      <c r="H143" s="137"/>
      <c r="J143" s="137"/>
    </row>
    <row r="144" spans="1:11">
      <c r="A144" s="102" t="s">
        <v>947</v>
      </c>
      <c r="B144" s="98" t="s">
        <v>946</v>
      </c>
      <c r="C144" s="79" t="s">
        <v>848</v>
      </c>
      <c r="D144" s="92">
        <v>205333</v>
      </c>
      <c r="E144" s="137"/>
      <c r="G144" s="181"/>
      <c r="H144" s="137"/>
      <c r="J144" s="137"/>
    </row>
    <row r="145" spans="1:11">
      <c r="A145" s="102" t="s">
        <v>425</v>
      </c>
      <c r="B145" s="98" t="s">
        <v>422</v>
      </c>
      <c r="C145" s="79" t="s">
        <v>848</v>
      </c>
      <c r="D145" s="92">
        <f>D144*D137</f>
        <v>43119.929999999993</v>
      </c>
      <c r="E145" s="137"/>
      <c r="G145" s="181"/>
      <c r="H145" s="137"/>
      <c r="J145" s="137"/>
    </row>
    <row r="146" spans="1:11">
      <c r="A146" s="102">
        <v>25</v>
      </c>
      <c r="B146" s="182" t="s">
        <v>437</v>
      </c>
      <c r="C146" s="184" t="s">
        <v>435</v>
      </c>
      <c r="D146" s="77">
        <f>D138*D153</f>
        <v>5078863.4120699512</v>
      </c>
      <c r="E146" s="137"/>
      <c r="F146" s="137"/>
      <c r="G146" s="150"/>
      <c r="H146" s="137"/>
      <c r="I146" s="77">
        <f>D138*I153</f>
        <v>480226.02147322142</v>
      </c>
      <c r="J146" s="137"/>
      <c r="K146" s="185" t="s">
        <v>2</v>
      </c>
    </row>
    <row r="147" spans="1:11">
      <c r="A147" s="102">
        <v>26</v>
      </c>
      <c r="B147" s="132" t="s">
        <v>438</v>
      </c>
      <c r="C147" s="184" t="s">
        <v>436</v>
      </c>
      <c r="D147" s="77">
        <f>D141*D142</f>
        <v>0</v>
      </c>
      <c r="E147" s="137"/>
      <c r="F147" s="132" t="s">
        <v>36</v>
      </c>
      <c r="G147" s="82">
        <f>+$G$66</f>
        <v>9.150556312443206E-2</v>
      </c>
      <c r="H147" s="137"/>
      <c r="I147" s="77">
        <f>G147*D147</f>
        <v>0</v>
      </c>
      <c r="J147" s="137"/>
      <c r="K147" s="185"/>
    </row>
    <row r="148" spans="1:11">
      <c r="A148" s="102" t="s">
        <v>439</v>
      </c>
      <c r="B148" s="83" t="s">
        <v>441</v>
      </c>
      <c r="C148" s="99" t="s">
        <v>443</v>
      </c>
      <c r="D148" s="77">
        <f>D141*D143</f>
        <v>0</v>
      </c>
      <c r="E148" s="137"/>
      <c r="F148" s="132" t="s">
        <v>36</v>
      </c>
      <c r="G148" s="82">
        <f>+$G$66</f>
        <v>9.150556312443206E-2</v>
      </c>
      <c r="H148" s="137"/>
      <c r="I148" s="77">
        <f t="shared" ref="I148:I149" si="8">G148*D148</f>
        <v>0</v>
      </c>
      <c r="J148" s="137"/>
      <c r="K148" s="185"/>
    </row>
    <row r="149" spans="1:11" ht="13.5" thickBot="1">
      <c r="A149" s="102" t="s">
        <v>440</v>
      </c>
      <c r="B149" s="83" t="s">
        <v>442</v>
      </c>
      <c r="C149" s="99" t="s">
        <v>444</v>
      </c>
      <c r="D149" s="77">
        <f>D141*D145</f>
        <v>54582.189873417708</v>
      </c>
      <c r="E149" s="137"/>
      <c r="F149" s="132" t="s">
        <v>36</v>
      </c>
      <c r="G149" s="82">
        <f>+$G$66</f>
        <v>9.150556312443206E-2</v>
      </c>
      <c r="H149" s="137"/>
      <c r="I149" s="77">
        <f t="shared" si="8"/>
        <v>4994.5740209317601</v>
      </c>
      <c r="J149" s="137"/>
      <c r="K149" s="185"/>
    </row>
    <row r="150" spans="1:11">
      <c r="A150" s="102">
        <v>27</v>
      </c>
      <c r="B150" s="182" t="s">
        <v>98</v>
      </c>
      <c r="C150" s="83" t="s">
        <v>445</v>
      </c>
      <c r="D150" s="91">
        <f>SUM(D146:D149)</f>
        <v>5133445.601943369</v>
      </c>
      <c r="E150" s="137"/>
      <c r="F150" s="137" t="s">
        <v>2</v>
      </c>
      <c r="G150" s="150" t="s">
        <v>2</v>
      </c>
      <c r="H150" s="137"/>
      <c r="I150" s="91">
        <f>SUM(I146:I149)</f>
        <v>485220.59549415321</v>
      </c>
      <c r="J150" s="137"/>
      <c r="K150" s="140"/>
    </row>
    <row r="151" spans="1:11">
      <c r="A151" s="102" t="s">
        <v>2</v>
      </c>
      <c r="C151" s="186"/>
      <c r="D151" s="137"/>
      <c r="E151" s="137"/>
      <c r="F151" s="137"/>
      <c r="G151" s="150"/>
      <c r="H151" s="137"/>
      <c r="I151" s="137"/>
      <c r="J151" s="137"/>
      <c r="K151" s="140"/>
    </row>
    <row r="152" spans="1:11">
      <c r="B152" s="133" t="s">
        <v>53</v>
      </c>
      <c r="C152" s="169"/>
      <c r="J152" s="137"/>
    </row>
    <row r="153" spans="1:11">
      <c r="A153" s="102">
        <v>28</v>
      </c>
      <c r="B153" s="182" t="s">
        <v>793</v>
      </c>
      <c r="C153" s="101" t="s">
        <v>799</v>
      </c>
      <c r="D153" s="236">
        <f>+$I214*D91+I217</f>
        <v>29040572.654738165</v>
      </c>
      <c r="E153" s="137"/>
      <c r="F153" s="137"/>
      <c r="G153" s="181"/>
      <c r="H153" s="137"/>
      <c r="I153" s="77">
        <f>+$I214*I91+I217</f>
        <v>2745897.5632512756</v>
      </c>
      <c r="J153" s="137"/>
      <c r="K153" s="168"/>
    </row>
    <row r="154" spans="1:11">
      <c r="A154" s="102"/>
      <c r="B154" s="133"/>
      <c r="D154" s="187"/>
      <c r="E154" s="137"/>
      <c r="F154" s="137"/>
      <c r="G154" s="181"/>
      <c r="H154" s="137"/>
      <c r="I154" s="187"/>
      <c r="J154" s="137"/>
      <c r="K154" s="168"/>
    </row>
    <row r="155" spans="1:11" ht="13.5" thickBot="1">
      <c r="A155" s="102">
        <v>29</v>
      </c>
      <c r="B155" s="133" t="s">
        <v>447</v>
      </c>
      <c r="C155" s="137" t="s">
        <v>446</v>
      </c>
      <c r="D155" s="100">
        <f>+D116+D123+D134+D150+D153</f>
        <v>52700886.08668153</v>
      </c>
      <c r="E155" s="140"/>
      <c r="F155" s="140"/>
      <c r="G155" s="140"/>
      <c r="H155" s="140"/>
      <c r="I155" s="100">
        <f>+I116+I123+I134+I150+I153</f>
        <v>6483231.1747665796</v>
      </c>
      <c r="J155" s="90"/>
      <c r="K155" s="89"/>
    </row>
    <row r="156" spans="1:11" ht="13.5" thickTop="1">
      <c r="A156" s="102"/>
      <c r="B156" s="133"/>
      <c r="C156" s="137"/>
      <c r="D156" s="188"/>
      <c r="E156" s="140"/>
      <c r="F156" s="140"/>
      <c r="G156" s="140"/>
      <c r="H156" s="140"/>
      <c r="I156" s="188"/>
      <c r="J156" s="90"/>
      <c r="K156" s="89"/>
    </row>
    <row r="157" spans="1:11">
      <c r="B157" s="133"/>
      <c r="C157" s="133"/>
      <c r="D157" s="134"/>
      <c r="E157" s="133"/>
      <c r="F157" s="832"/>
      <c r="G157" s="832"/>
      <c r="H157" s="832"/>
      <c r="I157" s="832"/>
      <c r="J157" s="832"/>
      <c r="K157" s="832"/>
    </row>
    <row r="158" spans="1:11">
      <c r="B158" s="133"/>
      <c r="C158" s="133"/>
      <c r="D158" s="134"/>
      <c r="E158" s="133"/>
      <c r="F158" s="133"/>
      <c r="G158" s="133"/>
      <c r="H158" s="90"/>
      <c r="I158" s="833" t="str">
        <f>I1</f>
        <v>Actual Attachment H</v>
      </c>
      <c r="J158" s="833"/>
      <c r="K158" s="833"/>
    </row>
    <row r="159" spans="1:11">
      <c r="B159" s="133"/>
      <c r="C159" s="133"/>
      <c r="D159" s="134"/>
      <c r="E159" s="133"/>
      <c r="F159" s="133"/>
      <c r="G159" s="133"/>
      <c r="H159" s="90"/>
      <c r="I159" s="90"/>
      <c r="J159" s="832" t="s">
        <v>264</v>
      </c>
      <c r="K159" s="832"/>
    </row>
    <row r="160" spans="1:11">
      <c r="B160" s="133"/>
      <c r="C160" s="133"/>
      <c r="D160" s="134"/>
      <c r="E160" s="133"/>
      <c r="F160" s="133"/>
      <c r="G160" s="133"/>
      <c r="H160" s="90"/>
      <c r="I160" s="90"/>
      <c r="J160" s="135"/>
      <c r="K160" s="135"/>
    </row>
    <row r="161" spans="1:20">
      <c r="B161" s="134" t="s">
        <v>0</v>
      </c>
      <c r="C161" s="133"/>
      <c r="D161" s="102" t="s">
        <v>1</v>
      </c>
      <c r="E161" s="133"/>
      <c r="F161" s="133"/>
      <c r="G161" s="837" t="str">
        <f>K4</f>
        <v>Actuals - For the 12 months ended 12/31/2020</v>
      </c>
      <c r="H161" s="837"/>
      <c r="I161" s="837"/>
      <c r="J161" s="837"/>
      <c r="K161" s="837"/>
    </row>
    <row r="162" spans="1:20">
      <c r="B162" s="133"/>
      <c r="C162" s="137"/>
      <c r="D162" s="138" t="s">
        <v>3</v>
      </c>
      <c r="E162" s="137"/>
      <c r="F162" s="137"/>
      <c r="G162" s="137"/>
      <c r="H162" s="90"/>
      <c r="I162" s="90"/>
      <c r="J162" s="90"/>
      <c r="K162" s="89"/>
    </row>
    <row r="163" spans="1:20" ht="9" customHeight="1">
      <c r="A163" s="102"/>
      <c r="J163" s="137"/>
      <c r="K163" s="140"/>
    </row>
    <row r="164" spans="1:20">
      <c r="A164" s="102"/>
      <c r="D164" s="155" t="str">
        <f>C7</f>
        <v>Cheyenne Light, Fuel &amp; Power</v>
      </c>
      <c r="J164" s="137"/>
      <c r="K164" s="140"/>
    </row>
    <row r="165" spans="1:20">
      <c r="A165" s="102"/>
      <c r="D165" s="175"/>
      <c r="J165" s="137"/>
      <c r="K165" s="140"/>
    </row>
    <row r="166" spans="1:20">
      <c r="A166" s="102"/>
      <c r="D166" s="160" t="s">
        <v>149</v>
      </c>
      <c r="E166" s="90"/>
      <c r="F166" s="90"/>
      <c r="G166" s="90"/>
      <c r="H166" s="90"/>
      <c r="I166" s="90"/>
      <c r="J166" s="137"/>
      <c r="K166" s="140"/>
    </row>
    <row r="167" spans="1:20">
      <c r="A167" s="102" t="s">
        <v>4</v>
      </c>
      <c r="B167" s="163"/>
      <c r="C167" s="90"/>
      <c r="D167" s="90"/>
      <c r="E167" s="90"/>
      <c r="F167" s="90"/>
      <c r="G167" s="90"/>
      <c r="H167" s="90"/>
      <c r="I167" s="90"/>
      <c r="J167" s="137"/>
      <c r="K167" s="140"/>
    </row>
    <row r="168" spans="1:20" ht="13.5" thickBot="1">
      <c r="A168" s="142" t="s">
        <v>6</v>
      </c>
      <c r="B168" s="103" t="s">
        <v>140</v>
      </c>
      <c r="C168" s="89"/>
      <c r="D168" s="89"/>
      <c r="E168" s="89"/>
      <c r="F168" s="89"/>
      <c r="G168" s="89"/>
      <c r="H168" s="166"/>
      <c r="I168" s="166"/>
      <c r="J168" s="140"/>
      <c r="K168" s="140"/>
    </row>
    <row r="169" spans="1:20">
      <c r="A169" s="102">
        <v>1</v>
      </c>
      <c r="B169" s="89" t="s">
        <v>449</v>
      </c>
      <c r="C169" s="89" t="s">
        <v>448</v>
      </c>
      <c r="D169" s="140"/>
      <c r="E169" s="140"/>
      <c r="F169" s="140"/>
      <c r="G169" s="140"/>
      <c r="H169" s="140"/>
      <c r="I169" s="236">
        <f>D46</f>
        <v>44387975.0153846</v>
      </c>
      <c r="J169" s="140"/>
      <c r="K169" s="140"/>
    </row>
    <row r="170" spans="1:20">
      <c r="A170" s="102">
        <v>2</v>
      </c>
      <c r="B170" s="89" t="s">
        <v>450</v>
      </c>
      <c r="C170" s="166" t="s">
        <v>516</v>
      </c>
      <c r="D170" s="189"/>
      <c r="E170" s="166"/>
      <c r="F170" s="166"/>
      <c r="G170" s="166"/>
      <c r="H170" s="166"/>
      <c r="I170" s="148">
        <v>0</v>
      </c>
      <c r="J170" s="140"/>
      <c r="K170" s="140"/>
    </row>
    <row r="171" spans="1:20" ht="13.5" thickBot="1">
      <c r="A171" s="102">
        <v>3</v>
      </c>
      <c r="B171" s="190" t="s">
        <v>451</v>
      </c>
      <c r="C171" s="190" t="s">
        <v>397</v>
      </c>
      <c r="D171" s="191"/>
      <c r="E171" s="140"/>
      <c r="F171" s="140"/>
      <c r="G171" s="192"/>
      <c r="H171" s="140"/>
      <c r="I171" s="193">
        <v>0</v>
      </c>
      <c r="J171" s="140"/>
      <c r="K171" s="140"/>
    </row>
    <row r="172" spans="1:20">
      <c r="A172" s="102">
        <v>4</v>
      </c>
      <c r="B172" s="89" t="s">
        <v>452</v>
      </c>
      <c r="C172" s="89" t="s">
        <v>453</v>
      </c>
      <c r="D172" s="191"/>
      <c r="E172" s="140"/>
      <c r="F172" s="140"/>
      <c r="G172" s="192"/>
      <c r="H172" s="140"/>
      <c r="I172" s="179">
        <f>I169-I170-I171</f>
        <v>44387975.0153846</v>
      </c>
      <c r="J172" s="140"/>
      <c r="K172" s="140"/>
    </row>
    <row r="173" spans="1:20" ht="9" customHeight="1">
      <c r="A173" s="102"/>
      <c r="B173" s="166"/>
      <c r="C173" s="89"/>
      <c r="D173" s="191"/>
      <c r="E173" s="140"/>
      <c r="F173" s="140"/>
      <c r="G173" s="192"/>
      <c r="H173" s="140"/>
      <c r="I173" s="166"/>
      <c r="J173" s="140"/>
      <c r="K173" s="140"/>
      <c r="N173" s="189"/>
      <c r="O173" s="189"/>
      <c r="P173" s="189"/>
      <c r="Q173" s="189"/>
      <c r="R173" s="189"/>
      <c r="S173" s="189"/>
      <c r="T173" s="189"/>
    </row>
    <row r="174" spans="1:20">
      <c r="A174" s="102">
        <v>5</v>
      </c>
      <c r="B174" s="89" t="s">
        <v>454</v>
      </c>
      <c r="C174" s="194" t="s">
        <v>455</v>
      </c>
      <c r="D174" s="195"/>
      <c r="E174" s="196"/>
      <c r="F174" s="196"/>
      <c r="G174" s="197"/>
      <c r="H174" s="140" t="s">
        <v>56</v>
      </c>
      <c r="I174" s="198">
        <f>IF(I169&gt;0,I172/I169,0)</f>
        <v>1</v>
      </c>
      <c r="J174" s="140"/>
      <c r="K174" s="140"/>
      <c r="N174" s="199"/>
      <c r="O174" s="199"/>
      <c r="P174" s="199"/>
      <c r="Q174" s="189"/>
      <c r="R174" s="189"/>
      <c r="S174" s="189"/>
      <c r="T174" s="189"/>
    </row>
    <row r="175" spans="1:20" ht="9" customHeight="1">
      <c r="A175" s="102"/>
      <c r="B175" s="166"/>
      <c r="C175" s="166"/>
      <c r="D175" s="189"/>
      <c r="E175" s="166"/>
      <c r="F175" s="166"/>
      <c r="G175" s="166"/>
      <c r="H175" s="166"/>
      <c r="I175" s="166"/>
      <c r="J175" s="140"/>
      <c r="K175" s="140"/>
      <c r="N175" s="200"/>
      <c r="O175" s="189"/>
      <c r="P175" s="191"/>
      <c r="Q175" s="200"/>
      <c r="R175" s="189"/>
      <c r="S175" s="189"/>
      <c r="T175" s="189"/>
    </row>
    <row r="176" spans="1:20">
      <c r="A176" s="102"/>
      <c r="B176" s="103" t="s">
        <v>54</v>
      </c>
      <c r="C176" s="166"/>
      <c r="D176" s="189"/>
      <c r="E176" s="166"/>
      <c r="F176" s="166"/>
      <c r="G176" s="166"/>
      <c r="H176" s="166"/>
      <c r="I176" s="166"/>
      <c r="J176" s="140"/>
      <c r="K176" s="140"/>
      <c r="N176" s="838"/>
      <c r="O176" s="838"/>
      <c r="P176" s="838"/>
      <c r="Q176" s="838"/>
      <c r="R176" s="838"/>
      <c r="S176" s="838"/>
      <c r="T176" s="189"/>
    </row>
    <row r="177" spans="1:20">
      <c r="A177" s="102">
        <v>6</v>
      </c>
      <c r="B177" s="166" t="s">
        <v>456</v>
      </c>
      <c r="C177" s="166" t="s">
        <v>466</v>
      </c>
      <c r="D177" s="201"/>
      <c r="E177" s="89"/>
      <c r="F177" s="89"/>
      <c r="G177" s="158"/>
      <c r="H177" s="89"/>
      <c r="I177" s="236">
        <f>D105</f>
        <v>20580228</v>
      </c>
      <c r="J177" s="140"/>
      <c r="K177" s="140"/>
      <c r="N177" s="189"/>
      <c r="O177" s="189"/>
      <c r="P177" s="191"/>
      <c r="Q177" s="200"/>
      <c r="R177" s="189"/>
      <c r="S177" s="189"/>
      <c r="T177" s="189"/>
    </row>
    <row r="178" spans="1:20" ht="13.5" thickBot="1">
      <c r="A178" s="102">
        <v>7</v>
      </c>
      <c r="B178" s="190" t="s">
        <v>465</v>
      </c>
      <c r="C178" s="190" t="s">
        <v>464</v>
      </c>
      <c r="D178" s="191"/>
      <c r="E178" s="191"/>
      <c r="F178" s="140"/>
      <c r="G178" s="140"/>
      <c r="H178" s="140"/>
      <c r="I178" s="202">
        <v>0</v>
      </c>
      <c r="J178" s="140"/>
      <c r="K178" s="140"/>
      <c r="N178" s="203"/>
      <c r="O178" s="204"/>
      <c r="P178" s="191"/>
      <c r="Q178" s="200"/>
      <c r="R178" s="189"/>
      <c r="S178" s="189"/>
      <c r="T178" s="189"/>
    </row>
    <row r="179" spans="1:20">
      <c r="A179" s="102">
        <v>8</v>
      </c>
      <c r="B179" s="89" t="s">
        <v>458</v>
      </c>
      <c r="C179" s="194" t="s">
        <v>457</v>
      </c>
      <c r="D179" s="195"/>
      <c r="E179" s="196"/>
      <c r="F179" s="196"/>
      <c r="G179" s="197"/>
      <c r="H179" s="196"/>
      <c r="I179" s="179">
        <f>+I177-I178</f>
        <v>20580228</v>
      </c>
      <c r="J179" s="166"/>
      <c r="N179" s="205"/>
      <c r="O179" s="206"/>
      <c r="P179" s="207"/>
      <c r="Q179" s="207"/>
      <c r="R179" s="189"/>
      <c r="S179" s="189"/>
      <c r="T179" s="189"/>
    </row>
    <row r="180" spans="1:20">
      <c r="A180" s="102"/>
      <c r="B180" s="89"/>
      <c r="C180" s="89"/>
      <c r="D180" s="191"/>
      <c r="E180" s="140"/>
      <c r="F180" s="140"/>
      <c r="G180" s="140"/>
      <c r="H180" s="166"/>
      <c r="I180" s="166"/>
      <c r="J180" s="166"/>
      <c r="N180" s="205"/>
      <c r="O180" s="206"/>
      <c r="P180" s="189"/>
      <c r="Q180" s="189"/>
      <c r="R180" s="189"/>
      <c r="S180" s="189"/>
      <c r="T180" s="189"/>
    </row>
    <row r="181" spans="1:20">
      <c r="A181" s="102">
        <v>9</v>
      </c>
      <c r="B181" s="89" t="s">
        <v>604</v>
      </c>
      <c r="C181" s="89" t="s">
        <v>467</v>
      </c>
      <c r="D181" s="191"/>
      <c r="E181" s="140"/>
      <c r="F181" s="140"/>
      <c r="G181" s="140"/>
      <c r="H181" s="140"/>
      <c r="I181" s="178">
        <f>IF(I177&gt;0,I179/I177,0)</f>
        <v>1</v>
      </c>
      <c r="J181" s="166"/>
      <c r="N181" s="200"/>
      <c r="O181" s="208"/>
      <c r="P181" s="209"/>
      <c r="Q181" s="209"/>
      <c r="R181" s="189"/>
      <c r="S181" s="189"/>
      <c r="T181" s="189"/>
    </row>
    <row r="182" spans="1:20">
      <c r="A182" s="102">
        <v>10</v>
      </c>
      <c r="B182" s="89" t="s">
        <v>605</v>
      </c>
      <c r="C182" s="89" t="s">
        <v>461</v>
      </c>
      <c r="D182" s="140"/>
      <c r="E182" s="140"/>
      <c r="F182" s="140"/>
      <c r="G182" s="140"/>
      <c r="H182" s="89" t="s">
        <v>11</v>
      </c>
      <c r="I182" s="210">
        <f>$I$174</f>
        <v>1</v>
      </c>
      <c r="J182" s="166"/>
      <c r="N182" s="203"/>
      <c r="O182" s="209"/>
      <c r="P182" s="189"/>
      <c r="Q182" s="209"/>
      <c r="R182" s="189"/>
      <c r="S182" s="189"/>
      <c r="T182" s="189"/>
    </row>
    <row r="183" spans="1:20">
      <c r="A183" s="102">
        <v>11</v>
      </c>
      <c r="B183" s="89" t="s">
        <v>606</v>
      </c>
      <c r="C183" s="89" t="s">
        <v>462</v>
      </c>
      <c r="D183" s="89"/>
      <c r="E183" s="89"/>
      <c r="F183" s="89"/>
      <c r="G183" s="89"/>
      <c r="H183" s="89" t="s">
        <v>55</v>
      </c>
      <c r="I183" s="211">
        <f>+I182*I181</f>
        <v>1</v>
      </c>
      <c r="J183" s="166"/>
      <c r="N183" s="203"/>
      <c r="O183" s="209"/>
      <c r="P183" s="189"/>
      <c r="Q183" s="209"/>
      <c r="R183" s="189"/>
      <c r="S183" s="189"/>
      <c r="T183" s="189"/>
    </row>
    <row r="184" spans="1:20">
      <c r="A184" s="102"/>
      <c r="C184" s="90"/>
      <c r="D184" s="137"/>
      <c r="E184" s="137"/>
      <c r="F184" s="137"/>
      <c r="G184" s="138"/>
      <c r="H184" s="137"/>
      <c r="N184" s="203"/>
      <c r="O184" s="209"/>
      <c r="P184" s="189"/>
      <c r="Q184" s="212"/>
      <c r="R184" s="189"/>
      <c r="S184" s="189"/>
      <c r="T184" s="189"/>
    </row>
    <row r="185" spans="1:20">
      <c r="A185" s="102" t="s">
        <v>2</v>
      </c>
      <c r="B185" s="133" t="s">
        <v>57</v>
      </c>
      <c r="C185" s="137"/>
      <c r="D185" s="137"/>
      <c r="E185" s="137"/>
      <c r="F185" s="137"/>
      <c r="G185" s="137"/>
      <c r="H185" s="137"/>
      <c r="I185" s="137"/>
      <c r="J185" s="137"/>
      <c r="K185" s="140"/>
      <c r="N185" s="205"/>
      <c r="O185" s="206"/>
      <c r="P185" s="191"/>
      <c r="Q185" s="200"/>
      <c r="R185" s="189"/>
      <c r="S185" s="189"/>
      <c r="T185" s="189"/>
    </row>
    <row r="186" spans="1:20" ht="13.5" thickBot="1">
      <c r="A186" s="102" t="s">
        <v>2</v>
      </c>
      <c r="B186" s="133"/>
      <c r="C186" s="213" t="s">
        <v>58</v>
      </c>
      <c r="D186" s="214" t="s">
        <v>59</v>
      </c>
      <c r="E186" s="214" t="s">
        <v>11</v>
      </c>
      <c r="F186" s="137"/>
      <c r="G186" s="214" t="s">
        <v>60</v>
      </c>
      <c r="H186" s="137"/>
      <c r="I186" s="137"/>
      <c r="J186" s="137"/>
      <c r="K186" s="140"/>
      <c r="N186" s="205"/>
      <c r="O186" s="206"/>
      <c r="P186" s="191"/>
      <c r="Q186" s="200"/>
      <c r="R186" s="189"/>
      <c r="S186" s="189"/>
      <c r="T186" s="189"/>
    </row>
    <row r="187" spans="1:20">
      <c r="A187" s="102">
        <v>12</v>
      </c>
      <c r="B187" s="133" t="s">
        <v>26</v>
      </c>
      <c r="C187" s="137" t="s">
        <v>125</v>
      </c>
      <c r="D187" s="148">
        <v>3254875</v>
      </c>
      <c r="E187" s="215">
        <v>0</v>
      </c>
      <c r="F187" s="215"/>
      <c r="G187" s="147">
        <f>D187*E187</f>
        <v>0</v>
      </c>
      <c r="H187" s="137"/>
      <c r="I187" s="137"/>
      <c r="J187" s="137"/>
      <c r="K187" s="140"/>
      <c r="N187" s="189"/>
      <c r="O187" s="189"/>
      <c r="P187" s="189"/>
      <c r="Q187" s="189"/>
      <c r="R187" s="189"/>
      <c r="S187" s="189"/>
      <c r="T187" s="189"/>
    </row>
    <row r="188" spans="1:20">
      <c r="A188" s="102">
        <v>13</v>
      </c>
      <c r="B188" s="133" t="s">
        <v>28</v>
      </c>
      <c r="C188" s="137" t="s">
        <v>126</v>
      </c>
      <c r="D188" s="148">
        <v>472099</v>
      </c>
      <c r="E188" s="709">
        <f>$I$174</f>
        <v>1</v>
      </c>
      <c r="F188" s="215"/>
      <c r="G188" s="147">
        <f>D188*E188</f>
        <v>472099</v>
      </c>
      <c r="H188" s="137"/>
      <c r="I188" s="137"/>
      <c r="J188" s="137"/>
      <c r="K188" s="140"/>
      <c r="N188" s="189"/>
      <c r="O188" s="189"/>
      <c r="P188" s="189"/>
      <c r="Q188" s="189"/>
      <c r="R188" s="189"/>
      <c r="S188" s="189"/>
      <c r="T188" s="189"/>
    </row>
    <row r="189" spans="1:20">
      <c r="A189" s="102">
        <v>14</v>
      </c>
      <c r="B189" s="133" t="s">
        <v>29</v>
      </c>
      <c r="C189" s="137" t="s">
        <v>127</v>
      </c>
      <c r="D189" s="148">
        <v>1538575</v>
      </c>
      <c r="E189" s="215">
        <v>0</v>
      </c>
      <c r="F189" s="215"/>
      <c r="G189" s="147">
        <f>D189*E189</f>
        <v>0</v>
      </c>
      <c r="H189" s="137"/>
      <c r="I189" s="217" t="s">
        <v>61</v>
      </c>
      <c r="J189" s="137"/>
      <c r="K189" s="140"/>
    </row>
    <row r="190" spans="1:20" ht="13.5" thickBot="1">
      <c r="A190" s="102">
        <v>15</v>
      </c>
      <c r="B190" s="133" t="s">
        <v>62</v>
      </c>
      <c r="C190" s="137" t="s">
        <v>130</v>
      </c>
      <c r="D190" s="193">
        <f>200112+91092+264</f>
        <v>291468</v>
      </c>
      <c r="E190" s="215">
        <v>0</v>
      </c>
      <c r="F190" s="215"/>
      <c r="G190" s="218">
        <f>D190*E190</f>
        <v>0</v>
      </c>
      <c r="H190" s="137"/>
      <c r="I190" s="142" t="s">
        <v>63</v>
      </c>
      <c r="J190" s="137"/>
      <c r="K190" s="140"/>
    </row>
    <row r="191" spans="1:20">
      <c r="A191" s="102">
        <v>16</v>
      </c>
      <c r="B191" s="133" t="s">
        <v>469</v>
      </c>
      <c r="C191" s="137" t="s">
        <v>468</v>
      </c>
      <c r="D191" s="147">
        <f>SUM(D187:D190)</f>
        <v>5557017</v>
      </c>
      <c r="E191" s="137"/>
      <c r="F191" s="137"/>
      <c r="G191" s="147">
        <f>SUM(G187:G190)</f>
        <v>472099</v>
      </c>
      <c r="H191" s="102" t="s">
        <v>64</v>
      </c>
      <c r="I191" s="165">
        <f>IF(G191&gt;0,G191/D191,0)</f>
        <v>8.4955471613637312E-2</v>
      </c>
      <c r="J191" s="138" t="s">
        <v>64</v>
      </c>
      <c r="K191" s="185" t="s">
        <v>108</v>
      </c>
    </row>
    <row r="192" spans="1:20" ht="9" customHeight="1">
      <c r="A192" s="102"/>
      <c r="B192" s="133"/>
      <c r="C192" s="137"/>
      <c r="D192" s="137"/>
      <c r="E192" s="137"/>
      <c r="F192" s="137"/>
      <c r="G192" s="137"/>
      <c r="H192" s="137"/>
      <c r="I192" s="137"/>
      <c r="J192" s="137"/>
      <c r="K192" s="140"/>
    </row>
    <row r="193" spans="1:11">
      <c r="A193" s="102"/>
      <c r="B193" s="133" t="s">
        <v>170</v>
      </c>
      <c r="C193" s="137"/>
      <c r="D193" s="159" t="s">
        <v>59</v>
      </c>
      <c r="E193" s="137"/>
      <c r="F193" s="137"/>
      <c r="G193" s="138" t="s">
        <v>65</v>
      </c>
      <c r="H193" s="181" t="s">
        <v>2</v>
      </c>
      <c r="I193" s="167" t="str">
        <f>+I189</f>
        <v>W&amp;S Allocator</v>
      </c>
      <c r="J193" s="137"/>
      <c r="K193" s="140"/>
    </row>
    <row r="194" spans="1:11">
      <c r="A194" s="102">
        <v>17</v>
      </c>
      <c r="B194" s="133" t="s">
        <v>66</v>
      </c>
      <c r="C194" s="137" t="s">
        <v>67</v>
      </c>
      <c r="D194" s="148">
        <v>546095055</v>
      </c>
      <c r="E194" s="137"/>
      <c r="G194" s="102" t="s">
        <v>68</v>
      </c>
      <c r="H194" s="181"/>
      <c r="I194" s="102" t="s">
        <v>69</v>
      </c>
      <c r="J194" s="137"/>
      <c r="K194" s="158" t="s">
        <v>70</v>
      </c>
    </row>
    <row r="195" spans="1:11">
      <c r="A195" s="102">
        <v>18</v>
      </c>
      <c r="B195" s="133" t="s">
        <v>71</v>
      </c>
      <c r="C195" s="137" t="s">
        <v>115</v>
      </c>
      <c r="D195" s="148">
        <v>122605136</v>
      </c>
      <c r="E195" s="137"/>
      <c r="G195" s="146">
        <f>IF(D197&gt;0,D194/D197,0)</f>
        <v>0.7630897778460235</v>
      </c>
      <c r="H195" s="138" t="s">
        <v>72</v>
      </c>
      <c r="I195" s="146">
        <f>I191</f>
        <v>8.4955471613637312E-2</v>
      </c>
      <c r="J195" s="181" t="s">
        <v>64</v>
      </c>
      <c r="K195" s="219">
        <f>I195*G195</f>
        <v>6.4828651960454647E-2</v>
      </c>
    </row>
    <row r="196" spans="1:11" ht="13.5" thickBot="1">
      <c r="A196" s="102">
        <v>19</v>
      </c>
      <c r="B196" s="220" t="s">
        <v>62</v>
      </c>
      <c r="C196" s="213" t="s">
        <v>836</v>
      </c>
      <c r="D196" s="193">
        <f>20515289+6309772+10585082+9526372</f>
        <v>46936515</v>
      </c>
      <c r="E196" s="137"/>
      <c r="F196" s="137"/>
      <c r="G196" s="137" t="s">
        <v>2</v>
      </c>
      <c r="H196" s="137"/>
      <c r="I196" s="137"/>
      <c r="J196" s="137"/>
      <c r="K196" s="140"/>
    </row>
    <row r="197" spans="1:11">
      <c r="A197" s="102">
        <v>20</v>
      </c>
      <c r="B197" s="133" t="s">
        <v>469</v>
      </c>
      <c r="C197" s="137" t="s">
        <v>470</v>
      </c>
      <c r="D197" s="147">
        <f>D194+D195+D196</f>
        <v>715636706</v>
      </c>
      <c r="E197" s="137"/>
      <c r="F197" s="137"/>
      <c r="G197" s="137"/>
      <c r="H197" s="137"/>
      <c r="I197" s="137"/>
      <c r="J197" s="137"/>
      <c r="K197" s="140"/>
    </row>
    <row r="198" spans="1:11" ht="9" customHeight="1">
      <c r="A198" s="102"/>
      <c r="B198" s="133"/>
      <c r="C198" s="137"/>
      <c r="E198" s="137"/>
      <c r="F198" s="137"/>
      <c r="G198" s="137"/>
      <c r="H198" s="137"/>
      <c r="I198" s="137"/>
      <c r="J198" s="137"/>
      <c r="K198" s="140"/>
    </row>
    <row r="199" spans="1:11" ht="13.5" thickBot="1">
      <c r="A199" s="102"/>
      <c r="B199" s="133" t="s">
        <v>74</v>
      </c>
      <c r="C199" s="137"/>
      <c r="D199" s="137"/>
      <c r="E199" s="137"/>
      <c r="F199" s="137"/>
      <c r="G199" s="137"/>
      <c r="H199" s="137"/>
      <c r="I199" s="214" t="s">
        <v>59</v>
      </c>
      <c r="J199" s="137"/>
      <c r="K199" s="140"/>
    </row>
    <row r="200" spans="1:11">
      <c r="A200" s="102">
        <v>21</v>
      </c>
      <c r="B200" s="137" t="s">
        <v>473</v>
      </c>
      <c r="C200" s="140" t="s">
        <v>837</v>
      </c>
      <c r="D200" s="137"/>
      <c r="E200" s="137"/>
      <c r="F200" s="137"/>
      <c r="G200" s="137"/>
      <c r="H200" s="137"/>
      <c r="I200" s="221">
        <f>11319822+94219+42518+78740+1176332</f>
        <v>12711631</v>
      </c>
      <c r="J200" s="137"/>
      <c r="K200" s="140"/>
    </row>
    <row r="201" spans="1:11" ht="9" customHeight="1">
      <c r="A201" s="102"/>
      <c r="B201" s="137"/>
      <c r="C201" s="140"/>
      <c r="D201" s="137"/>
      <c r="E201" s="137"/>
      <c r="F201" s="137"/>
      <c r="G201" s="137"/>
      <c r="H201" s="137"/>
      <c r="I201" s="137"/>
      <c r="J201" s="137"/>
      <c r="K201" s="140"/>
    </row>
    <row r="202" spans="1:11">
      <c r="A202" s="102">
        <v>22</v>
      </c>
      <c r="B202" s="137" t="s">
        <v>472</v>
      </c>
      <c r="C202" s="140" t="s">
        <v>471</v>
      </c>
      <c r="D202" s="137"/>
      <c r="E202" s="137"/>
      <c r="F202" s="137"/>
      <c r="G202" s="137"/>
      <c r="H202" s="140"/>
      <c r="I202" s="222">
        <v>0</v>
      </c>
      <c r="J202" s="137"/>
      <c r="K202" s="140"/>
    </row>
    <row r="203" spans="1:11" ht="9" customHeight="1">
      <c r="A203" s="102"/>
      <c r="B203" s="133"/>
      <c r="C203" s="137"/>
      <c r="D203" s="137"/>
      <c r="E203" s="137"/>
      <c r="F203" s="137"/>
      <c r="G203" s="137"/>
      <c r="H203" s="137"/>
      <c r="I203" s="137"/>
      <c r="J203" s="137"/>
      <c r="K203" s="140"/>
    </row>
    <row r="204" spans="1:11">
      <c r="A204" s="102"/>
      <c r="B204" s="223" t="s">
        <v>474</v>
      </c>
      <c r="C204" s="137"/>
      <c r="D204" s="137"/>
      <c r="E204" s="137"/>
      <c r="F204" s="137"/>
      <c r="G204" s="137"/>
      <c r="H204" s="137"/>
      <c r="I204" s="137"/>
      <c r="J204" s="137"/>
      <c r="K204" s="140"/>
    </row>
    <row r="205" spans="1:11">
      <c r="A205" s="102">
        <v>23</v>
      </c>
      <c r="B205" s="137" t="s">
        <v>478</v>
      </c>
      <c r="C205" s="137" t="s">
        <v>475</v>
      </c>
      <c r="D205" s="90"/>
      <c r="E205" s="137"/>
      <c r="F205" s="137"/>
      <c r="G205" s="137"/>
      <c r="H205" s="137"/>
      <c r="I205" s="148">
        <v>235072508</v>
      </c>
      <c r="J205" s="137"/>
      <c r="K205" s="140"/>
    </row>
    <row r="206" spans="1:11">
      <c r="A206" s="102">
        <v>24</v>
      </c>
      <c r="B206" s="137" t="s">
        <v>479</v>
      </c>
      <c r="C206" s="137" t="s">
        <v>476</v>
      </c>
      <c r="D206" s="137"/>
      <c r="E206" s="137"/>
      <c r="F206" s="137"/>
      <c r="G206" s="137"/>
      <c r="H206" s="137"/>
      <c r="I206" s="179">
        <f>-D212</f>
        <v>0</v>
      </c>
      <c r="J206" s="137"/>
      <c r="K206" s="140"/>
    </row>
    <row r="207" spans="1:11" ht="13.5" thickBot="1">
      <c r="A207" s="102">
        <v>25</v>
      </c>
      <c r="B207" s="190" t="s">
        <v>480</v>
      </c>
      <c r="C207" s="190" t="s">
        <v>477</v>
      </c>
      <c r="D207" s="137"/>
      <c r="E207" s="137"/>
      <c r="F207" s="137"/>
      <c r="G207" s="137"/>
      <c r="H207" s="137"/>
      <c r="I207" s="193">
        <v>0</v>
      </c>
      <c r="J207" s="137"/>
      <c r="K207" s="140"/>
    </row>
    <row r="208" spans="1:11">
      <c r="A208" s="102">
        <v>26</v>
      </c>
      <c r="B208" s="89" t="s">
        <v>75</v>
      </c>
      <c r="C208" s="194" t="s">
        <v>76</v>
      </c>
      <c r="D208" s="147"/>
      <c r="E208" s="90"/>
      <c r="F208" s="90"/>
      <c r="G208" s="90"/>
      <c r="H208" s="90"/>
      <c r="I208" s="147">
        <f>+I205+I206+I207</f>
        <v>235072508</v>
      </c>
      <c r="J208" s="137"/>
      <c r="K208" s="140"/>
    </row>
    <row r="209" spans="1:11">
      <c r="A209" s="102"/>
      <c r="B209" s="133"/>
      <c r="C209" s="137"/>
      <c r="D209" s="137"/>
      <c r="E209" s="137"/>
      <c r="F209" s="137"/>
      <c r="G209" s="138" t="s">
        <v>77</v>
      </c>
      <c r="H209" s="137"/>
      <c r="I209" s="137"/>
      <c r="J209" s="137"/>
      <c r="K209" s="140"/>
    </row>
    <row r="210" spans="1:11" ht="13.5" thickBot="1">
      <c r="A210" s="102"/>
      <c r="B210" s="133"/>
      <c r="C210" s="137"/>
      <c r="D210" s="142" t="s">
        <v>59</v>
      </c>
      <c r="E210" s="142" t="s">
        <v>78</v>
      </c>
      <c r="F210" s="137"/>
      <c r="G210" s="142" t="s">
        <v>524</v>
      </c>
      <c r="H210" s="137"/>
      <c r="I210" s="142" t="s">
        <v>79</v>
      </c>
      <c r="J210" s="137"/>
      <c r="K210" s="140"/>
    </row>
    <row r="211" spans="1:11">
      <c r="A211" s="102">
        <v>27</v>
      </c>
      <c r="B211" s="133" t="s">
        <v>485</v>
      </c>
      <c r="C211" s="133" t="s">
        <v>481</v>
      </c>
      <c r="D211" s="148">
        <v>202000000</v>
      </c>
      <c r="E211" s="224">
        <f>IF($D$214&gt;0,D211/$D$214,0)</f>
        <v>0.46216587935107556</v>
      </c>
      <c r="F211" s="225"/>
      <c r="G211" s="226">
        <f>IF(D211&gt;0,I200/D211,0)</f>
        <v>6.2928866336633665E-2</v>
      </c>
      <c r="I211" s="226">
        <f>G211*E211</f>
        <v>2.9083574847036595E-2</v>
      </c>
      <c r="J211" s="227" t="s">
        <v>80</v>
      </c>
    </row>
    <row r="212" spans="1:11">
      <c r="A212" s="102">
        <v>28</v>
      </c>
      <c r="B212" s="133" t="s">
        <v>486</v>
      </c>
      <c r="C212" s="133" t="s">
        <v>482</v>
      </c>
      <c r="D212" s="148">
        <v>0</v>
      </c>
      <c r="E212" s="224">
        <f>IF($D$214&gt;0,D212/$D$214,0)</f>
        <v>0</v>
      </c>
      <c r="F212" s="225"/>
      <c r="G212" s="226">
        <f>IF(D212&gt;0,I202/D212,0)</f>
        <v>0</v>
      </c>
      <c r="I212" s="226">
        <f>G212*E212</f>
        <v>0</v>
      </c>
      <c r="J212" s="137"/>
    </row>
    <row r="213" spans="1:11" ht="13.5" thickBot="1">
      <c r="A213" s="102">
        <v>29</v>
      </c>
      <c r="B213" s="190" t="s">
        <v>487</v>
      </c>
      <c r="C213" s="190" t="s">
        <v>483</v>
      </c>
      <c r="D213" s="218">
        <f>I208</f>
        <v>235072508</v>
      </c>
      <c r="E213" s="224">
        <f>IF($D$214&gt;0,D213/$D$214,0)</f>
        <v>0.53783412064892444</v>
      </c>
      <c r="F213" s="225"/>
      <c r="G213" s="790">
        <v>0.104</v>
      </c>
      <c r="I213" s="228">
        <f>G213*E213</f>
        <v>5.5934748547488138E-2</v>
      </c>
      <c r="J213" s="137"/>
    </row>
    <row r="214" spans="1:11">
      <c r="A214" s="102">
        <v>30</v>
      </c>
      <c r="B214" s="89" t="s">
        <v>428</v>
      </c>
      <c r="C214" s="194" t="s">
        <v>484</v>
      </c>
      <c r="D214" s="147">
        <f>D213+D212+D211</f>
        <v>437072508</v>
      </c>
      <c r="E214" s="137" t="s">
        <v>2</v>
      </c>
      <c r="F214" s="137"/>
      <c r="G214" s="137"/>
      <c r="H214" s="137"/>
      <c r="I214" s="226">
        <f>SUM(I211:I213)</f>
        <v>8.5018323394524725E-2</v>
      </c>
      <c r="J214" s="227" t="s">
        <v>81</v>
      </c>
    </row>
    <row r="215" spans="1:11" ht="9" customHeight="1">
      <c r="E215" s="137"/>
      <c r="F215" s="137"/>
      <c r="G215" s="137"/>
      <c r="H215" s="137"/>
    </row>
    <row r="216" spans="1:11">
      <c r="A216" s="839"/>
      <c r="B216" s="839"/>
      <c r="C216" s="839"/>
      <c r="D216" s="137"/>
      <c r="E216" s="137"/>
      <c r="F216" s="169"/>
      <c r="G216" s="840"/>
      <c r="H216" s="840"/>
      <c r="I216" s="840"/>
      <c r="J216" s="840"/>
      <c r="K216" s="840"/>
    </row>
    <row r="217" spans="1:11">
      <c r="A217" s="102">
        <v>31</v>
      </c>
      <c r="B217" s="133" t="s">
        <v>794</v>
      </c>
      <c r="C217" s="133" t="s">
        <v>798</v>
      </c>
      <c r="D217" s="134"/>
      <c r="E217" s="133"/>
      <c r="F217" s="133"/>
      <c r="G217" s="409"/>
      <c r="H217" s="467"/>
      <c r="I217" s="222">
        <v>0</v>
      </c>
      <c r="J217" s="467"/>
      <c r="K217" s="467"/>
    </row>
    <row r="218" spans="1:11">
      <c r="B218" s="133"/>
      <c r="C218" s="133"/>
      <c r="D218" s="134"/>
      <c r="E218" s="133"/>
      <c r="F218" s="133"/>
      <c r="G218" s="832"/>
      <c r="H218" s="832"/>
      <c r="I218" s="832"/>
      <c r="J218" s="832"/>
      <c r="K218" s="832"/>
    </row>
    <row r="219" spans="1:11">
      <c r="B219" s="133"/>
      <c r="C219" s="133"/>
      <c r="D219" s="134"/>
      <c r="E219" s="133"/>
      <c r="F219" s="133"/>
      <c r="G219" s="133"/>
      <c r="H219" s="90"/>
      <c r="I219" s="833" t="str">
        <f>I1</f>
        <v>Actual Attachment H</v>
      </c>
      <c r="J219" s="833"/>
      <c r="K219" s="833"/>
    </row>
    <row r="220" spans="1:11">
      <c r="B220" s="133"/>
      <c r="C220" s="133"/>
      <c r="D220" s="134"/>
      <c r="E220" s="133"/>
      <c r="F220" s="133"/>
      <c r="G220" s="133"/>
      <c r="H220" s="90"/>
      <c r="I220" s="90"/>
      <c r="J220" s="832" t="s">
        <v>395</v>
      </c>
      <c r="K220" s="832"/>
    </row>
    <row r="221" spans="1:11">
      <c r="B221" s="133"/>
      <c r="C221" s="133"/>
      <c r="D221" s="134"/>
      <c r="E221" s="133"/>
      <c r="F221" s="133"/>
      <c r="G221" s="133"/>
      <c r="H221" s="90"/>
      <c r="I221" s="90"/>
      <c r="J221" s="90"/>
      <c r="K221" s="135"/>
    </row>
    <row r="222" spans="1:11">
      <c r="B222" s="134" t="s">
        <v>0</v>
      </c>
      <c r="C222" s="133"/>
      <c r="D222" s="102" t="s">
        <v>1</v>
      </c>
      <c r="E222" s="133"/>
      <c r="F222" s="133"/>
      <c r="G222" s="133"/>
      <c r="H222" s="90"/>
      <c r="I222" s="90"/>
      <c r="J222" s="90"/>
      <c r="K222" s="154" t="str">
        <f>K4</f>
        <v>Actuals - For the 12 months ended 12/31/2020</v>
      </c>
    </row>
    <row r="223" spans="1:11">
      <c r="B223" s="133"/>
      <c r="C223" s="137"/>
      <c r="D223" s="138" t="s">
        <v>3</v>
      </c>
      <c r="E223" s="137"/>
      <c r="F223" s="137"/>
      <c r="G223" s="137"/>
      <c r="H223" s="90"/>
      <c r="I223" s="90"/>
      <c r="J223" s="90"/>
      <c r="K223" s="89"/>
    </row>
    <row r="224" spans="1:11">
      <c r="A224" s="102"/>
      <c r="B224" s="229"/>
      <c r="C224" s="102"/>
      <c r="D224" s="137"/>
      <c r="E224" s="137"/>
      <c r="F224" s="137"/>
      <c r="G224" s="137"/>
      <c r="H224" s="90"/>
      <c r="I224" s="230"/>
      <c r="J224" s="166"/>
      <c r="K224" s="140"/>
    </row>
    <row r="225" spans="1:11">
      <c r="A225" s="102"/>
      <c r="B225" s="229"/>
      <c r="C225" s="102"/>
      <c r="D225" s="231" t="str">
        <f>C7</f>
        <v>Cheyenne Light, Fuel &amp; Power</v>
      </c>
      <c r="E225" s="137"/>
      <c r="F225" s="137"/>
      <c r="G225" s="137"/>
      <c r="H225" s="90"/>
      <c r="I225" s="230"/>
      <c r="J225" s="166"/>
      <c r="K225" s="140"/>
    </row>
    <row r="226" spans="1:11">
      <c r="A226" s="102"/>
      <c r="B226" s="229"/>
      <c r="C226" s="102"/>
      <c r="D226" s="137"/>
      <c r="E226" s="137"/>
      <c r="F226" s="137"/>
      <c r="G226" s="137"/>
      <c r="H226" s="90"/>
      <c r="I226" s="230"/>
      <c r="J226" s="166"/>
      <c r="K226" s="140"/>
    </row>
    <row r="227" spans="1:11">
      <c r="A227" s="102"/>
      <c r="B227" s="133" t="s">
        <v>129</v>
      </c>
      <c r="C227" s="102"/>
      <c r="D227" s="137"/>
      <c r="E227" s="137"/>
      <c r="F227" s="137"/>
      <c r="G227" s="137"/>
      <c r="H227" s="90"/>
      <c r="I227" s="137"/>
      <c r="J227" s="90"/>
      <c r="K227" s="140"/>
    </row>
    <row r="228" spans="1:11">
      <c r="A228" s="102"/>
      <c r="B228" s="232" t="s">
        <v>128</v>
      </c>
      <c r="C228" s="102"/>
      <c r="D228" s="137"/>
      <c r="E228" s="137"/>
      <c r="F228" s="137"/>
      <c r="G228" s="137"/>
      <c r="H228" s="90"/>
      <c r="I228" s="137"/>
      <c r="J228" s="90"/>
      <c r="K228" s="140"/>
    </row>
    <row r="229" spans="1:11">
      <c r="A229" s="102" t="s">
        <v>82</v>
      </c>
      <c r="B229" s="133"/>
      <c r="C229" s="90"/>
      <c r="D229" s="137"/>
      <c r="E229" s="137"/>
      <c r="F229" s="137"/>
      <c r="G229" s="137"/>
      <c r="H229" s="90"/>
      <c r="I229" s="137"/>
      <c r="J229" s="90"/>
      <c r="K229" s="140"/>
    </row>
    <row r="230" spans="1:11" ht="13.5" thickBot="1">
      <c r="A230" s="142" t="s">
        <v>83</v>
      </c>
      <c r="B230" s="133"/>
      <c r="C230" s="90"/>
      <c r="D230" s="137"/>
      <c r="E230" s="137"/>
      <c r="F230" s="137"/>
      <c r="G230" s="137"/>
      <c r="H230" s="90"/>
      <c r="I230" s="137"/>
      <c r="J230" s="90"/>
      <c r="K230" s="140"/>
    </row>
    <row r="231" spans="1:11">
      <c r="A231" s="104" t="s">
        <v>84</v>
      </c>
      <c r="B231" s="107" t="s">
        <v>137</v>
      </c>
      <c r="C231" s="108"/>
      <c r="D231" s="109"/>
      <c r="E231" s="109"/>
      <c r="F231" s="109"/>
      <c r="G231" s="109"/>
      <c r="H231" s="108"/>
      <c r="I231" s="109"/>
      <c r="J231" s="108"/>
      <c r="K231" s="109"/>
    </row>
    <row r="232" spans="1:11">
      <c r="A232" s="104" t="s">
        <v>85</v>
      </c>
      <c r="B232" s="103" t="s">
        <v>519</v>
      </c>
      <c r="C232" s="108"/>
      <c r="D232" s="109"/>
      <c r="E232" s="109"/>
      <c r="F232" s="109"/>
      <c r="G232" s="109"/>
      <c r="H232" s="108"/>
      <c r="I232" s="109"/>
      <c r="J232" s="108"/>
      <c r="K232" s="109"/>
    </row>
    <row r="233" spans="1:11" ht="26.25" customHeight="1">
      <c r="A233" s="104" t="s">
        <v>86</v>
      </c>
      <c r="B233" s="834" t="s">
        <v>285</v>
      </c>
      <c r="C233" s="834"/>
      <c r="D233" s="834"/>
      <c r="E233" s="834"/>
      <c r="F233" s="834"/>
      <c r="G233" s="834"/>
      <c r="H233" s="834"/>
      <c r="I233" s="834"/>
      <c r="J233" s="834"/>
      <c r="K233" s="834"/>
    </row>
    <row r="234" spans="1:11" ht="27" customHeight="1">
      <c r="A234" s="104" t="s">
        <v>87</v>
      </c>
      <c r="B234" s="836" t="s">
        <v>159</v>
      </c>
      <c r="C234" s="836"/>
      <c r="D234" s="836"/>
      <c r="E234" s="836"/>
      <c r="F234" s="836"/>
      <c r="G234" s="836"/>
      <c r="H234" s="836"/>
      <c r="I234" s="836"/>
      <c r="J234" s="108"/>
      <c r="K234" s="108"/>
    </row>
    <row r="235" spans="1:11">
      <c r="A235" s="104" t="s">
        <v>88</v>
      </c>
      <c r="B235" s="834" t="s">
        <v>522</v>
      </c>
      <c r="C235" s="834"/>
      <c r="D235" s="834"/>
      <c r="E235" s="834"/>
      <c r="F235" s="834"/>
      <c r="G235" s="834"/>
      <c r="H235" s="834"/>
      <c r="I235" s="834"/>
      <c r="J235" s="834"/>
      <c r="K235" s="834"/>
    </row>
    <row r="236" spans="1:11" ht="28.5" customHeight="1">
      <c r="A236" s="104" t="s">
        <v>89</v>
      </c>
      <c r="B236" s="835" t="s">
        <v>290</v>
      </c>
      <c r="C236" s="835"/>
      <c r="D236" s="835"/>
      <c r="E236" s="835"/>
      <c r="F236" s="835"/>
      <c r="G236" s="835"/>
      <c r="H236" s="835"/>
      <c r="I236" s="835"/>
      <c r="J236" s="111"/>
      <c r="K236" s="111"/>
    </row>
    <row r="237" spans="1:11">
      <c r="A237" s="104" t="s">
        <v>90</v>
      </c>
      <c r="B237" s="105" t="s">
        <v>91</v>
      </c>
      <c r="C237" s="89"/>
      <c r="D237" s="89"/>
      <c r="E237" s="89"/>
      <c r="F237" s="89"/>
      <c r="G237" s="89"/>
      <c r="H237" s="89"/>
      <c r="I237" s="89"/>
      <c r="J237" s="108"/>
      <c r="K237" s="108"/>
    </row>
    <row r="238" spans="1:11" ht="29.25" customHeight="1">
      <c r="A238" s="104" t="s">
        <v>494</v>
      </c>
      <c r="B238" s="836" t="s">
        <v>840</v>
      </c>
      <c r="C238" s="836"/>
      <c r="D238" s="836"/>
      <c r="E238" s="836"/>
      <c r="F238" s="836"/>
      <c r="G238" s="836"/>
      <c r="H238" s="836"/>
      <c r="I238" s="836"/>
      <c r="J238" s="112"/>
      <c r="K238" s="108"/>
    </row>
    <row r="239" spans="1:11" ht="32.25" customHeight="1">
      <c r="A239" s="110" t="s">
        <v>92</v>
      </c>
      <c r="B239" s="836" t="s">
        <v>286</v>
      </c>
      <c r="C239" s="836"/>
      <c r="D239" s="836"/>
      <c r="E239" s="836"/>
      <c r="F239" s="836"/>
      <c r="G239" s="836"/>
      <c r="H239" s="836"/>
      <c r="I239" s="836"/>
      <c r="J239" s="108"/>
      <c r="K239" s="108"/>
    </row>
    <row r="240" spans="1:11" ht="27.75" customHeight="1">
      <c r="A240" s="104" t="s">
        <v>93</v>
      </c>
      <c r="B240" s="836" t="s">
        <v>755</v>
      </c>
      <c r="C240" s="836"/>
      <c r="D240" s="836"/>
      <c r="E240" s="836"/>
      <c r="F240" s="836"/>
      <c r="G240" s="836"/>
      <c r="H240" s="836"/>
      <c r="I240" s="836"/>
      <c r="J240" s="108"/>
      <c r="K240" s="108"/>
    </row>
    <row r="241" spans="1:11" ht="41.25" customHeight="1">
      <c r="A241" s="104" t="s">
        <v>94</v>
      </c>
      <c r="B241" s="834" t="s">
        <v>161</v>
      </c>
      <c r="C241" s="834"/>
      <c r="D241" s="834"/>
      <c r="E241" s="834"/>
      <c r="F241" s="834"/>
      <c r="G241" s="834"/>
      <c r="H241" s="834"/>
      <c r="I241" s="834"/>
      <c r="J241" s="834"/>
      <c r="K241" s="834"/>
    </row>
    <row r="242" spans="1:11">
      <c r="A242" s="110" t="s">
        <v>2</v>
      </c>
      <c r="B242" s="89" t="s">
        <v>495</v>
      </c>
      <c r="C242" s="89" t="s">
        <v>99</v>
      </c>
      <c r="D242" s="233">
        <v>0.21</v>
      </c>
      <c r="E242" s="89" t="s">
        <v>496</v>
      </c>
      <c r="F242" s="89"/>
      <c r="G242" s="89"/>
      <c r="H242" s="89"/>
      <c r="I242" s="89"/>
      <c r="J242" s="89"/>
      <c r="K242" s="89"/>
    </row>
    <row r="243" spans="1:11">
      <c r="A243" s="110"/>
      <c r="B243" s="89"/>
      <c r="C243" s="89" t="s">
        <v>100</v>
      </c>
      <c r="D243" s="233">
        <v>0</v>
      </c>
      <c r="E243" s="89" t="s">
        <v>101</v>
      </c>
      <c r="F243" s="89"/>
      <c r="G243" s="89"/>
      <c r="H243" s="89"/>
      <c r="I243" s="89"/>
      <c r="J243" s="89"/>
      <c r="K243" s="89"/>
    </row>
    <row r="244" spans="1:11">
      <c r="A244" s="110"/>
      <c r="B244" s="89"/>
      <c r="C244" s="89" t="s">
        <v>102</v>
      </c>
      <c r="D244" s="233">
        <v>0</v>
      </c>
      <c r="E244" s="89" t="s">
        <v>103</v>
      </c>
      <c r="F244" s="89"/>
      <c r="G244" s="89"/>
      <c r="H244" s="89"/>
      <c r="I244" s="89"/>
      <c r="J244" s="89"/>
      <c r="K244" s="89"/>
    </row>
    <row r="245" spans="1:11" ht="19.5" customHeight="1">
      <c r="A245" s="104" t="s">
        <v>497</v>
      </c>
      <c r="B245" s="849" t="s">
        <v>133</v>
      </c>
      <c r="C245" s="849"/>
      <c r="D245" s="849"/>
      <c r="E245" s="849"/>
      <c r="F245" s="849"/>
      <c r="G245" s="849"/>
      <c r="H245" s="849"/>
      <c r="I245" s="849"/>
      <c r="J245" s="108"/>
      <c r="K245" s="108"/>
    </row>
    <row r="246" spans="1:11" ht="27" customHeight="1">
      <c r="A246" s="104" t="s">
        <v>396</v>
      </c>
      <c r="B246" s="836" t="s">
        <v>498</v>
      </c>
      <c r="C246" s="836"/>
      <c r="D246" s="836"/>
      <c r="E246" s="836"/>
      <c r="F246" s="836"/>
      <c r="G246" s="836"/>
      <c r="H246" s="836"/>
      <c r="I246" s="836"/>
      <c r="J246" s="113"/>
      <c r="K246" s="108"/>
    </row>
    <row r="247" spans="1:11" ht="25.5" customHeight="1">
      <c r="A247" s="104" t="s">
        <v>499</v>
      </c>
      <c r="B247" s="846" t="s">
        <v>508</v>
      </c>
      <c r="C247" s="846"/>
      <c r="D247" s="846"/>
      <c r="E247" s="846"/>
      <c r="F247" s="846"/>
      <c r="G247" s="846"/>
      <c r="H247" s="846"/>
      <c r="I247" s="846"/>
      <c r="J247" s="846"/>
      <c r="K247" s="846"/>
    </row>
    <row r="248" spans="1:11">
      <c r="A248" s="104" t="s">
        <v>500</v>
      </c>
      <c r="B248" s="835" t="s">
        <v>518</v>
      </c>
      <c r="C248" s="835"/>
      <c r="D248" s="835"/>
      <c r="E248" s="835"/>
      <c r="F248" s="835"/>
      <c r="G248" s="835"/>
      <c r="H248" s="835"/>
      <c r="I248" s="835"/>
      <c r="J248" s="111"/>
      <c r="K248" s="111"/>
    </row>
    <row r="249" spans="1:11">
      <c r="A249" s="104" t="s">
        <v>501</v>
      </c>
      <c r="B249" s="831" t="s">
        <v>523</v>
      </c>
      <c r="C249" s="831"/>
      <c r="D249" s="831"/>
      <c r="E249" s="831"/>
      <c r="F249" s="831"/>
      <c r="G249" s="831"/>
      <c r="H249" s="831"/>
      <c r="I249" s="831"/>
      <c r="J249" s="831"/>
      <c r="K249" s="831"/>
    </row>
    <row r="250" spans="1:11">
      <c r="A250" s="104" t="s">
        <v>502</v>
      </c>
      <c r="B250" s="2" t="s">
        <v>509</v>
      </c>
      <c r="C250" s="108"/>
      <c r="D250" s="108"/>
      <c r="E250" s="108"/>
      <c r="F250" s="108"/>
      <c r="G250" s="108"/>
      <c r="H250" s="108"/>
      <c r="I250" s="108"/>
      <c r="J250" s="108"/>
      <c r="K250" s="108"/>
    </row>
    <row r="251" spans="1:11" ht="29.25" customHeight="1">
      <c r="A251" s="104" t="s">
        <v>95</v>
      </c>
      <c r="B251" s="850" t="s">
        <v>527</v>
      </c>
      <c r="C251" s="850"/>
      <c r="D251" s="850"/>
      <c r="E251" s="850"/>
      <c r="F251" s="850"/>
      <c r="G251" s="850"/>
      <c r="H251" s="850"/>
      <c r="I251" s="850"/>
      <c r="J251" s="114"/>
      <c r="K251" s="114"/>
    </row>
    <row r="252" spans="1:11" ht="29.25" customHeight="1">
      <c r="A252" s="104" t="s">
        <v>503</v>
      </c>
      <c r="B252" s="847" t="s">
        <v>265</v>
      </c>
      <c r="C252" s="847"/>
      <c r="D252" s="847"/>
      <c r="E252" s="847"/>
      <c r="F252" s="847"/>
      <c r="G252" s="847"/>
      <c r="H252" s="847"/>
      <c r="I252" s="847"/>
      <c r="J252" s="108"/>
      <c r="K252" s="108"/>
    </row>
    <row r="253" spans="1:11" ht="26.25" customHeight="1">
      <c r="A253" s="106" t="s">
        <v>504</v>
      </c>
      <c r="B253" s="830" t="s">
        <v>891</v>
      </c>
      <c r="C253" s="830"/>
      <c r="D253" s="830"/>
      <c r="E253" s="830"/>
      <c r="F253" s="830"/>
      <c r="G253" s="830"/>
      <c r="H253" s="830"/>
      <c r="I253" s="830"/>
      <c r="J253" s="116"/>
      <c r="K253" s="116"/>
    </row>
    <row r="254" spans="1:11" ht="29.25" customHeight="1">
      <c r="A254" s="106" t="s">
        <v>505</v>
      </c>
      <c r="B254" s="848" t="s">
        <v>507</v>
      </c>
      <c r="C254" s="848"/>
      <c r="D254" s="848"/>
      <c r="E254" s="848"/>
      <c r="F254" s="848"/>
      <c r="G254" s="848"/>
      <c r="H254" s="848"/>
      <c r="I254" s="848"/>
      <c r="J254" s="117"/>
      <c r="K254" s="117"/>
    </row>
    <row r="255" spans="1:11" ht="27.75" customHeight="1">
      <c r="A255" s="234" t="s">
        <v>506</v>
      </c>
      <c r="B255" s="830" t="s">
        <v>838</v>
      </c>
      <c r="C255" s="830"/>
      <c r="D255" s="830"/>
      <c r="E255" s="830"/>
      <c r="F255" s="830"/>
      <c r="G255" s="830"/>
      <c r="H255" s="830"/>
      <c r="I255" s="830"/>
      <c r="J255" s="117"/>
      <c r="K255" s="117"/>
    </row>
    <row r="256" spans="1:11" ht="12.75" customHeight="1">
      <c r="A256" s="234" t="s">
        <v>723</v>
      </c>
      <c r="B256" s="830" t="s">
        <v>724</v>
      </c>
      <c r="C256" s="830"/>
      <c r="D256" s="830"/>
      <c r="E256" s="830"/>
      <c r="F256" s="830"/>
      <c r="G256" s="830"/>
      <c r="H256" s="830"/>
      <c r="I256" s="830"/>
      <c r="J256" s="117"/>
      <c r="K256" s="117"/>
    </row>
    <row r="257" spans="1:11" ht="27.75" customHeight="1">
      <c r="A257" s="234" t="s">
        <v>846</v>
      </c>
      <c r="B257" s="830" t="s">
        <v>845</v>
      </c>
      <c r="C257" s="830"/>
      <c r="D257" s="830"/>
      <c r="E257" s="830"/>
      <c r="F257" s="830"/>
      <c r="G257" s="830"/>
      <c r="H257" s="830"/>
      <c r="I257" s="830"/>
      <c r="J257" s="117"/>
      <c r="K257" s="117"/>
    </row>
    <row r="258" spans="1:11" ht="56.25" customHeight="1">
      <c r="A258" s="234" t="s">
        <v>849</v>
      </c>
      <c r="B258" s="830" t="s">
        <v>850</v>
      </c>
      <c r="C258" s="830"/>
      <c r="D258" s="830"/>
      <c r="E258" s="830"/>
      <c r="F258" s="830"/>
      <c r="G258" s="830"/>
      <c r="H258" s="830"/>
      <c r="I258" s="830"/>
      <c r="J258" s="117"/>
      <c r="K258" s="117"/>
    </row>
    <row r="259" spans="1:11">
      <c r="A259" s="115"/>
      <c r="B259" s="843"/>
      <c r="C259" s="843"/>
      <c r="D259" s="843"/>
      <c r="E259" s="843"/>
      <c r="F259" s="843"/>
      <c r="G259" s="843"/>
      <c r="H259" s="843"/>
      <c r="I259" s="843"/>
      <c r="J259" s="117"/>
      <c r="K259" s="117"/>
    </row>
    <row r="260" spans="1:11">
      <c r="A260" s="118"/>
      <c r="B260" s="844"/>
      <c r="C260" s="844"/>
      <c r="D260" s="844"/>
      <c r="E260" s="844"/>
      <c r="F260" s="844"/>
      <c r="G260" s="844"/>
      <c r="H260" s="844"/>
      <c r="I260" s="844"/>
      <c r="J260" s="117"/>
      <c r="K260" s="117"/>
    </row>
    <row r="261" spans="1:11">
      <c r="A261" s="115"/>
      <c r="C261" s="117"/>
      <c r="D261" s="117"/>
      <c r="E261" s="117"/>
      <c r="F261" s="117"/>
      <c r="G261" s="117"/>
      <c r="H261" s="117"/>
      <c r="I261" s="117"/>
      <c r="J261" s="117"/>
      <c r="K261" s="117"/>
    </row>
    <row r="262" spans="1:11">
      <c r="A262" s="120"/>
      <c r="B262" s="119"/>
      <c r="C262" s="114"/>
      <c r="D262" s="114"/>
      <c r="E262" s="114"/>
      <c r="F262" s="114"/>
      <c r="G262" s="114"/>
      <c r="H262" s="114"/>
      <c r="I262" s="114"/>
      <c r="J262" s="114"/>
      <c r="K262" s="114"/>
    </row>
    <row r="263" spans="1:11">
      <c r="A263" s="120"/>
      <c r="B263" s="114"/>
      <c r="C263" s="114"/>
      <c r="D263" s="114"/>
      <c r="E263" s="114"/>
      <c r="F263" s="114"/>
      <c r="G263" s="114"/>
      <c r="H263" s="114"/>
      <c r="I263" s="114"/>
      <c r="J263" s="114"/>
      <c r="K263" s="114"/>
    </row>
    <row r="264" spans="1:11">
      <c r="A264" s="118"/>
      <c r="B264" s="845"/>
      <c r="C264" s="845"/>
      <c r="D264" s="845"/>
      <c r="E264" s="845"/>
      <c r="F264" s="845"/>
      <c r="G264" s="845"/>
      <c r="H264" s="845"/>
      <c r="I264" s="845"/>
      <c r="J264" s="121"/>
      <c r="K264" s="121"/>
    </row>
    <row r="265" spans="1:11">
      <c r="A265" s="118"/>
    </row>
    <row r="266" spans="1:11">
      <c r="A266" s="118"/>
    </row>
    <row r="267" spans="1:11">
      <c r="A267" s="115"/>
      <c r="B267" s="122"/>
      <c r="C267" s="123"/>
      <c r="D267" s="123"/>
      <c r="E267" s="123"/>
      <c r="F267" s="123"/>
      <c r="G267" s="123"/>
      <c r="H267" s="124"/>
      <c r="I267" s="125"/>
      <c r="J267" s="126"/>
      <c r="K267" s="127"/>
    </row>
    <row r="268" spans="1:11" ht="25.5" customHeight="1">
      <c r="A268" s="115"/>
      <c r="J268" s="128"/>
      <c r="K268" s="128"/>
    </row>
    <row r="269" spans="1:11">
      <c r="A269" s="129"/>
      <c r="B269" s="114"/>
      <c r="C269" s="114"/>
      <c r="D269" s="114"/>
      <c r="E269" s="114"/>
      <c r="F269" s="114"/>
      <c r="G269" s="114"/>
      <c r="H269" s="114"/>
      <c r="I269" s="114"/>
      <c r="J269" s="114"/>
      <c r="K269" s="114"/>
    </row>
    <row r="270" spans="1:11">
      <c r="A270" s="129"/>
      <c r="B270" s="114"/>
      <c r="C270" s="114"/>
      <c r="D270" s="114"/>
      <c r="E270" s="114"/>
      <c r="F270" s="114"/>
      <c r="G270" s="114"/>
      <c r="H270" s="114"/>
      <c r="I270" s="114"/>
      <c r="J270" s="114"/>
      <c r="K270" s="114"/>
    </row>
    <row r="271" spans="1:11">
      <c r="A271" s="129"/>
      <c r="C271" s="114"/>
      <c r="D271" s="114"/>
      <c r="E271" s="114"/>
      <c r="F271" s="114"/>
      <c r="G271" s="114"/>
      <c r="H271" s="114"/>
      <c r="I271" s="114"/>
      <c r="J271" s="114"/>
      <c r="K271" s="114"/>
    </row>
    <row r="272" spans="1:11">
      <c r="A272" s="118"/>
      <c r="B272" s="842"/>
      <c r="C272" s="842"/>
      <c r="D272" s="842"/>
      <c r="E272" s="842"/>
      <c r="F272" s="842"/>
      <c r="G272" s="842"/>
      <c r="H272" s="842"/>
      <c r="I272" s="842"/>
      <c r="J272" s="114"/>
      <c r="K272" s="114"/>
    </row>
    <row r="273" spans="1:11">
      <c r="A273" s="129"/>
      <c r="B273" s="130"/>
      <c r="C273" s="114"/>
      <c r="D273" s="114"/>
      <c r="E273" s="114"/>
      <c r="F273" s="114"/>
      <c r="G273" s="114"/>
      <c r="H273" s="114"/>
      <c r="I273" s="114"/>
      <c r="J273" s="114"/>
      <c r="K273" s="114"/>
    </row>
    <row r="274" spans="1:11">
      <c r="A274" s="131"/>
      <c r="B274" s="130"/>
      <c r="C274" s="114"/>
      <c r="D274" s="114"/>
      <c r="E274" s="114"/>
      <c r="F274" s="114"/>
      <c r="G274" s="114"/>
      <c r="H274" s="114"/>
      <c r="I274" s="114"/>
      <c r="J274" s="114"/>
      <c r="K274" s="114"/>
    </row>
  </sheetData>
  <sheetProtection formatCells="0" formatColumns="0"/>
  <mergeCells count="42">
    <mergeCell ref="B272:I272"/>
    <mergeCell ref="B234:I234"/>
    <mergeCell ref="B235:K235"/>
    <mergeCell ref="B255:I255"/>
    <mergeCell ref="B259:I259"/>
    <mergeCell ref="B260:I260"/>
    <mergeCell ref="B264:I264"/>
    <mergeCell ref="B247:K247"/>
    <mergeCell ref="B252:I252"/>
    <mergeCell ref="B256:I256"/>
    <mergeCell ref="B254:I254"/>
    <mergeCell ref="B245:I245"/>
    <mergeCell ref="B246:I246"/>
    <mergeCell ref="B248:I248"/>
    <mergeCell ref="B251:I251"/>
    <mergeCell ref="B257:I257"/>
    <mergeCell ref="F157:K157"/>
    <mergeCell ref="I1:K1"/>
    <mergeCell ref="J2:K2"/>
    <mergeCell ref="I158:K158"/>
    <mergeCell ref="I93:K93"/>
    <mergeCell ref="J94:K94"/>
    <mergeCell ref="I32:K32"/>
    <mergeCell ref="J33:K33"/>
    <mergeCell ref="F12:G12"/>
    <mergeCell ref="J159:K159"/>
    <mergeCell ref="G161:K161"/>
    <mergeCell ref="N176:S176"/>
    <mergeCell ref="A216:C216"/>
    <mergeCell ref="G216:K216"/>
    <mergeCell ref="B258:I258"/>
    <mergeCell ref="B249:K249"/>
    <mergeCell ref="G218:K218"/>
    <mergeCell ref="I219:K219"/>
    <mergeCell ref="J220:K220"/>
    <mergeCell ref="B241:K241"/>
    <mergeCell ref="B233:K233"/>
    <mergeCell ref="B236:I236"/>
    <mergeCell ref="B238:I238"/>
    <mergeCell ref="B239:I239"/>
    <mergeCell ref="B240:I240"/>
    <mergeCell ref="B253:I253"/>
  </mergeCells>
  <pageMargins left="0.75" right="0.75" top="1" bottom="1" header="0.5" footer="0.5"/>
  <pageSetup scale="49" fitToHeight="6" orientation="portrait" r:id="rId1"/>
  <headerFooter alignWithMargins="0"/>
  <rowBreaks count="4" manualBreakCount="4">
    <brk id="31" max="10" man="1"/>
    <brk id="92" max="10" man="1"/>
    <brk id="157" max="10" man="1"/>
    <brk id="218" max="10" man="1"/>
  </rowBreaks>
  <ignoredErrors>
    <ignoredError sqref="C114" numberStoredAsText="1"/>
    <ignoredError sqref="G111" formula="1"/>
    <ignoredError sqref="D25 D26:D29 D30:D3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P61"/>
  <sheetViews>
    <sheetView zoomScale="80" zoomScaleNormal="80" workbookViewId="0">
      <selection activeCell="C26" sqref="C26"/>
    </sheetView>
  </sheetViews>
  <sheetFormatPr defaultColWidth="8.88671875" defaultRowHeight="12.75"/>
  <cols>
    <col min="1" max="1" width="8.88671875" style="2"/>
    <col min="2" max="2" width="14.21875" style="2" customWidth="1"/>
    <col min="3" max="3" width="24.109375" style="2" customWidth="1"/>
    <col min="4" max="4" width="8.21875" style="2" bestFit="1" customWidth="1"/>
    <col min="5" max="5" width="8" style="2" customWidth="1"/>
    <col min="6" max="6" width="12" style="2" bestFit="1" customWidth="1"/>
    <col min="7" max="7" width="11.44140625" style="2" customWidth="1"/>
    <col min="8" max="8" width="10.33203125" style="2" bestFit="1" customWidth="1"/>
    <col min="9" max="9" width="9.5546875" style="2" bestFit="1" customWidth="1"/>
    <col min="10" max="10" width="8.21875" style="2" bestFit="1" customWidth="1"/>
    <col min="11" max="11" width="9" style="2" bestFit="1" customWidth="1"/>
    <col min="12" max="14" width="9.33203125" style="2" bestFit="1" customWidth="1"/>
    <col min="15" max="15" width="12.44140625" style="2" customWidth="1"/>
    <col min="16" max="16" width="12.5546875" style="2" customWidth="1"/>
    <col min="17" max="16384" width="8.88671875" style="2"/>
  </cols>
  <sheetData>
    <row r="1" spans="1:14">
      <c r="A1" s="851" t="s">
        <v>586</v>
      </c>
      <c r="B1" s="851"/>
      <c r="C1" s="851"/>
      <c r="D1" s="851"/>
      <c r="E1" s="851"/>
      <c r="F1" s="851"/>
      <c r="G1" s="851"/>
      <c r="H1" s="851"/>
      <c r="I1" s="851"/>
      <c r="J1" s="851"/>
      <c r="K1" s="851"/>
      <c r="L1" s="851"/>
      <c r="M1" s="851"/>
      <c r="N1" s="851"/>
    </row>
    <row r="2" spans="1:14">
      <c r="A2" s="852" t="s">
        <v>241</v>
      </c>
      <c r="B2" s="852"/>
      <c r="C2" s="852"/>
      <c r="D2" s="852"/>
      <c r="E2" s="852"/>
      <c r="F2" s="852"/>
      <c r="G2" s="852"/>
      <c r="H2" s="852"/>
      <c r="I2" s="852"/>
      <c r="J2" s="852"/>
      <c r="K2" s="852"/>
      <c r="L2" s="852"/>
      <c r="M2" s="852"/>
      <c r="N2" s="852"/>
    </row>
    <row r="3" spans="1:14">
      <c r="A3" s="852" t="str">
        <f>'Act Att-H'!C7</f>
        <v>Cheyenne Light, Fuel &amp; Power</v>
      </c>
      <c r="B3" s="852"/>
      <c r="C3" s="852"/>
      <c r="D3" s="852"/>
      <c r="E3" s="852"/>
      <c r="F3" s="852"/>
      <c r="G3" s="852"/>
      <c r="H3" s="852"/>
      <c r="I3" s="852"/>
      <c r="J3" s="852"/>
      <c r="K3" s="852"/>
      <c r="L3" s="852"/>
      <c r="M3" s="852"/>
      <c r="N3" s="852"/>
    </row>
    <row r="4" spans="1:14">
      <c r="B4" s="585"/>
      <c r="C4" s="585"/>
      <c r="D4" s="585"/>
      <c r="E4" s="585"/>
      <c r="F4" s="585"/>
      <c r="G4" s="585"/>
      <c r="H4" s="585"/>
      <c r="I4" s="585"/>
      <c r="J4" s="585"/>
      <c r="K4" s="585"/>
      <c r="M4" s="2" t="s">
        <v>748</v>
      </c>
    </row>
    <row r="5" spans="1:14">
      <c r="A5" s="176" t="s">
        <v>171</v>
      </c>
      <c r="B5" s="595" t="s">
        <v>528</v>
      </c>
      <c r="C5" s="89"/>
      <c r="D5" s="166"/>
      <c r="E5" s="89"/>
      <c r="F5" s="89"/>
      <c r="G5" s="596"/>
      <c r="H5" s="89"/>
      <c r="I5" s="597"/>
      <c r="J5" s="166"/>
      <c r="K5" s="598"/>
    </row>
    <row r="6" spans="1:14">
      <c r="B6" s="599"/>
      <c r="C6" s="600"/>
      <c r="D6" s="601"/>
      <c r="E6" s="600"/>
      <c r="F6" s="600"/>
      <c r="G6" s="600"/>
      <c r="H6" s="600"/>
      <c r="I6" s="600"/>
      <c r="J6" s="600"/>
    </row>
    <row r="7" spans="1:14">
      <c r="A7" s="602">
        <v>1</v>
      </c>
      <c r="B7" s="603" t="s">
        <v>240</v>
      </c>
      <c r="C7" s="603" t="s">
        <v>208</v>
      </c>
      <c r="D7" s="604"/>
      <c r="E7" s="603" t="s">
        <v>9</v>
      </c>
      <c r="F7" s="603" t="s">
        <v>235</v>
      </c>
      <c r="G7" s="603" t="s">
        <v>259</v>
      </c>
      <c r="H7" s="605"/>
    </row>
    <row r="8" spans="1:14">
      <c r="A8" s="602">
        <f>A7+1</f>
        <v>2</v>
      </c>
      <c r="B8" s="313"/>
      <c r="C8" s="313"/>
      <c r="E8" s="606" t="s">
        <v>174</v>
      </c>
      <c r="F8" s="607" t="s">
        <v>175</v>
      </c>
      <c r="G8" s="607" t="s">
        <v>176</v>
      </c>
      <c r="H8" s="605"/>
    </row>
    <row r="9" spans="1:14">
      <c r="A9" s="602">
        <f t="shared" ref="A9:A57" si="0">A8+1</f>
        <v>3</v>
      </c>
      <c r="B9" s="608" t="s">
        <v>236</v>
      </c>
      <c r="C9" s="609"/>
      <c r="E9" s="313"/>
      <c r="F9" s="609"/>
      <c r="G9" s="609"/>
      <c r="H9" s="610"/>
    </row>
    <row r="10" spans="1:14">
      <c r="A10" s="602">
        <f t="shared" si="0"/>
        <v>4</v>
      </c>
      <c r="B10" s="611">
        <v>45400</v>
      </c>
      <c r="C10" s="609" t="s">
        <v>237</v>
      </c>
      <c r="E10" s="282">
        <v>922124</v>
      </c>
      <c r="F10" s="296">
        <v>0</v>
      </c>
      <c r="G10" s="296">
        <f>SUM(E10:F10)</f>
        <v>922124</v>
      </c>
      <c r="H10" s="585"/>
      <c r="I10" s="585"/>
      <c r="J10" s="585"/>
      <c r="K10" s="585"/>
    </row>
    <row r="11" spans="1:14">
      <c r="A11" s="602">
        <f t="shared" si="0"/>
        <v>5</v>
      </c>
      <c r="B11" s="611">
        <v>45400</v>
      </c>
      <c r="C11" s="609" t="s">
        <v>238</v>
      </c>
      <c r="E11" s="612">
        <v>0</v>
      </c>
      <c r="F11" s="609">
        <f>-E11</f>
        <v>0</v>
      </c>
      <c r="G11" s="609">
        <f>SUM(E11:F11)</f>
        <v>0</v>
      </c>
    </row>
    <row r="12" spans="1:14">
      <c r="A12" s="602">
        <f t="shared" si="0"/>
        <v>6</v>
      </c>
      <c r="B12" s="613" t="s">
        <v>239</v>
      </c>
      <c r="C12" s="613"/>
      <c r="D12" s="614"/>
      <c r="E12" s="573">
        <f>SUM(E10:E11)</f>
        <v>922124</v>
      </c>
      <c r="F12" s="615">
        <f>SUM(F10:F11)</f>
        <v>0</v>
      </c>
      <c r="G12" s="616">
        <f>SUM(G10:G11)</f>
        <v>922124</v>
      </c>
    </row>
    <row r="13" spans="1:14">
      <c r="A13" s="602">
        <f t="shared" si="0"/>
        <v>7</v>
      </c>
      <c r="B13" s="617"/>
      <c r="C13" s="618"/>
      <c r="D13" s="618"/>
      <c r="E13" s="166"/>
      <c r="F13" s="166"/>
      <c r="G13" s="610"/>
      <c r="H13" s="605"/>
    </row>
    <row r="14" spans="1:14">
      <c r="A14" s="602">
        <f t="shared" si="0"/>
        <v>8</v>
      </c>
    </row>
    <row r="15" spans="1:14">
      <c r="A15" s="602">
        <f t="shared" si="0"/>
        <v>9</v>
      </c>
      <c r="B15" s="595" t="s">
        <v>917</v>
      </c>
      <c r="C15" s="89"/>
      <c r="D15" s="89"/>
      <c r="E15" s="89"/>
      <c r="F15" s="89"/>
      <c r="G15" s="89"/>
      <c r="H15" s="89"/>
      <c r="I15" s="597"/>
      <c r="J15" s="166"/>
      <c r="K15" s="619"/>
    </row>
    <row r="16" spans="1:14" s="298" customFormat="1">
      <c r="A16" s="602">
        <f t="shared" si="0"/>
        <v>10</v>
      </c>
      <c r="F16" s="559"/>
      <c r="G16" s="559"/>
      <c r="H16" s="559" t="s">
        <v>253</v>
      </c>
      <c r="I16" s="559" t="s">
        <v>192</v>
      </c>
      <c r="K16" s="559"/>
      <c r="L16" s="559" t="s">
        <v>256</v>
      </c>
      <c r="M16" s="559"/>
      <c r="N16" s="559"/>
    </row>
    <row r="17" spans="1:16" s="298" customFormat="1">
      <c r="A17" s="602">
        <f t="shared" si="0"/>
        <v>11</v>
      </c>
      <c r="B17" s="558"/>
      <c r="F17" s="559"/>
      <c r="G17" s="559"/>
      <c r="H17" s="559" t="s">
        <v>193</v>
      </c>
      <c r="I17" s="559" t="s">
        <v>194</v>
      </c>
      <c r="J17" s="559" t="s">
        <v>254</v>
      </c>
      <c r="K17" s="559" t="s">
        <v>256</v>
      </c>
      <c r="L17" s="559" t="s">
        <v>196</v>
      </c>
      <c r="M17" s="559" t="s">
        <v>258</v>
      </c>
      <c r="N17" s="559"/>
    </row>
    <row r="18" spans="1:16" s="298" customFormat="1">
      <c r="A18" s="602">
        <f t="shared" si="0"/>
        <v>12</v>
      </c>
      <c r="F18" s="559" t="s">
        <v>251</v>
      </c>
      <c r="G18" s="559" t="s">
        <v>197</v>
      </c>
      <c r="H18" s="559" t="s">
        <v>198</v>
      </c>
      <c r="I18" s="559" t="s">
        <v>199</v>
      </c>
      <c r="J18" s="559" t="s">
        <v>195</v>
      </c>
      <c r="K18" s="559" t="s">
        <v>200</v>
      </c>
      <c r="L18" s="559" t="s">
        <v>201</v>
      </c>
      <c r="M18" s="559" t="s">
        <v>201</v>
      </c>
      <c r="N18" s="559"/>
    </row>
    <row r="19" spans="1:16" s="298" customFormat="1">
      <c r="A19" s="602">
        <f t="shared" si="0"/>
        <v>13</v>
      </c>
      <c r="D19" s="302"/>
      <c r="E19" s="302"/>
      <c r="F19" s="253" t="s">
        <v>252</v>
      </c>
      <c r="G19" s="253" t="s">
        <v>250</v>
      </c>
      <c r="H19" s="253" t="s">
        <v>202</v>
      </c>
      <c r="I19" s="253" t="s">
        <v>203</v>
      </c>
      <c r="J19" s="253" t="s">
        <v>255</v>
      </c>
      <c r="K19" s="253" t="s">
        <v>257</v>
      </c>
      <c r="L19" s="253" t="s">
        <v>204</v>
      </c>
      <c r="M19" s="253" t="s">
        <v>204</v>
      </c>
      <c r="N19" s="253" t="s">
        <v>205</v>
      </c>
    </row>
    <row r="20" spans="1:16" s="298" customFormat="1">
      <c r="A20" s="602">
        <f t="shared" si="0"/>
        <v>14</v>
      </c>
      <c r="B20" s="559"/>
      <c r="C20" s="559"/>
      <c r="D20" s="253" t="s">
        <v>206</v>
      </c>
      <c r="E20" s="253" t="s">
        <v>611</v>
      </c>
      <c r="F20" s="253" t="s">
        <v>242</v>
      </c>
      <c r="G20" s="253" t="s">
        <v>243</v>
      </c>
      <c r="H20" s="253" t="s">
        <v>244</v>
      </c>
      <c r="I20" s="253" t="s">
        <v>245</v>
      </c>
      <c r="J20" s="253" t="s">
        <v>246</v>
      </c>
      <c r="K20" s="253" t="s">
        <v>247</v>
      </c>
      <c r="L20" s="253" t="s">
        <v>248</v>
      </c>
      <c r="M20" s="253" t="s">
        <v>249</v>
      </c>
      <c r="N20" s="253" t="s">
        <v>4</v>
      </c>
      <c r="P20" s="620"/>
    </row>
    <row r="21" spans="1:16" s="298" customFormat="1">
      <c r="A21" s="602">
        <f t="shared" si="0"/>
        <v>15</v>
      </c>
      <c r="B21" s="621" t="s">
        <v>207</v>
      </c>
      <c r="C21" s="621" t="s">
        <v>208</v>
      </c>
      <c r="D21" s="622" t="s">
        <v>209</v>
      </c>
      <c r="E21" s="622" t="s">
        <v>612</v>
      </c>
      <c r="F21" s="603"/>
      <c r="G21" s="603"/>
      <c r="H21" s="603"/>
      <c r="I21" s="603"/>
      <c r="J21" s="603"/>
      <c r="K21" s="603"/>
      <c r="L21" s="603"/>
      <c r="M21" s="603"/>
      <c r="N21" s="603" t="s">
        <v>210</v>
      </c>
    </row>
    <row r="22" spans="1:16" s="298" customFormat="1">
      <c r="A22" s="602">
        <f t="shared" si="0"/>
        <v>16</v>
      </c>
      <c r="D22" s="302"/>
      <c r="E22" s="623" t="s">
        <v>174</v>
      </c>
      <c r="F22" s="623" t="s">
        <v>175</v>
      </c>
      <c r="G22" s="623" t="s">
        <v>176</v>
      </c>
      <c r="H22" s="623" t="s">
        <v>177</v>
      </c>
      <c r="I22" s="623" t="s">
        <v>178</v>
      </c>
      <c r="J22" s="623" t="s">
        <v>179</v>
      </c>
      <c r="K22" s="623" t="s">
        <v>180</v>
      </c>
      <c r="L22" s="623" t="s">
        <v>181</v>
      </c>
      <c r="M22" s="623" t="s">
        <v>211</v>
      </c>
      <c r="N22" s="623" t="s">
        <v>212</v>
      </c>
      <c r="O22" s="623"/>
    </row>
    <row r="23" spans="1:16" s="298" customFormat="1">
      <c r="A23" s="602">
        <f t="shared" si="0"/>
        <v>17</v>
      </c>
    </row>
    <row r="24" spans="1:16" s="298" customFormat="1">
      <c r="A24" s="602">
        <f t="shared" si="0"/>
        <v>18</v>
      </c>
      <c r="B24" s="624" t="s">
        <v>213</v>
      </c>
      <c r="C24" s="624" t="s">
        <v>1046</v>
      </c>
      <c r="D24" s="625"/>
      <c r="E24" s="626"/>
      <c r="F24" s="627"/>
      <c r="G24" s="628"/>
      <c r="H24" s="627"/>
      <c r="I24" s="627">
        <v>594992</v>
      </c>
      <c r="J24" s="627"/>
      <c r="K24" s="627"/>
      <c r="L24" s="627"/>
      <c r="M24" s="627"/>
      <c r="N24" s="627">
        <f>SUM(F24:M24)</f>
        <v>594992</v>
      </c>
    </row>
    <row r="25" spans="1:16" s="298" customFormat="1">
      <c r="A25" s="602">
        <f t="shared" si="0"/>
        <v>19</v>
      </c>
      <c r="B25" s="624" t="s">
        <v>213</v>
      </c>
      <c r="C25" s="624" t="s">
        <v>1047</v>
      </c>
      <c r="D25" s="625" t="s">
        <v>1048</v>
      </c>
      <c r="E25" s="626">
        <v>10000</v>
      </c>
      <c r="F25" s="627">
        <v>346800</v>
      </c>
      <c r="G25" s="628"/>
      <c r="H25" s="627"/>
      <c r="I25" s="627"/>
      <c r="J25" s="627"/>
      <c r="K25" s="627"/>
      <c r="L25" s="627"/>
      <c r="M25" s="627"/>
      <c r="N25" s="627">
        <f t="shared" ref="N25:N29" si="1">SUM(F25:M25)</f>
        <v>346800</v>
      </c>
      <c r="P25" s="629"/>
    </row>
    <row r="26" spans="1:16" s="298" customFormat="1">
      <c r="A26" s="602">
        <f t="shared" si="0"/>
        <v>20</v>
      </c>
      <c r="B26" s="624" t="s">
        <v>213</v>
      </c>
      <c r="C26" s="624" t="s">
        <v>1050</v>
      </c>
      <c r="D26" s="625"/>
      <c r="E26" s="626"/>
      <c r="F26" s="627">
        <v>5788</v>
      </c>
      <c r="G26" s="628"/>
      <c r="H26" s="627"/>
      <c r="I26" s="627">
        <v>461</v>
      </c>
      <c r="J26" s="627"/>
      <c r="K26" s="627"/>
      <c r="L26" s="627"/>
      <c r="M26" s="627"/>
      <c r="N26" s="627">
        <f t="shared" si="1"/>
        <v>6249</v>
      </c>
      <c r="P26" s="629"/>
    </row>
    <row r="27" spans="1:16" s="298" customFormat="1">
      <c r="A27" s="602">
        <f t="shared" si="0"/>
        <v>21</v>
      </c>
      <c r="B27" s="624" t="s">
        <v>213</v>
      </c>
      <c r="C27" s="624" t="s">
        <v>1049</v>
      </c>
      <c r="D27" s="625"/>
      <c r="E27" s="626"/>
      <c r="F27" s="627">
        <v>15079</v>
      </c>
      <c r="G27" s="627"/>
      <c r="H27" s="627"/>
      <c r="I27" s="627">
        <v>7901</v>
      </c>
      <c r="J27" s="627"/>
      <c r="K27" s="627"/>
      <c r="L27" s="627"/>
      <c r="M27" s="627"/>
      <c r="N27" s="627">
        <f t="shared" si="1"/>
        <v>22980</v>
      </c>
    </row>
    <row r="28" spans="1:16" s="298" customFormat="1">
      <c r="A28" s="602">
        <f t="shared" si="0"/>
        <v>22</v>
      </c>
      <c r="B28" s="624" t="s">
        <v>213</v>
      </c>
      <c r="C28" s="624" t="s">
        <v>1050</v>
      </c>
      <c r="D28" s="625"/>
      <c r="E28" s="626"/>
      <c r="F28" s="627">
        <v>12</v>
      </c>
      <c r="G28" s="627"/>
      <c r="H28" s="627"/>
      <c r="I28" s="627">
        <v>6</v>
      </c>
      <c r="J28" s="627"/>
      <c r="K28" s="627"/>
      <c r="L28" s="627"/>
      <c r="M28" s="627"/>
      <c r="N28" s="627">
        <f t="shared" si="1"/>
        <v>18</v>
      </c>
    </row>
    <row r="29" spans="1:16" s="298" customFormat="1">
      <c r="A29" s="602">
        <f t="shared" si="0"/>
        <v>23</v>
      </c>
      <c r="B29" s="624" t="s">
        <v>213</v>
      </c>
      <c r="C29" s="624" t="s">
        <v>1050</v>
      </c>
      <c r="D29" s="624"/>
      <c r="E29" s="626"/>
      <c r="F29" s="627">
        <v>2016</v>
      </c>
      <c r="G29" s="627"/>
      <c r="H29" s="627"/>
      <c r="I29" s="627">
        <v>1057</v>
      </c>
      <c r="J29" s="627"/>
      <c r="K29" s="627"/>
      <c r="L29" s="627"/>
      <c r="M29" s="627"/>
      <c r="N29" s="627">
        <f t="shared" si="1"/>
        <v>3073</v>
      </c>
    </row>
    <row r="30" spans="1:16" s="298" customFormat="1">
      <c r="A30" s="602">
        <f t="shared" si="0"/>
        <v>24</v>
      </c>
      <c r="B30" s="624"/>
      <c r="C30" s="624"/>
      <c r="D30" s="625"/>
      <c r="E30" s="626"/>
      <c r="F30" s="627"/>
      <c r="G30" s="627"/>
      <c r="H30" s="627"/>
      <c r="I30" s="627"/>
      <c r="J30" s="627"/>
      <c r="K30" s="627"/>
      <c r="L30" s="627"/>
      <c r="M30" s="627"/>
      <c r="N30" s="627"/>
    </row>
    <row r="31" spans="1:16" s="298" customFormat="1">
      <c r="A31" s="602">
        <f t="shared" si="0"/>
        <v>25</v>
      </c>
      <c r="B31" s="624"/>
      <c r="C31" s="624"/>
      <c r="D31" s="625"/>
      <c r="E31" s="626"/>
      <c r="F31" s="627"/>
      <c r="G31" s="627"/>
      <c r="H31" s="627"/>
      <c r="I31" s="627"/>
      <c r="J31" s="627"/>
      <c r="K31" s="627"/>
      <c r="L31" s="627"/>
      <c r="M31" s="627"/>
      <c r="N31" s="627"/>
    </row>
    <row r="32" spans="1:16" s="298" customFormat="1">
      <c r="A32" s="602">
        <f t="shared" si="0"/>
        <v>26</v>
      </c>
      <c r="B32" s="624"/>
      <c r="C32" s="624"/>
      <c r="D32" s="625"/>
      <c r="E32" s="626"/>
      <c r="F32" s="627"/>
      <c r="G32" s="627"/>
      <c r="H32" s="627"/>
      <c r="I32" s="627"/>
      <c r="J32" s="627"/>
      <c r="K32" s="627"/>
      <c r="L32" s="627"/>
      <c r="M32" s="627"/>
      <c r="N32" s="627"/>
    </row>
    <row r="33" spans="1:16" s="298" customFormat="1">
      <c r="A33" s="602">
        <f t="shared" si="0"/>
        <v>27</v>
      </c>
      <c r="B33" s="624"/>
      <c r="C33" s="624"/>
      <c r="D33" s="625"/>
      <c r="E33" s="626"/>
      <c r="F33" s="627"/>
      <c r="G33" s="627"/>
      <c r="H33" s="627"/>
      <c r="I33" s="627"/>
      <c r="J33" s="627"/>
      <c r="K33" s="627"/>
      <c r="L33" s="627"/>
      <c r="M33" s="627"/>
      <c r="N33" s="627"/>
    </row>
    <row r="34" spans="1:16" s="298" customFormat="1">
      <c r="A34" s="602">
        <f t="shared" si="0"/>
        <v>28</v>
      </c>
      <c r="B34" s="624"/>
      <c r="C34" s="624"/>
      <c r="D34" s="624"/>
      <c r="E34" s="626"/>
      <c r="F34" s="627"/>
      <c r="G34" s="627"/>
      <c r="H34" s="627"/>
      <c r="I34" s="627"/>
      <c r="J34" s="627"/>
      <c r="K34" s="627"/>
      <c r="L34" s="627"/>
      <c r="M34" s="627"/>
      <c r="N34" s="627"/>
    </row>
    <row r="35" spans="1:16" s="298" customFormat="1">
      <c r="A35" s="602">
        <f t="shared" si="0"/>
        <v>29</v>
      </c>
      <c r="B35" s="624"/>
      <c r="C35" s="624"/>
      <c r="D35" s="624"/>
      <c r="E35" s="626"/>
      <c r="F35" s="627"/>
      <c r="G35" s="627"/>
      <c r="H35" s="627"/>
      <c r="I35" s="627"/>
      <c r="J35" s="627"/>
      <c r="K35" s="627"/>
      <c r="L35" s="627"/>
      <c r="M35" s="627"/>
      <c r="N35" s="627"/>
    </row>
    <row r="36" spans="1:16" s="298" customFormat="1">
      <c r="A36" s="602">
        <f t="shared" si="0"/>
        <v>30</v>
      </c>
      <c r="B36" s="624"/>
      <c r="C36" s="624"/>
      <c r="D36" s="624"/>
      <c r="E36" s="624"/>
      <c r="F36" s="627"/>
      <c r="G36" s="627"/>
      <c r="H36" s="627"/>
      <c r="I36" s="627"/>
      <c r="J36" s="627"/>
      <c r="K36" s="627"/>
      <c r="L36" s="627"/>
      <c r="M36" s="627"/>
      <c r="N36" s="627"/>
      <c r="P36" s="629"/>
    </row>
    <row r="37" spans="1:16" s="298" customFormat="1">
      <c r="A37" s="602">
        <f t="shared" si="0"/>
        <v>31</v>
      </c>
      <c r="B37" s="624"/>
      <c r="C37" s="624"/>
      <c r="D37" s="624"/>
      <c r="E37" s="626"/>
      <c r="F37" s="627"/>
      <c r="G37" s="627"/>
      <c r="H37" s="627"/>
      <c r="I37" s="627"/>
      <c r="J37" s="627"/>
      <c r="K37" s="627"/>
      <c r="L37" s="627"/>
      <c r="M37" s="627"/>
      <c r="N37" s="627"/>
    </row>
    <row r="38" spans="1:16" s="298" customFormat="1">
      <c r="A38" s="602">
        <f t="shared" si="0"/>
        <v>32</v>
      </c>
      <c r="B38" s="624"/>
      <c r="C38" s="624"/>
      <c r="D38" s="625"/>
      <c r="E38" s="626"/>
      <c r="F38" s="627"/>
      <c r="G38" s="627"/>
      <c r="H38" s="627"/>
      <c r="I38" s="627"/>
      <c r="J38" s="627"/>
      <c r="K38" s="627"/>
      <c r="L38" s="627"/>
      <c r="M38" s="627"/>
      <c r="N38" s="627"/>
    </row>
    <row r="39" spans="1:16" s="298" customFormat="1">
      <c r="A39" s="602">
        <f t="shared" si="0"/>
        <v>33</v>
      </c>
      <c r="B39" s="624"/>
      <c r="C39" s="624"/>
      <c r="D39" s="625"/>
      <c r="E39" s="626"/>
      <c r="F39" s="627"/>
      <c r="G39" s="627"/>
      <c r="H39" s="627"/>
      <c r="I39" s="627"/>
      <c r="J39" s="627"/>
      <c r="K39" s="627"/>
      <c r="L39" s="627"/>
      <c r="M39" s="627"/>
      <c r="N39" s="627"/>
    </row>
    <row r="40" spans="1:16" s="298" customFormat="1">
      <c r="A40" s="602">
        <f t="shared" si="0"/>
        <v>34</v>
      </c>
      <c r="B40" s="624"/>
      <c r="C40" s="624"/>
      <c r="D40" s="625"/>
      <c r="E40" s="626"/>
      <c r="F40" s="627"/>
      <c r="G40" s="627"/>
      <c r="H40" s="627"/>
      <c r="I40" s="627"/>
      <c r="J40" s="627"/>
      <c r="K40" s="627"/>
      <c r="L40" s="627"/>
      <c r="M40" s="627"/>
      <c r="N40" s="627"/>
    </row>
    <row r="41" spans="1:16" s="298" customFormat="1">
      <c r="A41" s="602">
        <f t="shared" si="0"/>
        <v>35</v>
      </c>
      <c r="B41" s="624"/>
      <c r="C41" s="624"/>
      <c r="D41" s="625"/>
      <c r="E41" s="626"/>
      <c r="F41" s="627"/>
      <c r="G41" s="627"/>
      <c r="H41" s="627"/>
      <c r="I41" s="627"/>
      <c r="J41" s="627"/>
      <c r="K41" s="627"/>
      <c r="L41" s="627"/>
      <c r="M41" s="627"/>
      <c r="N41" s="627"/>
    </row>
    <row r="42" spans="1:16" s="298" customFormat="1">
      <c r="A42" s="602">
        <f t="shared" si="0"/>
        <v>36</v>
      </c>
      <c r="B42" s="624"/>
      <c r="C42" s="624"/>
      <c r="D42" s="624"/>
      <c r="E42" s="626"/>
      <c r="F42" s="627"/>
      <c r="G42" s="627"/>
      <c r="H42" s="627"/>
      <c r="I42" s="627"/>
      <c r="J42" s="627"/>
      <c r="K42" s="627"/>
      <c r="L42" s="627"/>
      <c r="M42" s="627"/>
      <c r="N42" s="627"/>
    </row>
    <row r="43" spans="1:16" s="298" customFormat="1">
      <c r="A43" s="602">
        <f t="shared" si="0"/>
        <v>37</v>
      </c>
      <c r="B43" s="624"/>
      <c r="C43" s="624"/>
      <c r="D43" s="624"/>
      <c r="E43" s="626"/>
      <c r="F43" s="627"/>
      <c r="G43" s="627"/>
      <c r="H43" s="627"/>
      <c r="I43" s="627"/>
      <c r="J43" s="627"/>
      <c r="K43" s="627"/>
      <c r="L43" s="627"/>
      <c r="M43" s="627"/>
      <c r="N43" s="627"/>
    </row>
    <row r="44" spans="1:16" s="298" customFormat="1">
      <c r="A44" s="602">
        <f t="shared" si="0"/>
        <v>38</v>
      </c>
      <c r="B44" s="630"/>
      <c r="C44" s="630"/>
      <c r="D44" s="630"/>
      <c r="E44" s="630"/>
      <c r="F44" s="631"/>
      <c r="G44" s="631"/>
      <c r="H44" s="631"/>
      <c r="I44" s="631"/>
      <c r="J44" s="631"/>
      <c r="K44" s="631"/>
      <c r="L44" s="631"/>
      <c r="M44" s="631"/>
      <c r="N44" s="631"/>
    </row>
    <row r="45" spans="1:16" s="298" customFormat="1">
      <c r="A45" s="602">
        <f t="shared" si="0"/>
        <v>39</v>
      </c>
      <c r="B45" s="632"/>
      <c r="C45" s="632" t="s">
        <v>9</v>
      </c>
      <c r="D45" s="632"/>
      <c r="E45" s="633"/>
      <c r="F45" s="633">
        <f t="shared" ref="F45:N45" si="2">SUM(F24:F44)</f>
        <v>369695</v>
      </c>
      <c r="G45" s="633">
        <f t="shared" si="2"/>
        <v>0</v>
      </c>
      <c r="H45" s="633">
        <f t="shared" si="2"/>
        <v>0</v>
      </c>
      <c r="I45" s="633">
        <f t="shared" si="2"/>
        <v>604417</v>
      </c>
      <c r="J45" s="633">
        <f t="shared" si="2"/>
        <v>0</v>
      </c>
      <c r="K45" s="633">
        <f t="shared" si="2"/>
        <v>0</v>
      </c>
      <c r="L45" s="633">
        <f t="shared" si="2"/>
        <v>0</v>
      </c>
      <c r="M45" s="633">
        <f t="shared" si="2"/>
        <v>0</v>
      </c>
      <c r="N45" s="633">
        <f t="shared" si="2"/>
        <v>974112</v>
      </c>
      <c r="O45" s="634"/>
    </row>
    <row r="46" spans="1:16" s="298" customFormat="1">
      <c r="A46" s="602">
        <f t="shared" si="0"/>
        <v>40</v>
      </c>
      <c r="B46" s="302"/>
      <c r="C46" s="302"/>
      <c r="D46" s="302"/>
      <c r="E46" s="286"/>
      <c r="F46" s="635"/>
      <c r="G46" s="635"/>
      <c r="H46" s="635"/>
      <c r="I46" s="635"/>
      <c r="J46" s="635"/>
      <c r="K46" s="635"/>
      <c r="L46" s="635"/>
      <c r="M46" s="635"/>
      <c r="N46" s="638"/>
      <c r="O46" s="634"/>
    </row>
    <row r="47" spans="1:16" s="298" customFormat="1">
      <c r="A47" s="602">
        <f t="shared" si="0"/>
        <v>41</v>
      </c>
      <c r="B47" s="636" t="s">
        <v>216</v>
      </c>
      <c r="C47" s="302"/>
      <c r="D47" s="302"/>
      <c r="E47" s="637"/>
      <c r="F47" s="635"/>
      <c r="G47" s="635"/>
      <c r="H47" s="635"/>
      <c r="I47" s="635"/>
      <c r="J47" s="635"/>
      <c r="K47" s="635"/>
      <c r="L47" s="635"/>
      <c r="M47" s="635"/>
      <c r="N47" s="635"/>
    </row>
    <row r="48" spans="1:16" s="558" customFormat="1" ht="15" customHeight="1">
      <c r="A48" s="602">
        <f t="shared" si="0"/>
        <v>42</v>
      </c>
      <c r="B48" s="302" t="s">
        <v>213</v>
      </c>
      <c r="C48" s="302"/>
      <c r="D48" s="302"/>
      <c r="E48" s="302"/>
      <c r="F48" s="638">
        <f>SUMIF($B$24:$B$44,$B48,F$24:F$44)</f>
        <v>369695</v>
      </c>
      <c r="G48" s="638">
        <f t="shared" ref="F48:N51" si="3">SUMIF($B$24:$B$44,$B48,G$24:G$44)</f>
        <v>0</v>
      </c>
      <c r="H48" s="638">
        <f t="shared" si="3"/>
        <v>0</v>
      </c>
      <c r="I48" s="638">
        <f t="shared" si="3"/>
        <v>604417</v>
      </c>
      <c r="J48" s="638">
        <f t="shared" si="3"/>
        <v>0</v>
      </c>
      <c r="K48" s="638">
        <f t="shared" si="3"/>
        <v>0</v>
      </c>
      <c r="L48" s="638">
        <f t="shared" si="3"/>
        <v>0</v>
      </c>
      <c r="M48" s="638">
        <f t="shared" si="3"/>
        <v>0</v>
      </c>
      <c r="N48" s="638">
        <f t="shared" si="3"/>
        <v>974112</v>
      </c>
    </row>
    <row r="49" spans="1:14" s="298" customFormat="1">
      <c r="A49" s="602">
        <f t="shared" si="0"/>
        <v>43</v>
      </c>
      <c r="B49" s="302" t="s">
        <v>214</v>
      </c>
      <c r="C49" s="302"/>
      <c r="D49" s="302"/>
      <c r="E49" s="302"/>
      <c r="F49" s="638">
        <f t="shared" si="3"/>
        <v>0</v>
      </c>
      <c r="G49" s="638">
        <f t="shared" si="3"/>
        <v>0</v>
      </c>
      <c r="H49" s="638">
        <f t="shared" si="3"/>
        <v>0</v>
      </c>
      <c r="I49" s="638">
        <f t="shared" si="3"/>
        <v>0</v>
      </c>
      <c r="J49" s="638">
        <f t="shared" si="3"/>
        <v>0</v>
      </c>
      <c r="K49" s="638">
        <f t="shared" si="3"/>
        <v>0</v>
      </c>
      <c r="L49" s="638">
        <f t="shared" si="3"/>
        <v>0</v>
      </c>
      <c r="M49" s="638">
        <f t="shared" si="3"/>
        <v>0</v>
      </c>
      <c r="N49" s="638">
        <f t="shared" si="3"/>
        <v>0</v>
      </c>
    </row>
    <row r="50" spans="1:14" s="298" customFormat="1">
      <c r="A50" s="602">
        <f t="shared" si="0"/>
        <v>44</v>
      </c>
      <c r="B50" s="302" t="s">
        <v>215</v>
      </c>
      <c r="C50" s="302"/>
      <c r="D50" s="302"/>
      <c r="E50" s="302"/>
      <c r="F50" s="638">
        <f t="shared" si="3"/>
        <v>0</v>
      </c>
      <c r="G50" s="638">
        <f t="shared" si="3"/>
        <v>0</v>
      </c>
      <c r="H50" s="638">
        <f t="shared" si="3"/>
        <v>0</v>
      </c>
      <c r="I50" s="638">
        <f t="shared" si="3"/>
        <v>0</v>
      </c>
      <c r="J50" s="638">
        <f t="shared" si="3"/>
        <v>0</v>
      </c>
      <c r="K50" s="638">
        <f t="shared" si="3"/>
        <v>0</v>
      </c>
      <c r="L50" s="638">
        <f t="shared" si="3"/>
        <v>0</v>
      </c>
      <c r="M50" s="638">
        <f t="shared" si="3"/>
        <v>0</v>
      </c>
      <c r="N50" s="638">
        <f t="shared" si="3"/>
        <v>0</v>
      </c>
    </row>
    <row r="51" spans="1:14" s="298" customFormat="1">
      <c r="A51" s="602">
        <f t="shared" si="0"/>
        <v>45</v>
      </c>
      <c r="B51" s="302" t="s">
        <v>217</v>
      </c>
      <c r="C51" s="302"/>
      <c r="D51" s="302"/>
      <c r="E51" s="302"/>
      <c r="F51" s="638">
        <f t="shared" si="3"/>
        <v>0</v>
      </c>
      <c r="G51" s="638">
        <f t="shared" si="3"/>
        <v>0</v>
      </c>
      <c r="H51" s="638">
        <f t="shared" si="3"/>
        <v>0</v>
      </c>
      <c r="I51" s="638">
        <f t="shared" si="3"/>
        <v>0</v>
      </c>
      <c r="J51" s="638">
        <f t="shared" si="3"/>
        <v>0</v>
      </c>
      <c r="K51" s="638">
        <f t="shared" si="3"/>
        <v>0</v>
      </c>
      <c r="L51" s="638">
        <f t="shared" si="3"/>
        <v>0</v>
      </c>
      <c r="M51" s="638">
        <f t="shared" si="3"/>
        <v>0</v>
      </c>
      <c r="N51" s="638">
        <f t="shared" si="3"/>
        <v>0</v>
      </c>
    </row>
    <row r="52" spans="1:14" s="298" customFormat="1">
      <c r="A52" s="602">
        <f t="shared" si="0"/>
        <v>46</v>
      </c>
      <c r="B52" s="632" t="s">
        <v>9</v>
      </c>
      <c r="C52" s="632"/>
      <c r="D52" s="632"/>
      <c r="E52" s="632"/>
      <c r="F52" s="633">
        <f t="shared" ref="F52" si="4">SUM(F48:F51)</f>
        <v>369695</v>
      </c>
      <c r="G52" s="633">
        <f t="shared" ref="G52:M52" si="5">SUM(G48:G51)</f>
        <v>0</v>
      </c>
      <c r="H52" s="633">
        <f t="shared" si="5"/>
        <v>0</v>
      </c>
      <c r="I52" s="633">
        <f t="shared" si="5"/>
        <v>604417</v>
      </c>
      <c r="J52" s="633">
        <f t="shared" si="5"/>
        <v>0</v>
      </c>
      <c r="K52" s="633">
        <f t="shared" si="5"/>
        <v>0</v>
      </c>
      <c r="L52" s="633">
        <f t="shared" si="5"/>
        <v>0</v>
      </c>
      <c r="M52" s="633">
        <f t="shared" si="5"/>
        <v>0</v>
      </c>
      <c r="N52" s="633">
        <f>SUM(N48:N51)</f>
        <v>974112</v>
      </c>
    </row>
    <row r="53" spans="1:14" s="298" customFormat="1">
      <c r="A53" s="602">
        <f t="shared" si="0"/>
        <v>47</v>
      </c>
      <c r="F53" s="639"/>
      <c r="G53" s="639"/>
      <c r="H53" s="639"/>
      <c r="I53" s="639"/>
      <c r="J53" s="639"/>
      <c r="K53" s="639"/>
      <c r="L53" s="639"/>
      <c r="M53" s="639"/>
      <c r="N53" s="639"/>
    </row>
    <row r="54" spans="1:14" s="298" customFormat="1">
      <c r="A54" s="602">
        <f t="shared" si="0"/>
        <v>48</v>
      </c>
      <c r="B54" s="640" t="s">
        <v>610</v>
      </c>
    </row>
    <row r="55" spans="1:14" s="298" customFormat="1">
      <c r="A55" s="602">
        <f t="shared" si="0"/>
        <v>49</v>
      </c>
      <c r="B55" s="298" t="s">
        <v>215</v>
      </c>
      <c r="C55" s="298" t="s">
        <v>218</v>
      </c>
    </row>
    <row r="56" spans="1:14" s="298" customFormat="1">
      <c r="A56" s="602">
        <f t="shared" si="0"/>
        <v>50</v>
      </c>
      <c r="B56" s="298" t="s">
        <v>214</v>
      </c>
      <c r="C56" s="298" t="s">
        <v>219</v>
      </c>
    </row>
    <row r="57" spans="1:14" s="298" customFormat="1">
      <c r="A57" s="602">
        <f t="shared" si="0"/>
        <v>51</v>
      </c>
      <c r="B57" s="298" t="s">
        <v>213</v>
      </c>
      <c r="C57" s="298" t="s">
        <v>220</v>
      </c>
    </row>
    <row r="58" spans="1:14">
      <c r="A58" s="602"/>
    </row>
    <row r="59" spans="1:14">
      <c r="A59" s="641" t="s">
        <v>191</v>
      </c>
    </row>
    <row r="60" spans="1:14" ht="12.75" customHeight="1">
      <c r="A60" s="33" t="s">
        <v>84</v>
      </c>
      <c r="B60" s="836" t="s">
        <v>96</v>
      </c>
      <c r="C60" s="836"/>
      <c r="D60" s="836"/>
      <c r="E60" s="836"/>
      <c r="F60" s="836"/>
      <c r="G60" s="836"/>
      <c r="H60" s="836"/>
      <c r="I60" s="836"/>
      <c r="J60" s="836"/>
      <c r="K60" s="836"/>
      <c r="L60" s="836"/>
      <c r="M60" s="836"/>
    </row>
    <row r="61" spans="1:14">
      <c r="A61" s="33" t="s">
        <v>85</v>
      </c>
      <c r="B61" s="2" t="s">
        <v>918</v>
      </c>
    </row>
  </sheetData>
  <mergeCells count="4">
    <mergeCell ref="A1:N1"/>
    <mergeCell ref="A2:N2"/>
    <mergeCell ref="A3:N3"/>
    <mergeCell ref="B60:M60"/>
  </mergeCells>
  <pageMargins left="0.75" right="0.75" top="1" bottom="1" header="0.5" footer="0.5"/>
  <pageSetup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104"/>
  <sheetViews>
    <sheetView zoomScale="90" zoomScaleNormal="90" workbookViewId="0">
      <selection activeCell="D28" sqref="D28"/>
    </sheetView>
  </sheetViews>
  <sheetFormatPr defaultColWidth="7.109375" defaultRowHeight="12.75"/>
  <cols>
    <col min="1" max="1" width="5.5546875" style="272" customWidth="1"/>
    <col min="2" max="2" width="35.5546875" style="272" customWidth="1"/>
    <col min="3" max="3" width="19.6640625" style="272" bestFit="1" customWidth="1"/>
    <col min="4" max="4" width="11.109375" style="289" customWidth="1"/>
    <col min="5" max="5" width="7.109375" style="272"/>
    <col min="6" max="6" width="8.77734375" style="272" bestFit="1" customWidth="1"/>
    <col min="7" max="16384" width="7.109375" style="272"/>
  </cols>
  <sheetData>
    <row r="1" spans="1:8" ht="14.25" customHeight="1">
      <c r="A1" s="854" t="s">
        <v>587</v>
      </c>
      <c r="B1" s="854"/>
      <c r="C1" s="854"/>
      <c r="D1" s="854"/>
      <c r="F1" s="273"/>
    </row>
    <row r="2" spans="1:8">
      <c r="A2" s="854" t="s">
        <v>223</v>
      </c>
      <c r="B2" s="854"/>
      <c r="C2" s="854"/>
      <c r="D2" s="854"/>
    </row>
    <row r="3" spans="1:8">
      <c r="A3" s="855" t="str">
        <f>'Act Att-H'!C7</f>
        <v>Cheyenne Light, Fuel &amp; Power</v>
      </c>
      <c r="B3" s="854"/>
      <c r="C3" s="854"/>
      <c r="D3" s="854"/>
    </row>
    <row r="4" spans="1:8">
      <c r="B4" s="274"/>
      <c r="C4" s="274"/>
      <c r="D4" s="275" t="s">
        <v>748</v>
      </c>
    </row>
    <row r="5" spans="1:8">
      <c r="B5" s="274"/>
      <c r="C5" s="274"/>
      <c r="D5" s="274"/>
    </row>
    <row r="6" spans="1:8">
      <c r="A6" s="276" t="s">
        <v>4</v>
      </c>
      <c r="C6" s="277" t="s">
        <v>20</v>
      </c>
      <c r="D6" s="278"/>
    </row>
    <row r="7" spans="1:8">
      <c r="A7" s="279" t="s">
        <v>6</v>
      </c>
      <c r="B7" s="279" t="s">
        <v>531</v>
      </c>
      <c r="C7" s="280" t="s">
        <v>22</v>
      </c>
      <c r="D7" s="281" t="s">
        <v>23</v>
      </c>
    </row>
    <row r="8" spans="1:8">
      <c r="A8" s="276">
        <v>1</v>
      </c>
      <c r="B8" s="272" t="s">
        <v>224</v>
      </c>
      <c r="C8" s="272" t="s">
        <v>225</v>
      </c>
      <c r="D8" s="282">
        <v>71766</v>
      </c>
      <c r="E8" s="283"/>
      <c r="F8" s="283"/>
      <c r="G8" s="283"/>
      <c r="H8" s="283"/>
    </row>
    <row r="9" spans="1:8">
      <c r="A9" s="276">
        <v>2</v>
      </c>
      <c r="B9" s="272" t="s">
        <v>226</v>
      </c>
      <c r="C9" s="283" t="s">
        <v>227</v>
      </c>
      <c r="D9" s="282">
        <v>266247</v>
      </c>
      <c r="E9" s="283"/>
      <c r="F9" s="284"/>
      <c r="G9" s="283"/>
      <c r="H9" s="285"/>
    </row>
    <row r="10" spans="1:8">
      <c r="A10" s="276">
        <v>3</v>
      </c>
      <c r="B10" s="272" t="s">
        <v>228</v>
      </c>
      <c r="C10" s="272" t="s">
        <v>229</v>
      </c>
      <c r="D10" s="282">
        <v>54557</v>
      </c>
      <c r="F10" s="286"/>
    </row>
    <row r="11" spans="1:8">
      <c r="A11" s="276">
        <v>4</v>
      </c>
      <c r="B11" s="272" t="s">
        <v>230</v>
      </c>
      <c r="C11" s="283" t="s">
        <v>529</v>
      </c>
      <c r="D11" s="282">
        <v>0</v>
      </c>
      <c r="F11" s="287"/>
    </row>
    <row r="12" spans="1:8" ht="13.5" thickBot="1">
      <c r="A12" s="276">
        <v>5</v>
      </c>
      <c r="B12" s="272" t="s">
        <v>287</v>
      </c>
      <c r="D12" s="288">
        <f>SUM(D8:D11)</f>
        <v>392570</v>
      </c>
      <c r="G12" s="287"/>
    </row>
    <row r="13" spans="1:8" ht="13.5" thickTop="1">
      <c r="A13" s="276">
        <v>6</v>
      </c>
    </row>
    <row r="14" spans="1:8">
      <c r="A14" s="276">
        <v>7</v>
      </c>
    </row>
    <row r="15" spans="1:8">
      <c r="A15" s="276">
        <v>8</v>
      </c>
      <c r="B15" s="290" t="s">
        <v>231</v>
      </c>
      <c r="D15" s="291"/>
      <c r="G15" s="292"/>
    </row>
    <row r="16" spans="1:8">
      <c r="A16" s="276">
        <v>9</v>
      </c>
      <c r="D16" s="291"/>
      <c r="H16" s="292"/>
    </row>
    <row r="17" spans="1:8">
      <c r="A17" s="276">
        <v>10</v>
      </c>
      <c r="B17" s="272" t="s">
        <v>938</v>
      </c>
      <c r="C17" s="283" t="s">
        <v>939</v>
      </c>
      <c r="D17" s="282">
        <v>0</v>
      </c>
    </row>
    <row r="18" spans="1:8" ht="12.75" customHeight="1">
      <c r="A18" s="276">
        <v>11</v>
      </c>
      <c r="C18" s="283"/>
      <c r="D18" s="286"/>
      <c r="H18" s="292"/>
    </row>
    <row r="19" spans="1:8">
      <c r="A19" s="276">
        <v>12</v>
      </c>
      <c r="C19" s="283"/>
      <c r="D19" s="286"/>
    </row>
    <row r="20" spans="1:8">
      <c r="A20" s="276">
        <v>13</v>
      </c>
      <c r="C20" s="283"/>
      <c r="D20" s="293"/>
    </row>
    <row r="21" spans="1:8" ht="16.5" customHeight="1">
      <c r="A21" s="276">
        <v>14</v>
      </c>
      <c r="B21" s="272" t="s">
        <v>9</v>
      </c>
      <c r="C21" s="294"/>
      <c r="D21" s="295">
        <f>SUM(D17:D20)</f>
        <v>0</v>
      </c>
    </row>
    <row r="22" spans="1:8">
      <c r="A22" s="276">
        <v>15</v>
      </c>
      <c r="B22" s="283"/>
      <c r="C22" s="283"/>
      <c r="D22" s="286"/>
      <c r="E22" s="283"/>
      <c r="F22" s="283"/>
      <c r="G22" s="283"/>
    </row>
    <row r="23" spans="1:8" ht="13.5" thickBot="1">
      <c r="A23" s="276">
        <v>16</v>
      </c>
      <c r="B23" s="272" t="s">
        <v>288</v>
      </c>
      <c r="D23" s="288">
        <f>+D21</f>
        <v>0</v>
      </c>
      <c r="E23" s="283"/>
      <c r="F23" s="283"/>
      <c r="G23" s="283"/>
    </row>
    <row r="24" spans="1:8" ht="13.5" thickTop="1">
      <c r="A24" s="276">
        <v>17</v>
      </c>
      <c r="D24" s="296"/>
      <c r="E24" s="283"/>
      <c r="F24" s="283"/>
      <c r="G24" s="283"/>
    </row>
    <row r="25" spans="1:8">
      <c r="A25" s="276">
        <v>18</v>
      </c>
      <c r="C25" s="283"/>
      <c r="D25" s="296"/>
      <c r="E25" s="283"/>
      <c r="F25" s="283"/>
      <c r="G25" s="283"/>
    </row>
    <row r="26" spans="1:8">
      <c r="A26" s="276">
        <v>19</v>
      </c>
      <c r="B26" s="290" t="s">
        <v>232</v>
      </c>
      <c r="D26" s="296"/>
      <c r="E26" s="283"/>
      <c r="F26" s="283"/>
      <c r="G26" s="283"/>
    </row>
    <row r="27" spans="1:8">
      <c r="A27" s="276">
        <v>20</v>
      </c>
      <c r="B27" s="272" t="s">
        <v>233</v>
      </c>
      <c r="C27" s="283" t="s">
        <v>530</v>
      </c>
      <c r="D27" s="282">
        <v>0</v>
      </c>
      <c r="E27" s="283"/>
      <c r="F27" s="283"/>
      <c r="G27" s="283"/>
    </row>
    <row r="28" spans="1:8">
      <c r="A28" s="276">
        <v>21</v>
      </c>
      <c r="B28" s="272" t="s">
        <v>234</v>
      </c>
      <c r="C28" s="283" t="s">
        <v>530</v>
      </c>
      <c r="D28" s="282">
        <f>281079.61+536911.56</f>
        <v>817991.17</v>
      </c>
      <c r="E28" s="283"/>
      <c r="F28" s="283"/>
      <c r="G28" s="283"/>
    </row>
    <row r="29" spans="1:8" ht="13.5" thickBot="1">
      <c r="A29" s="276">
        <v>22</v>
      </c>
      <c r="B29" s="272" t="s">
        <v>232</v>
      </c>
      <c r="D29" s="288">
        <f>SUM(D27:D28)</f>
        <v>817991.17</v>
      </c>
      <c r="E29" s="283"/>
      <c r="F29" s="283"/>
      <c r="G29" s="283"/>
    </row>
    <row r="30" spans="1:8" ht="13.5" thickTop="1">
      <c r="A30" s="276"/>
      <c r="D30" s="296"/>
      <c r="E30" s="283"/>
      <c r="F30" s="283"/>
      <c r="G30" s="283"/>
    </row>
    <row r="31" spans="1:8">
      <c r="A31" s="508" t="s">
        <v>191</v>
      </c>
      <c r="B31" s="297"/>
      <c r="D31" s="296"/>
      <c r="E31" s="283"/>
      <c r="F31" s="283"/>
      <c r="G31" s="283"/>
    </row>
    <row r="32" spans="1:8" ht="25.5" customHeight="1">
      <c r="A32" s="551" t="s">
        <v>84</v>
      </c>
      <c r="B32" s="856" t="s">
        <v>752</v>
      </c>
      <c r="C32" s="856"/>
      <c r="D32" s="856"/>
    </row>
    <row r="33" spans="1:4" ht="26.25" customHeight="1">
      <c r="A33" s="551" t="s">
        <v>85</v>
      </c>
      <c r="B33" s="853" t="s">
        <v>753</v>
      </c>
      <c r="C33" s="853"/>
      <c r="D33" s="853"/>
    </row>
    <row r="34" spans="1:4" ht="26.25" customHeight="1">
      <c r="A34" s="551" t="s">
        <v>86</v>
      </c>
      <c r="B34" s="853" t="s">
        <v>937</v>
      </c>
      <c r="C34" s="853"/>
      <c r="D34" s="853"/>
    </row>
    <row r="35" spans="1:4">
      <c r="A35" s="276"/>
    </row>
    <row r="36" spans="1:4">
      <c r="A36" s="276"/>
    </row>
    <row r="37" spans="1:4">
      <c r="A37" s="276"/>
    </row>
    <row r="38" spans="1:4">
      <c r="A38" s="276"/>
    </row>
    <row r="39" spans="1:4">
      <c r="A39" s="276"/>
    </row>
    <row r="40" spans="1:4">
      <c r="A40" s="276"/>
    </row>
    <row r="41" spans="1:4">
      <c r="A41" s="276"/>
    </row>
    <row r="42" spans="1:4">
      <c r="A42" s="276"/>
    </row>
    <row r="43" spans="1:4">
      <c r="A43" s="276"/>
    </row>
    <row r="44" spans="1:4">
      <c r="A44" s="276"/>
    </row>
    <row r="45" spans="1:4">
      <c r="A45" s="276"/>
    </row>
    <row r="47" spans="1:4" ht="25.5" customHeight="1"/>
    <row r="103" spans="7:8">
      <c r="G103" s="272" t="s">
        <v>11</v>
      </c>
      <c r="H103" s="272">
        <f>+J184</f>
        <v>0</v>
      </c>
    </row>
    <row r="104" spans="7:8">
      <c r="H104" s="272">
        <f>+H103</f>
        <v>0</v>
      </c>
    </row>
  </sheetData>
  <mergeCells count="6">
    <mergeCell ref="B34:D34"/>
    <mergeCell ref="B33:D33"/>
    <mergeCell ref="A1:D1"/>
    <mergeCell ref="A2:D2"/>
    <mergeCell ref="A3:D3"/>
    <mergeCell ref="B32:D32"/>
  </mergeCells>
  <pageMargins left="0.75" right="0.75" top="1" bottom="1" header="0.5" footer="0.5"/>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K73"/>
  <sheetViews>
    <sheetView zoomScale="75" zoomScaleNormal="75" workbookViewId="0">
      <selection activeCell="F33" sqref="F33"/>
    </sheetView>
  </sheetViews>
  <sheetFormatPr defaultRowHeight="12.75"/>
  <cols>
    <col min="1" max="1" width="6.109375" style="298" customWidth="1"/>
    <col min="2" max="2" width="25.33203125" style="298" customWidth="1"/>
    <col min="3" max="3" width="13.109375" style="298" bestFit="1" customWidth="1"/>
    <col min="4" max="4" width="12.21875" style="298" bestFit="1" customWidth="1"/>
    <col min="5" max="5" width="12.109375" style="298" bestFit="1" customWidth="1"/>
    <col min="6" max="6" width="15.5546875" style="298" bestFit="1" customWidth="1"/>
    <col min="7" max="7" width="1.21875" style="298" customWidth="1"/>
    <col min="8" max="9" width="8.88671875" style="298"/>
    <col min="10" max="10" width="10.109375" style="298" bestFit="1" customWidth="1"/>
    <col min="11" max="11" width="8.88671875" style="298"/>
    <col min="12" max="12" width="10.6640625" style="298" bestFit="1" customWidth="1"/>
    <col min="13" max="256" width="8.88671875" style="298"/>
    <col min="257" max="257" width="6.109375" style="298" customWidth="1"/>
    <col min="258" max="260" width="11.77734375" style="298" customWidth="1"/>
    <col min="261" max="262" width="9.88671875" style="298" customWidth="1"/>
    <col min="263" max="263" width="15.109375" style="298" bestFit="1" customWidth="1"/>
    <col min="264" max="512" width="8.88671875" style="298"/>
    <col min="513" max="513" width="6.109375" style="298" customWidth="1"/>
    <col min="514" max="516" width="11.77734375" style="298" customWidth="1"/>
    <col min="517" max="518" width="9.88671875" style="298" customWidth="1"/>
    <col min="519" max="519" width="15.109375" style="298" bestFit="1" customWidth="1"/>
    <col min="520" max="768" width="8.88671875" style="298"/>
    <col min="769" max="769" width="6.109375" style="298" customWidth="1"/>
    <col min="770" max="772" width="11.77734375" style="298" customWidth="1"/>
    <col min="773" max="774" width="9.88671875" style="298" customWidth="1"/>
    <col min="775" max="775" width="15.109375" style="298" bestFit="1" customWidth="1"/>
    <col min="776" max="1024" width="8.88671875" style="298"/>
    <col min="1025" max="1025" width="6.109375" style="298" customWidth="1"/>
    <col min="1026" max="1028" width="11.77734375" style="298" customWidth="1"/>
    <col min="1029" max="1030" width="9.88671875" style="298" customWidth="1"/>
    <col min="1031" max="1031" width="15.109375" style="298" bestFit="1" customWidth="1"/>
    <col min="1032" max="1280" width="8.88671875" style="298"/>
    <col min="1281" max="1281" width="6.109375" style="298" customWidth="1"/>
    <col min="1282" max="1284" width="11.77734375" style="298" customWidth="1"/>
    <col min="1285" max="1286" width="9.88671875" style="298" customWidth="1"/>
    <col min="1287" max="1287" width="15.109375" style="298" bestFit="1" customWidth="1"/>
    <col min="1288" max="1536" width="8.88671875" style="298"/>
    <col min="1537" max="1537" width="6.109375" style="298" customWidth="1"/>
    <col min="1538" max="1540" width="11.77734375" style="298" customWidth="1"/>
    <col min="1541" max="1542" width="9.88671875" style="298" customWidth="1"/>
    <col min="1543" max="1543" width="15.109375" style="298" bestFit="1" customWidth="1"/>
    <col min="1544" max="1792" width="8.88671875" style="298"/>
    <col min="1793" max="1793" width="6.109375" style="298" customWidth="1"/>
    <col min="1794" max="1796" width="11.77734375" style="298" customWidth="1"/>
    <col min="1797" max="1798" width="9.88671875" style="298" customWidth="1"/>
    <col min="1799" max="1799" width="15.109375" style="298" bestFit="1" customWidth="1"/>
    <col min="1800" max="2048" width="8.88671875" style="298"/>
    <col min="2049" max="2049" width="6.109375" style="298" customWidth="1"/>
    <col min="2050" max="2052" width="11.77734375" style="298" customWidth="1"/>
    <col min="2053" max="2054" width="9.88671875" style="298" customWidth="1"/>
    <col min="2055" max="2055" width="15.109375" style="298" bestFit="1" customWidth="1"/>
    <col min="2056" max="2304" width="8.88671875" style="298"/>
    <col min="2305" max="2305" width="6.109375" style="298" customWidth="1"/>
    <col min="2306" max="2308" width="11.77734375" style="298" customWidth="1"/>
    <col min="2309" max="2310" width="9.88671875" style="298" customWidth="1"/>
    <col min="2311" max="2311" width="15.109375" style="298" bestFit="1" customWidth="1"/>
    <col min="2312" max="2560" width="8.88671875" style="298"/>
    <col min="2561" max="2561" width="6.109375" style="298" customWidth="1"/>
    <col min="2562" max="2564" width="11.77734375" style="298" customWidth="1"/>
    <col min="2565" max="2566" width="9.88671875" style="298" customWidth="1"/>
    <col min="2567" max="2567" width="15.109375" style="298" bestFit="1" customWidth="1"/>
    <col min="2568" max="2816" width="8.88671875" style="298"/>
    <col min="2817" max="2817" width="6.109375" style="298" customWidth="1"/>
    <col min="2818" max="2820" width="11.77734375" style="298" customWidth="1"/>
    <col min="2821" max="2822" width="9.88671875" style="298" customWidth="1"/>
    <col min="2823" max="2823" width="15.109375" style="298" bestFit="1" customWidth="1"/>
    <col min="2824" max="3072" width="8.88671875" style="298"/>
    <col min="3073" max="3073" width="6.109375" style="298" customWidth="1"/>
    <col min="3074" max="3076" width="11.77734375" style="298" customWidth="1"/>
    <col min="3077" max="3078" width="9.88671875" style="298" customWidth="1"/>
    <col min="3079" max="3079" width="15.109375" style="298" bestFit="1" customWidth="1"/>
    <col min="3080" max="3328" width="8.88671875" style="298"/>
    <col min="3329" max="3329" width="6.109375" style="298" customWidth="1"/>
    <col min="3330" max="3332" width="11.77734375" style="298" customWidth="1"/>
    <col min="3333" max="3334" width="9.88671875" style="298" customWidth="1"/>
    <col min="3335" max="3335" width="15.109375" style="298" bestFit="1" customWidth="1"/>
    <col min="3336" max="3584" width="8.88671875" style="298"/>
    <col min="3585" max="3585" width="6.109375" style="298" customWidth="1"/>
    <col min="3586" max="3588" width="11.77734375" style="298" customWidth="1"/>
    <col min="3589" max="3590" width="9.88671875" style="298" customWidth="1"/>
    <col min="3591" max="3591" width="15.109375" style="298" bestFit="1" customWidth="1"/>
    <col min="3592" max="3840" width="8.88671875" style="298"/>
    <col min="3841" max="3841" width="6.109375" style="298" customWidth="1"/>
    <col min="3842" max="3844" width="11.77734375" style="298" customWidth="1"/>
    <col min="3845" max="3846" width="9.88671875" style="298" customWidth="1"/>
    <col min="3847" max="3847" width="15.109375" style="298" bestFit="1" customWidth="1"/>
    <col min="3848" max="4096" width="8.88671875" style="298"/>
    <col min="4097" max="4097" width="6.109375" style="298" customWidth="1"/>
    <col min="4098" max="4100" width="11.77734375" style="298" customWidth="1"/>
    <col min="4101" max="4102" width="9.88671875" style="298" customWidth="1"/>
    <col min="4103" max="4103" width="15.109375" style="298" bestFit="1" customWidth="1"/>
    <col min="4104" max="4352" width="8.88671875" style="298"/>
    <col min="4353" max="4353" width="6.109375" style="298" customWidth="1"/>
    <col min="4354" max="4356" width="11.77734375" style="298" customWidth="1"/>
    <col min="4357" max="4358" width="9.88671875" style="298" customWidth="1"/>
    <col min="4359" max="4359" width="15.109375" style="298" bestFit="1" customWidth="1"/>
    <col min="4360" max="4608" width="8.88671875" style="298"/>
    <col min="4609" max="4609" width="6.109375" style="298" customWidth="1"/>
    <col min="4610" max="4612" width="11.77734375" style="298" customWidth="1"/>
    <col min="4613" max="4614" width="9.88671875" style="298" customWidth="1"/>
    <col min="4615" max="4615" width="15.109375" style="298" bestFit="1" customWidth="1"/>
    <col min="4616" max="4864" width="8.88671875" style="298"/>
    <col min="4865" max="4865" width="6.109375" style="298" customWidth="1"/>
    <col min="4866" max="4868" width="11.77734375" style="298" customWidth="1"/>
    <col min="4869" max="4870" width="9.88671875" style="298" customWidth="1"/>
    <col min="4871" max="4871" width="15.109375" style="298" bestFit="1" customWidth="1"/>
    <col min="4872" max="5120" width="8.88671875" style="298"/>
    <col min="5121" max="5121" width="6.109375" style="298" customWidth="1"/>
    <col min="5122" max="5124" width="11.77734375" style="298" customWidth="1"/>
    <col min="5125" max="5126" width="9.88671875" style="298" customWidth="1"/>
    <col min="5127" max="5127" width="15.109375" style="298" bestFit="1" customWidth="1"/>
    <col min="5128" max="5376" width="8.88671875" style="298"/>
    <col min="5377" max="5377" width="6.109375" style="298" customWidth="1"/>
    <col min="5378" max="5380" width="11.77734375" style="298" customWidth="1"/>
    <col min="5381" max="5382" width="9.88671875" style="298" customWidth="1"/>
    <col min="5383" max="5383" width="15.109375" style="298" bestFit="1" customWidth="1"/>
    <col min="5384" max="5632" width="8.88671875" style="298"/>
    <col min="5633" max="5633" width="6.109375" style="298" customWidth="1"/>
    <col min="5634" max="5636" width="11.77734375" style="298" customWidth="1"/>
    <col min="5637" max="5638" width="9.88671875" style="298" customWidth="1"/>
    <col min="5639" max="5639" width="15.109375" style="298" bestFit="1" customWidth="1"/>
    <col min="5640" max="5888" width="8.88671875" style="298"/>
    <col min="5889" max="5889" width="6.109375" style="298" customWidth="1"/>
    <col min="5890" max="5892" width="11.77734375" style="298" customWidth="1"/>
    <col min="5893" max="5894" width="9.88671875" style="298" customWidth="1"/>
    <col min="5895" max="5895" width="15.109375" style="298" bestFit="1" customWidth="1"/>
    <col min="5896" max="6144" width="8.88671875" style="298"/>
    <col min="6145" max="6145" width="6.109375" style="298" customWidth="1"/>
    <col min="6146" max="6148" width="11.77734375" style="298" customWidth="1"/>
    <col min="6149" max="6150" width="9.88671875" style="298" customWidth="1"/>
    <col min="6151" max="6151" width="15.109375" style="298" bestFit="1" customWidth="1"/>
    <col min="6152" max="6400" width="8.88671875" style="298"/>
    <col min="6401" max="6401" width="6.109375" style="298" customWidth="1"/>
    <col min="6402" max="6404" width="11.77734375" style="298" customWidth="1"/>
    <col min="6405" max="6406" width="9.88671875" style="298" customWidth="1"/>
    <col min="6407" max="6407" width="15.109375" style="298" bestFit="1" customWidth="1"/>
    <col min="6408" max="6656" width="8.88671875" style="298"/>
    <col min="6657" max="6657" width="6.109375" style="298" customWidth="1"/>
    <col min="6658" max="6660" width="11.77734375" style="298" customWidth="1"/>
    <col min="6661" max="6662" width="9.88671875" style="298" customWidth="1"/>
    <col min="6663" max="6663" width="15.109375" style="298" bestFit="1" customWidth="1"/>
    <col min="6664" max="6912" width="8.88671875" style="298"/>
    <col min="6913" max="6913" width="6.109375" style="298" customWidth="1"/>
    <col min="6914" max="6916" width="11.77734375" style="298" customWidth="1"/>
    <col min="6917" max="6918" width="9.88671875" style="298" customWidth="1"/>
    <col min="6919" max="6919" width="15.109375" style="298" bestFit="1" customWidth="1"/>
    <col min="6920" max="7168" width="8.88671875" style="298"/>
    <col min="7169" max="7169" width="6.109375" style="298" customWidth="1"/>
    <col min="7170" max="7172" width="11.77734375" style="298" customWidth="1"/>
    <col min="7173" max="7174" width="9.88671875" style="298" customWidth="1"/>
    <col min="7175" max="7175" width="15.109375" style="298" bestFit="1" customWidth="1"/>
    <col min="7176" max="7424" width="8.88671875" style="298"/>
    <col min="7425" max="7425" width="6.109375" style="298" customWidth="1"/>
    <col min="7426" max="7428" width="11.77734375" style="298" customWidth="1"/>
    <col min="7429" max="7430" width="9.88671875" style="298" customWidth="1"/>
    <col min="7431" max="7431" width="15.109375" style="298" bestFit="1" customWidth="1"/>
    <col min="7432" max="7680" width="8.88671875" style="298"/>
    <col min="7681" max="7681" width="6.109375" style="298" customWidth="1"/>
    <col min="7682" max="7684" width="11.77734375" style="298" customWidth="1"/>
    <col min="7685" max="7686" width="9.88671875" style="298" customWidth="1"/>
    <col min="7687" max="7687" width="15.109375" style="298" bestFit="1" customWidth="1"/>
    <col min="7688" max="7936" width="8.88671875" style="298"/>
    <col min="7937" max="7937" width="6.109375" style="298" customWidth="1"/>
    <col min="7938" max="7940" width="11.77734375" style="298" customWidth="1"/>
    <col min="7941" max="7942" width="9.88671875" style="298" customWidth="1"/>
    <col min="7943" max="7943" width="15.109375" style="298" bestFit="1" customWidth="1"/>
    <col min="7944" max="8192" width="8.88671875" style="298"/>
    <col min="8193" max="8193" width="6.109375" style="298" customWidth="1"/>
    <col min="8194" max="8196" width="11.77734375" style="298" customWidth="1"/>
    <col min="8197" max="8198" width="9.88671875" style="298" customWidth="1"/>
    <col min="8199" max="8199" width="15.109375" style="298" bestFit="1" customWidth="1"/>
    <col min="8200" max="8448" width="8.88671875" style="298"/>
    <col min="8449" max="8449" width="6.109375" style="298" customWidth="1"/>
    <col min="8450" max="8452" width="11.77734375" style="298" customWidth="1"/>
    <col min="8453" max="8454" width="9.88671875" style="298" customWidth="1"/>
    <col min="8455" max="8455" width="15.109375" style="298" bestFit="1" customWidth="1"/>
    <col min="8456" max="8704" width="8.88671875" style="298"/>
    <col min="8705" max="8705" width="6.109375" style="298" customWidth="1"/>
    <col min="8706" max="8708" width="11.77734375" style="298" customWidth="1"/>
    <col min="8709" max="8710" width="9.88671875" style="298" customWidth="1"/>
    <col min="8711" max="8711" width="15.109375" style="298" bestFit="1" customWidth="1"/>
    <col min="8712" max="8960" width="8.88671875" style="298"/>
    <col min="8961" max="8961" width="6.109375" style="298" customWidth="1"/>
    <col min="8962" max="8964" width="11.77734375" style="298" customWidth="1"/>
    <col min="8965" max="8966" width="9.88671875" style="298" customWidth="1"/>
    <col min="8967" max="8967" width="15.109375" style="298" bestFit="1" customWidth="1"/>
    <col min="8968" max="9216" width="8.88671875" style="298"/>
    <col min="9217" max="9217" width="6.109375" style="298" customWidth="1"/>
    <col min="9218" max="9220" width="11.77734375" style="298" customWidth="1"/>
    <col min="9221" max="9222" width="9.88671875" style="298" customWidth="1"/>
    <col min="9223" max="9223" width="15.109375" style="298" bestFit="1" customWidth="1"/>
    <col min="9224" max="9472" width="8.88671875" style="298"/>
    <col min="9473" max="9473" width="6.109375" style="298" customWidth="1"/>
    <col min="9474" max="9476" width="11.77734375" style="298" customWidth="1"/>
    <col min="9477" max="9478" width="9.88671875" style="298" customWidth="1"/>
    <col min="9479" max="9479" width="15.109375" style="298" bestFit="1" customWidth="1"/>
    <col min="9480" max="9728" width="8.88671875" style="298"/>
    <col min="9729" max="9729" width="6.109375" style="298" customWidth="1"/>
    <col min="9730" max="9732" width="11.77734375" style="298" customWidth="1"/>
    <col min="9733" max="9734" width="9.88671875" style="298" customWidth="1"/>
    <col min="9735" max="9735" width="15.109375" style="298" bestFit="1" customWidth="1"/>
    <col min="9736" max="9984" width="8.88671875" style="298"/>
    <col min="9985" max="9985" width="6.109375" style="298" customWidth="1"/>
    <col min="9986" max="9988" width="11.77734375" style="298" customWidth="1"/>
    <col min="9989" max="9990" width="9.88671875" style="298" customWidth="1"/>
    <col min="9991" max="9991" width="15.109375" style="298" bestFit="1" customWidth="1"/>
    <col min="9992" max="10240" width="8.88671875" style="298"/>
    <col min="10241" max="10241" width="6.109375" style="298" customWidth="1"/>
    <col min="10242" max="10244" width="11.77734375" style="298" customWidth="1"/>
    <col min="10245" max="10246" width="9.88671875" style="298" customWidth="1"/>
    <col min="10247" max="10247" width="15.109375" style="298" bestFit="1" customWidth="1"/>
    <col min="10248" max="10496" width="8.88671875" style="298"/>
    <col min="10497" max="10497" width="6.109375" style="298" customWidth="1"/>
    <col min="10498" max="10500" width="11.77734375" style="298" customWidth="1"/>
    <col min="10501" max="10502" width="9.88671875" style="298" customWidth="1"/>
    <col min="10503" max="10503" width="15.109375" style="298" bestFit="1" customWidth="1"/>
    <col min="10504" max="10752" width="8.88671875" style="298"/>
    <col min="10753" max="10753" width="6.109375" style="298" customWidth="1"/>
    <col min="10754" max="10756" width="11.77734375" style="298" customWidth="1"/>
    <col min="10757" max="10758" width="9.88671875" style="298" customWidth="1"/>
    <col min="10759" max="10759" width="15.109375" style="298" bestFit="1" customWidth="1"/>
    <col min="10760" max="11008" width="8.88671875" style="298"/>
    <col min="11009" max="11009" width="6.109375" style="298" customWidth="1"/>
    <col min="11010" max="11012" width="11.77734375" style="298" customWidth="1"/>
    <col min="11013" max="11014" width="9.88671875" style="298" customWidth="1"/>
    <col min="11015" max="11015" width="15.109375" style="298" bestFit="1" customWidth="1"/>
    <col min="11016" max="11264" width="8.88671875" style="298"/>
    <col min="11265" max="11265" width="6.109375" style="298" customWidth="1"/>
    <col min="11266" max="11268" width="11.77734375" style="298" customWidth="1"/>
    <col min="11269" max="11270" width="9.88671875" style="298" customWidth="1"/>
    <col min="11271" max="11271" width="15.109375" style="298" bestFit="1" customWidth="1"/>
    <col min="11272" max="11520" width="8.88671875" style="298"/>
    <col min="11521" max="11521" width="6.109375" style="298" customWidth="1"/>
    <col min="11522" max="11524" width="11.77734375" style="298" customWidth="1"/>
    <col min="11525" max="11526" width="9.88671875" style="298" customWidth="1"/>
    <col min="11527" max="11527" width="15.109375" style="298" bestFit="1" customWidth="1"/>
    <col min="11528" max="11776" width="8.88671875" style="298"/>
    <col min="11777" max="11777" width="6.109375" style="298" customWidth="1"/>
    <col min="11778" max="11780" width="11.77734375" style="298" customWidth="1"/>
    <col min="11781" max="11782" width="9.88671875" style="298" customWidth="1"/>
    <col min="11783" max="11783" width="15.109375" style="298" bestFit="1" customWidth="1"/>
    <col min="11784" max="12032" width="8.88671875" style="298"/>
    <col min="12033" max="12033" width="6.109375" style="298" customWidth="1"/>
    <col min="12034" max="12036" width="11.77734375" style="298" customWidth="1"/>
    <col min="12037" max="12038" width="9.88671875" style="298" customWidth="1"/>
    <col min="12039" max="12039" width="15.109375" style="298" bestFit="1" customWidth="1"/>
    <col min="12040" max="12288" width="8.88671875" style="298"/>
    <col min="12289" max="12289" width="6.109375" style="298" customWidth="1"/>
    <col min="12290" max="12292" width="11.77734375" style="298" customWidth="1"/>
    <col min="12293" max="12294" width="9.88671875" style="298" customWidth="1"/>
    <col min="12295" max="12295" width="15.109375" style="298" bestFit="1" customWidth="1"/>
    <col min="12296" max="12544" width="8.88671875" style="298"/>
    <col min="12545" max="12545" width="6.109375" style="298" customWidth="1"/>
    <col min="12546" max="12548" width="11.77734375" style="298" customWidth="1"/>
    <col min="12549" max="12550" width="9.88671875" style="298" customWidth="1"/>
    <col min="12551" max="12551" width="15.109375" style="298" bestFit="1" customWidth="1"/>
    <col min="12552" max="12800" width="8.88671875" style="298"/>
    <col min="12801" max="12801" width="6.109375" style="298" customWidth="1"/>
    <col min="12802" max="12804" width="11.77734375" style="298" customWidth="1"/>
    <col min="12805" max="12806" width="9.88671875" style="298" customWidth="1"/>
    <col min="12807" max="12807" width="15.109375" style="298" bestFit="1" customWidth="1"/>
    <col min="12808" max="13056" width="8.88671875" style="298"/>
    <col min="13057" max="13057" width="6.109375" style="298" customWidth="1"/>
    <col min="13058" max="13060" width="11.77734375" style="298" customWidth="1"/>
    <col min="13061" max="13062" width="9.88671875" style="298" customWidth="1"/>
    <col min="13063" max="13063" width="15.109375" style="298" bestFit="1" customWidth="1"/>
    <col min="13064" max="13312" width="8.88671875" style="298"/>
    <col min="13313" max="13313" width="6.109375" style="298" customWidth="1"/>
    <col min="13314" max="13316" width="11.77734375" style="298" customWidth="1"/>
    <col min="13317" max="13318" width="9.88671875" style="298" customWidth="1"/>
    <col min="13319" max="13319" width="15.109375" style="298" bestFit="1" customWidth="1"/>
    <col min="13320" max="13568" width="8.88671875" style="298"/>
    <col min="13569" max="13569" width="6.109375" style="298" customWidth="1"/>
    <col min="13570" max="13572" width="11.77734375" style="298" customWidth="1"/>
    <col min="13573" max="13574" width="9.88671875" style="298" customWidth="1"/>
    <col min="13575" max="13575" width="15.109375" style="298" bestFit="1" customWidth="1"/>
    <col min="13576" max="13824" width="8.88671875" style="298"/>
    <col min="13825" max="13825" width="6.109375" style="298" customWidth="1"/>
    <col min="13826" max="13828" width="11.77734375" style="298" customWidth="1"/>
    <col min="13829" max="13830" width="9.88671875" style="298" customWidth="1"/>
    <col min="13831" max="13831" width="15.109375" style="298" bestFit="1" customWidth="1"/>
    <col min="13832" max="14080" width="8.88671875" style="298"/>
    <col min="14081" max="14081" width="6.109375" style="298" customWidth="1"/>
    <col min="14082" max="14084" width="11.77734375" style="298" customWidth="1"/>
    <col min="14085" max="14086" width="9.88671875" style="298" customWidth="1"/>
    <col min="14087" max="14087" width="15.109375" style="298" bestFit="1" customWidth="1"/>
    <col min="14088" max="14336" width="8.88671875" style="298"/>
    <col min="14337" max="14337" width="6.109375" style="298" customWidth="1"/>
    <col min="14338" max="14340" width="11.77734375" style="298" customWidth="1"/>
    <col min="14341" max="14342" width="9.88671875" style="298" customWidth="1"/>
    <col min="14343" max="14343" width="15.109375" style="298" bestFit="1" customWidth="1"/>
    <col min="14344" max="14592" width="8.88671875" style="298"/>
    <col min="14593" max="14593" width="6.109375" style="298" customWidth="1"/>
    <col min="14594" max="14596" width="11.77734375" style="298" customWidth="1"/>
    <col min="14597" max="14598" width="9.88671875" style="298" customWidth="1"/>
    <col min="14599" max="14599" width="15.109375" style="298" bestFit="1" customWidth="1"/>
    <col min="14600" max="14848" width="8.88671875" style="298"/>
    <col min="14849" max="14849" width="6.109375" style="298" customWidth="1"/>
    <col min="14850" max="14852" width="11.77734375" style="298" customWidth="1"/>
    <col min="14853" max="14854" width="9.88671875" style="298" customWidth="1"/>
    <col min="14855" max="14855" width="15.109375" style="298" bestFit="1" customWidth="1"/>
    <col min="14856" max="15104" width="8.88671875" style="298"/>
    <col min="15105" max="15105" width="6.109375" style="298" customWidth="1"/>
    <col min="15106" max="15108" width="11.77734375" style="298" customWidth="1"/>
    <col min="15109" max="15110" width="9.88671875" style="298" customWidth="1"/>
    <col min="15111" max="15111" width="15.109375" style="298" bestFit="1" customWidth="1"/>
    <col min="15112" max="15360" width="8.88671875" style="298"/>
    <col min="15361" max="15361" width="6.109375" style="298" customWidth="1"/>
    <col min="15362" max="15364" width="11.77734375" style="298" customWidth="1"/>
    <col min="15365" max="15366" width="9.88671875" style="298" customWidth="1"/>
    <col min="15367" max="15367" width="15.109375" style="298" bestFit="1" customWidth="1"/>
    <col min="15368" max="15616" width="8.88671875" style="298"/>
    <col min="15617" max="15617" width="6.109375" style="298" customWidth="1"/>
    <col min="15618" max="15620" width="11.77734375" style="298" customWidth="1"/>
    <col min="15621" max="15622" width="9.88671875" style="298" customWidth="1"/>
    <col min="15623" max="15623" width="15.109375" style="298" bestFit="1" customWidth="1"/>
    <col min="15624" max="15872" width="8.88671875" style="298"/>
    <col min="15873" max="15873" width="6.109375" style="298" customWidth="1"/>
    <col min="15874" max="15876" width="11.77734375" style="298" customWidth="1"/>
    <col min="15877" max="15878" width="9.88671875" style="298" customWidth="1"/>
    <col min="15879" max="15879" width="15.109375" style="298" bestFit="1" customWidth="1"/>
    <col min="15880" max="16128" width="8.88671875" style="298"/>
    <col min="16129" max="16129" width="6.109375" style="298" customWidth="1"/>
    <col min="16130" max="16132" width="11.77734375" style="298" customWidth="1"/>
    <col min="16133" max="16134" width="9.88671875" style="298" customWidth="1"/>
    <col min="16135" max="16135" width="15.109375" style="298" bestFit="1" customWidth="1"/>
    <col min="16136" max="16384" width="8.88671875" style="298"/>
  </cols>
  <sheetData>
    <row r="1" spans="1:11">
      <c r="A1" s="854" t="s">
        <v>588</v>
      </c>
      <c r="B1" s="854"/>
      <c r="C1" s="854"/>
      <c r="D1" s="854"/>
      <c r="E1" s="854"/>
      <c r="F1" s="854"/>
      <c r="G1" s="311"/>
    </row>
    <row r="2" spans="1:11">
      <c r="A2" s="854" t="s">
        <v>221</v>
      </c>
      <c r="B2" s="854"/>
      <c r="C2" s="854"/>
      <c r="D2" s="854"/>
      <c r="E2" s="854"/>
      <c r="F2" s="854"/>
      <c r="G2" s="311"/>
    </row>
    <row r="3" spans="1:11">
      <c r="A3" s="855" t="str">
        <f>'Act Att-H'!C7</f>
        <v>Cheyenne Light, Fuel &amp; Power</v>
      </c>
      <c r="B3" s="855"/>
      <c r="C3" s="855"/>
      <c r="D3" s="855"/>
      <c r="E3" s="855"/>
      <c r="F3" s="855"/>
      <c r="G3" s="311"/>
    </row>
    <row r="4" spans="1:11" s="299" customFormat="1">
      <c r="F4" s="300" t="s">
        <v>748</v>
      </c>
    </row>
    <row r="5" spans="1:11">
      <c r="A5" s="560"/>
      <c r="B5" s="560"/>
      <c r="C5" s="560"/>
      <c r="D5" s="560"/>
      <c r="E5" s="560"/>
      <c r="F5" s="560"/>
      <c r="G5" s="560"/>
      <c r="H5" s="302"/>
    </row>
    <row r="6" spans="1:11">
      <c r="G6" s="301"/>
    </row>
    <row r="7" spans="1:11">
      <c r="A7" s="558"/>
      <c r="B7" s="558"/>
      <c r="C7" s="559"/>
      <c r="D7" s="559" t="s">
        <v>871</v>
      </c>
      <c r="E7" s="559" t="s">
        <v>872</v>
      </c>
      <c r="F7" s="559" t="s">
        <v>869</v>
      </c>
      <c r="G7" s="33"/>
    </row>
    <row r="8" spans="1:11">
      <c r="B8" s="558"/>
      <c r="C8" s="559"/>
      <c r="D8" s="559" t="s">
        <v>876</v>
      </c>
      <c r="E8" s="559" t="s">
        <v>877</v>
      </c>
      <c r="F8" s="305"/>
      <c r="G8" s="33"/>
    </row>
    <row r="9" spans="1:11">
      <c r="A9" s="586" t="s">
        <v>4</v>
      </c>
      <c r="B9" s="561" t="s">
        <v>531</v>
      </c>
      <c r="C9" s="561" t="s">
        <v>870</v>
      </c>
      <c r="D9" s="562">
        <v>43070</v>
      </c>
      <c r="E9" s="562">
        <v>43435</v>
      </c>
      <c r="F9" s="509"/>
      <c r="G9" s="33"/>
    </row>
    <row r="10" spans="1:11" ht="13.5" thickBot="1">
      <c r="A10" s="564" t="s">
        <v>6</v>
      </c>
      <c r="B10" s="563" t="s">
        <v>174</v>
      </c>
      <c r="C10" s="563" t="s">
        <v>175</v>
      </c>
      <c r="D10" s="563" t="s">
        <v>176</v>
      </c>
      <c r="E10" s="563" t="s">
        <v>177</v>
      </c>
      <c r="F10" s="563" t="s">
        <v>178</v>
      </c>
      <c r="G10" s="33"/>
    </row>
    <row r="11" spans="1:11">
      <c r="A11" s="303">
        <v>1</v>
      </c>
      <c r="G11" s="33"/>
      <c r="K11" s="802"/>
    </row>
    <row r="12" spans="1:11" ht="15" customHeight="1">
      <c r="A12" s="303">
        <f t="shared" ref="A12:A15" si="0">+A11+1</f>
        <v>2</v>
      </c>
      <c r="B12" s="554" t="s">
        <v>142</v>
      </c>
      <c r="C12" s="556" t="s">
        <v>882</v>
      </c>
      <c r="D12" s="557">
        <v>0</v>
      </c>
      <c r="E12" s="557">
        <v>0</v>
      </c>
      <c r="F12" s="553">
        <f>(D12+E12)/2</f>
        <v>0</v>
      </c>
      <c r="G12" s="33"/>
      <c r="K12" s="802"/>
    </row>
    <row r="13" spans="1:11" ht="15" customHeight="1">
      <c r="A13" s="303">
        <f t="shared" si="0"/>
        <v>3</v>
      </c>
      <c r="B13" s="554" t="s">
        <v>143</v>
      </c>
      <c r="C13" s="556" t="s">
        <v>879</v>
      </c>
      <c r="D13" s="557">
        <v>-55908203</v>
      </c>
      <c r="E13" s="557">
        <v>-56750976</v>
      </c>
      <c r="F13" s="553">
        <f>(D13+E13)/2</f>
        <v>-56329589.5</v>
      </c>
      <c r="G13" s="33"/>
      <c r="I13" s="800"/>
      <c r="J13" s="801"/>
      <c r="K13" s="803"/>
    </row>
    <row r="14" spans="1:11" ht="15" customHeight="1">
      <c r="A14" s="303">
        <f t="shared" si="0"/>
        <v>4</v>
      </c>
      <c r="B14" s="554" t="s">
        <v>144</v>
      </c>
      <c r="C14" s="556" t="s">
        <v>880</v>
      </c>
      <c r="D14" s="557">
        <v>-3472664</v>
      </c>
      <c r="E14" s="557">
        <v>-3143419</v>
      </c>
      <c r="F14" s="553">
        <f>(D14+E14)/2</f>
        <v>-3308041.5</v>
      </c>
      <c r="G14" s="33"/>
      <c r="J14" s="801"/>
      <c r="K14" s="802"/>
    </row>
    <row r="15" spans="1:11" ht="15" customHeight="1">
      <c r="A15" s="303">
        <f t="shared" si="0"/>
        <v>5</v>
      </c>
      <c r="B15" s="554" t="s">
        <v>145</v>
      </c>
      <c r="C15" s="556" t="s">
        <v>881</v>
      </c>
      <c r="D15" s="557">
        <v>12059574</v>
      </c>
      <c r="E15" s="557">
        <v>12621354</v>
      </c>
      <c r="F15" s="553">
        <f>(D15+E15)/2</f>
        <v>12340464</v>
      </c>
      <c r="G15" s="33"/>
      <c r="J15" s="801"/>
      <c r="K15" s="803"/>
    </row>
    <row r="16" spans="1:11">
      <c r="A16" s="303"/>
      <c r="J16" s="801"/>
      <c r="K16" s="802"/>
    </row>
    <row r="17" spans="1:11">
      <c r="A17" s="303"/>
      <c r="B17" s="555"/>
      <c r="C17" s="278"/>
      <c r="D17" s="70"/>
      <c r="E17" s="70"/>
      <c r="F17" s="70"/>
      <c r="J17" s="801"/>
      <c r="K17" s="803"/>
    </row>
    <row r="18" spans="1:11">
      <c r="A18" s="508" t="s">
        <v>222</v>
      </c>
      <c r="K18" s="802"/>
    </row>
    <row r="19" spans="1:11" ht="15.95" customHeight="1">
      <c r="A19" s="565" t="s">
        <v>84</v>
      </c>
      <c r="B19" s="858" t="s">
        <v>874</v>
      </c>
      <c r="C19" s="858"/>
      <c r="D19" s="858"/>
      <c r="E19" s="858"/>
      <c r="F19" s="858"/>
      <c r="J19" s="801"/>
      <c r="K19" s="802"/>
    </row>
    <row r="20" spans="1:11" ht="15.95" customHeight="1">
      <c r="A20" s="565" t="s">
        <v>85</v>
      </c>
      <c r="B20" s="858" t="s">
        <v>873</v>
      </c>
      <c r="C20" s="858"/>
      <c r="D20" s="858"/>
      <c r="E20" s="858"/>
      <c r="F20" s="858"/>
    </row>
    <row r="21" spans="1:11" ht="27.75" customHeight="1">
      <c r="A21" s="551" t="s">
        <v>86</v>
      </c>
      <c r="B21" s="859" t="s">
        <v>875</v>
      </c>
      <c r="C21" s="859"/>
      <c r="D21" s="859"/>
      <c r="E21" s="859"/>
      <c r="F21" s="859"/>
    </row>
    <row r="22" spans="1:11">
      <c r="A22" s="551"/>
      <c r="C22" s="304"/>
      <c r="D22" s="304"/>
    </row>
    <row r="23" spans="1:11">
      <c r="A23" s="551"/>
      <c r="C23" s="304"/>
      <c r="D23" s="304"/>
    </row>
    <row r="24" spans="1:11">
      <c r="A24" s="276"/>
      <c r="C24" s="304"/>
      <c r="D24" s="304"/>
    </row>
    <row r="25" spans="1:11">
      <c r="A25" s="276"/>
      <c r="C25" s="304"/>
      <c r="D25" s="304"/>
    </row>
    <row r="26" spans="1:11">
      <c r="A26" s="276"/>
      <c r="C26" s="304"/>
      <c r="D26" s="304"/>
    </row>
    <row r="27" spans="1:11">
      <c r="A27" s="33"/>
      <c r="C27" s="304"/>
      <c r="D27" s="304"/>
    </row>
    <row r="28" spans="1:11">
      <c r="A28" s="276"/>
      <c r="C28" s="304"/>
      <c r="D28" s="304"/>
    </row>
    <row r="29" spans="1:11">
      <c r="A29" s="276"/>
      <c r="C29" s="304"/>
      <c r="D29" s="304"/>
    </row>
    <row r="30" spans="1:11">
      <c r="A30" s="276"/>
      <c r="C30" s="304"/>
      <c r="D30" s="304"/>
    </row>
    <row r="31" spans="1:11">
      <c r="A31" s="276"/>
      <c r="C31" s="304"/>
      <c r="D31" s="304"/>
    </row>
    <row r="32" spans="1:11">
      <c r="C32" s="304"/>
      <c r="D32" s="304"/>
    </row>
    <row r="36" ht="15" customHeight="1"/>
    <row r="40" ht="15" customHeight="1"/>
    <row r="48" ht="15" customHeight="1"/>
    <row r="51" spans="2:7" ht="15" customHeight="1"/>
    <row r="61" spans="2:7" ht="12.75" customHeight="1">
      <c r="B61" s="830"/>
      <c r="C61" s="830"/>
      <c r="D61" s="830"/>
      <c r="E61" s="830"/>
      <c r="F61" s="830"/>
      <c r="G61" s="830"/>
    </row>
    <row r="62" spans="2:7">
      <c r="B62" s="830"/>
      <c r="C62" s="830"/>
      <c r="D62" s="830"/>
      <c r="E62" s="830"/>
      <c r="F62" s="830"/>
      <c r="G62" s="830"/>
    </row>
    <row r="63" spans="2:7">
      <c r="B63" s="830"/>
      <c r="C63" s="830"/>
      <c r="D63" s="830"/>
      <c r="E63" s="830"/>
      <c r="F63" s="830"/>
      <c r="G63" s="830"/>
    </row>
    <row r="64" spans="2:7">
      <c r="B64" s="830"/>
      <c r="C64" s="830"/>
      <c r="D64" s="830"/>
      <c r="E64" s="830"/>
      <c r="F64" s="830"/>
      <c r="G64" s="830"/>
    </row>
    <row r="65" spans="2:7">
      <c r="B65" s="830"/>
      <c r="C65" s="830"/>
      <c r="D65" s="830"/>
      <c r="E65" s="830"/>
      <c r="F65" s="830"/>
      <c r="G65" s="830"/>
    </row>
    <row r="66" spans="2:7" ht="12.75" customHeight="1">
      <c r="B66" s="830"/>
      <c r="C66" s="830"/>
      <c r="D66" s="830"/>
      <c r="E66" s="830"/>
      <c r="F66" s="830"/>
      <c r="G66" s="830"/>
    </row>
    <row r="67" spans="2:7" ht="12.75" customHeight="1">
      <c r="B67" s="830"/>
      <c r="C67" s="830"/>
      <c r="D67" s="830"/>
      <c r="E67" s="830"/>
      <c r="F67" s="830"/>
      <c r="G67" s="830"/>
    </row>
    <row r="68" spans="2:7" ht="12.75" customHeight="1">
      <c r="B68" s="830"/>
      <c r="C68" s="830"/>
      <c r="D68" s="830"/>
      <c r="E68" s="830"/>
      <c r="F68" s="830"/>
      <c r="G68" s="830"/>
    </row>
    <row r="69" spans="2:7">
      <c r="B69" s="857"/>
      <c r="C69" s="857"/>
      <c r="D69" s="857"/>
      <c r="E69" s="857"/>
      <c r="F69" s="857"/>
      <c r="G69" s="857"/>
    </row>
    <row r="70" spans="2:7">
      <c r="B70" s="857"/>
      <c r="C70" s="857"/>
      <c r="D70" s="857"/>
      <c r="E70" s="857"/>
      <c r="F70" s="857"/>
      <c r="G70" s="857"/>
    </row>
    <row r="71" spans="2:7">
      <c r="B71" s="857"/>
      <c r="C71" s="857"/>
      <c r="D71" s="857"/>
      <c r="E71" s="857"/>
      <c r="F71" s="857"/>
      <c r="G71" s="857"/>
    </row>
    <row r="72" spans="2:7">
      <c r="B72" s="857"/>
      <c r="C72" s="857"/>
      <c r="D72" s="857"/>
      <c r="E72" s="857"/>
      <c r="F72" s="857"/>
      <c r="G72" s="857"/>
    </row>
    <row r="73" spans="2:7">
      <c r="B73" s="857"/>
      <c r="C73" s="857"/>
      <c r="D73" s="857"/>
      <c r="E73" s="857"/>
      <c r="F73" s="857"/>
      <c r="G73" s="857"/>
    </row>
  </sheetData>
  <mergeCells count="15">
    <mergeCell ref="A1:F1"/>
    <mergeCell ref="A2:F2"/>
    <mergeCell ref="A3:F3"/>
    <mergeCell ref="B61:G65"/>
    <mergeCell ref="B71:G71"/>
    <mergeCell ref="B19:F19"/>
    <mergeCell ref="B20:F20"/>
    <mergeCell ref="B21:F21"/>
    <mergeCell ref="B66:G66"/>
    <mergeCell ref="B72:G72"/>
    <mergeCell ref="B73:G73"/>
    <mergeCell ref="B69:G69"/>
    <mergeCell ref="B67:G67"/>
    <mergeCell ref="B68:G68"/>
    <mergeCell ref="B70:G70"/>
  </mergeCells>
  <pageMargins left="0.75" right="0.75" top="1" bottom="1" header="0.5" footer="0.5"/>
  <pageSetup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96"/>
  <sheetViews>
    <sheetView topLeftCell="A7" zoomScale="75" zoomScaleNormal="75" workbookViewId="0">
      <selection activeCell="D22" sqref="D22"/>
    </sheetView>
  </sheetViews>
  <sheetFormatPr defaultColWidth="8.88671875" defaultRowHeight="12.75"/>
  <cols>
    <col min="1" max="1" width="5.88671875" style="1" customWidth="1"/>
    <col min="2" max="2" width="29" style="2" bestFit="1" customWidth="1"/>
    <col min="3" max="3" width="13.109375" style="2" customWidth="1"/>
    <col min="4" max="4" width="14.6640625" style="2" customWidth="1"/>
    <col min="5" max="5" width="16.6640625" style="2" customWidth="1"/>
    <col min="6" max="6" width="16.77734375" style="2" customWidth="1"/>
    <col min="7" max="7" width="17.44140625" style="2" customWidth="1"/>
    <col min="8" max="8" width="17.6640625" style="2" customWidth="1"/>
    <col min="9" max="9" width="15" style="2" customWidth="1"/>
    <col min="10" max="10" width="11.77734375" style="2" customWidth="1"/>
    <col min="11" max="11" width="14.33203125" style="2" customWidth="1"/>
    <col min="12" max="12" width="12.33203125" style="2" customWidth="1"/>
    <col min="13" max="13" width="15.5546875" style="2" customWidth="1"/>
    <col min="14" max="14" width="13.77734375" style="2" customWidth="1"/>
    <col min="15" max="15" width="10.33203125" style="2" customWidth="1"/>
    <col min="16" max="16" width="10.88671875" style="2" customWidth="1"/>
    <col min="17" max="16384" width="8.88671875" style="2"/>
  </cols>
  <sheetData>
    <row r="1" spans="1:12">
      <c r="C1" s="3"/>
      <c r="E1" s="588" t="s">
        <v>589</v>
      </c>
      <c r="F1" s="3"/>
      <c r="H1" s="3"/>
      <c r="I1" s="3"/>
      <c r="J1" s="3"/>
    </row>
    <row r="2" spans="1:12">
      <c r="A2" s="5"/>
      <c r="C2" s="6"/>
      <c r="D2" s="6"/>
      <c r="E2" s="589" t="s">
        <v>398</v>
      </c>
      <c r="F2" s="6"/>
      <c r="H2" s="6"/>
      <c r="I2" s="6"/>
      <c r="J2" s="6"/>
      <c r="K2" s="7"/>
      <c r="L2" s="8"/>
    </row>
    <row r="3" spans="1:12">
      <c r="A3" s="5"/>
      <c r="C3" s="6"/>
      <c r="D3" s="6"/>
      <c r="E3" s="590" t="str">
        <f>'Act Att-H'!C7</f>
        <v>Cheyenne Light, Fuel &amp; Power</v>
      </c>
      <c r="F3" s="6"/>
      <c r="H3" s="6"/>
      <c r="I3" s="255" t="s">
        <v>345</v>
      </c>
      <c r="J3" s="6"/>
      <c r="K3" s="7"/>
    </row>
    <row r="4" spans="1:12">
      <c r="A4" s="5"/>
      <c r="C4" s="6"/>
      <c r="D4" s="6"/>
      <c r="E4" s="6"/>
      <c r="F4" s="6"/>
      <c r="G4" s="6"/>
      <c r="H4" s="6"/>
      <c r="I4" s="6"/>
    </row>
    <row r="5" spans="1:12" ht="15" customHeight="1">
      <c r="A5" s="5"/>
      <c r="B5" s="10"/>
      <c r="C5" s="862" t="s">
        <v>399</v>
      </c>
      <c r="D5" s="863"/>
      <c r="E5" s="863"/>
      <c r="F5" s="863"/>
      <c r="G5" s="864"/>
      <c r="H5" s="11" t="s">
        <v>346</v>
      </c>
      <c r="I5" s="11" t="s">
        <v>347</v>
      </c>
    </row>
    <row r="6" spans="1:12">
      <c r="A6" s="5"/>
      <c r="B6" s="10"/>
      <c r="C6" s="7"/>
      <c r="D6" s="7"/>
      <c r="E6" s="7"/>
      <c r="F6" s="7"/>
      <c r="G6" s="7"/>
      <c r="H6" s="7"/>
      <c r="I6" s="7"/>
    </row>
    <row r="7" spans="1:12" s="16" customFormat="1" ht="42" customHeight="1">
      <c r="A7" s="12" t="s">
        <v>349</v>
      </c>
      <c r="B7" s="13" t="s">
        <v>294</v>
      </c>
      <c r="C7" s="14" t="s">
        <v>350</v>
      </c>
      <c r="D7" s="14" t="s">
        <v>21</v>
      </c>
      <c r="E7" s="14" t="s">
        <v>351</v>
      </c>
      <c r="F7" s="14" t="s">
        <v>352</v>
      </c>
      <c r="G7" s="15" t="s">
        <v>353</v>
      </c>
      <c r="H7" s="14" t="s">
        <v>354</v>
      </c>
      <c r="I7" s="14" t="s">
        <v>355</v>
      </c>
    </row>
    <row r="8" spans="1:12" s="20" customFormat="1">
      <c r="A8" s="5"/>
      <c r="B8" s="17" t="s">
        <v>174</v>
      </c>
      <c r="C8" s="17" t="s">
        <v>175</v>
      </c>
      <c r="D8" s="17" t="s">
        <v>176</v>
      </c>
      <c r="E8" s="13" t="s">
        <v>177</v>
      </c>
      <c r="F8" s="13" t="s">
        <v>178</v>
      </c>
      <c r="G8" s="13" t="s">
        <v>179</v>
      </c>
      <c r="H8" s="13" t="s">
        <v>180</v>
      </c>
      <c r="I8" s="18" t="s">
        <v>181</v>
      </c>
    </row>
    <row r="9" spans="1:12" s="20" customFormat="1" ht="29.25" customHeight="1">
      <c r="A9" s="5"/>
      <c r="B9" s="21" t="s">
        <v>358</v>
      </c>
      <c r="C9" s="589" t="s">
        <v>120</v>
      </c>
      <c r="D9" s="589" t="s">
        <v>117</v>
      </c>
      <c r="E9" s="589" t="s">
        <v>118</v>
      </c>
      <c r="F9" s="14" t="s">
        <v>121</v>
      </c>
      <c r="G9" s="589">
        <v>356.1</v>
      </c>
      <c r="H9" s="589" t="s">
        <v>359</v>
      </c>
      <c r="I9" s="589" t="s">
        <v>360</v>
      </c>
    </row>
    <row r="10" spans="1:12">
      <c r="A10" s="5">
        <v>1</v>
      </c>
      <c r="B10" s="22" t="s">
        <v>363</v>
      </c>
      <c r="C10" s="23">
        <v>304389870</v>
      </c>
      <c r="D10" s="23">
        <v>41712382</v>
      </c>
      <c r="E10" s="23">
        <v>188526628</v>
      </c>
      <c r="F10" s="23">
        <f>168500+6055028</f>
        <v>6223528</v>
      </c>
      <c r="G10" s="23">
        <v>0</v>
      </c>
      <c r="H10" s="23">
        <v>0</v>
      </c>
      <c r="I10" s="23">
        <v>318000</v>
      </c>
    </row>
    <row r="11" spans="1:12">
      <c r="A11" s="5">
        <v>2</v>
      </c>
      <c r="B11" s="22" t="s">
        <v>182</v>
      </c>
      <c r="C11" s="23">
        <v>304526693.58999997</v>
      </c>
      <c r="D11" s="23">
        <v>41806481.479999997</v>
      </c>
      <c r="E11" s="23">
        <v>188707320.62000006</v>
      </c>
      <c r="F11" s="23">
        <v>6223078.7600000007</v>
      </c>
      <c r="G11" s="23">
        <v>0</v>
      </c>
      <c r="H11" s="23">
        <v>0</v>
      </c>
      <c r="I11" s="23">
        <v>318000</v>
      </c>
    </row>
    <row r="12" spans="1:12">
      <c r="A12" s="5">
        <v>3</v>
      </c>
      <c r="B12" s="3" t="s">
        <v>183</v>
      </c>
      <c r="C12" s="23">
        <v>304373319.96999997</v>
      </c>
      <c r="D12" s="23">
        <v>41710349.789999999</v>
      </c>
      <c r="E12" s="23">
        <v>188961972.57999998</v>
      </c>
      <c r="F12" s="23">
        <v>6224260.5800000001</v>
      </c>
      <c r="G12" s="23">
        <v>0</v>
      </c>
      <c r="H12" s="23">
        <v>0</v>
      </c>
      <c r="I12" s="23">
        <v>318000</v>
      </c>
    </row>
    <row r="13" spans="1:12">
      <c r="A13" s="5">
        <v>4</v>
      </c>
      <c r="B13" s="3" t="s">
        <v>364</v>
      </c>
      <c r="C13" s="23">
        <v>304276343.41999996</v>
      </c>
      <c r="D13" s="23">
        <v>41710194.699999996</v>
      </c>
      <c r="E13" s="23">
        <v>189422218.88999996</v>
      </c>
      <c r="F13" s="23">
        <v>6257911.6500000004</v>
      </c>
      <c r="G13" s="23">
        <v>0</v>
      </c>
      <c r="H13" s="23">
        <v>0</v>
      </c>
      <c r="I13" s="23">
        <v>318000</v>
      </c>
    </row>
    <row r="14" spans="1:12">
      <c r="A14" s="5">
        <v>5</v>
      </c>
      <c r="B14" s="3" t="s">
        <v>184</v>
      </c>
      <c r="C14" s="23">
        <v>304440194.76999998</v>
      </c>
      <c r="D14" s="23">
        <v>41710717.939999998</v>
      </c>
      <c r="E14" s="23">
        <v>189716286.00999999</v>
      </c>
      <c r="F14" s="23">
        <v>6279908.5600000005</v>
      </c>
      <c r="G14" s="23">
        <v>0</v>
      </c>
      <c r="H14" s="23">
        <v>0</v>
      </c>
      <c r="I14" s="23">
        <v>318000</v>
      </c>
    </row>
    <row r="15" spans="1:12">
      <c r="A15" s="5">
        <v>6</v>
      </c>
      <c r="B15" s="3" t="s">
        <v>185</v>
      </c>
      <c r="C15" s="23">
        <v>304701302.42000002</v>
      </c>
      <c r="D15" s="23">
        <v>41710717.939999998</v>
      </c>
      <c r="E15" s="23">
        <v>190301745.61999997</v>
      </c>
      <c r="F15" s="23">
        <v>6279908.5600000005</v>
      </c>
      <c r="G15" s="23">
        <v>0</v>
      </c>
      <c r="H15" s="23">
        <v>0</v>
      </c>
      <c r="I15" s="23">
        <v>318000</v>
      </c>
    </row>
    <row r="16" spans="1:12">
      <c r="A16" s="5">
        <v>7</v>
      </c>
      <c r="B16" s="3" t="s">
        <v>186</v>
      </c>
      <c r="C16" s="23">
        <v>304707021.77999997</v>
      </c>
      <c r="D16" s="23">
        <v>44840839.969999991</v>
      </c>
      <c r="E16" s="23">
        <v>187739852.90000004</v>
      </c>
      <c r="F16" s="23">
        <v>6330365.6399999987</v>
      </c>
      <c r="G16" s="23">
        <v>0</v>
      </c>
      <c r="H16" s="23">
        <v>0</v>
      </c>
      <c r="I16" s="23">
        <v>318000</v>
      </c>
    </row>
    <row r="17" spans="1:9">
      <c r="A17" s="5">
        <v>8</v>
      </c>
      <c r="B17" s="3" t="s">
        <v>187</v>
      </c>
      <c r="C17" s="23">
        <v>304713268.13999999</v>
      </c>
      <c r="D17" s="23">
        <v>46243228.839999996</v>
      </c>
      <c r="E17" s="23">
        <v>188104620.88000003</v>
      </c>
      <c r="F17" s="23">
        <v>6330878.629999998</v>
      </c>
      <c r="G17" s="23">
        <v>0</v>
      </c>
      <c r="H17" s="23">
        <v>0</v>
      </c>
      <c r="I17" s="23">
        <v>318000</v>
      </c>
    </row>
    <row r="18" spans="1:9">
      <c r="A18" s="5">
        <v>9</v>
      </c>
      <c r="B18" s="3" t="s">
        <v>365</v>
      </c>
      <c r="C18" s="23">
        <v>304737384.34000003</v>
      </c>
      <c r="D18" s="23">
        <v>46447969.409999989</v>
      </c>
      <c r="E18" s="23">
        <v>190394436.61000001</v>
      </c>
      <c r="F18" s="23">
        <v>6405100.2599999988</v>
      </c>
      <c r="G18" s="23">
        <v>0</v>
      </c>
      <c r="H18" s="23">
        <v>0</v>
      </c>
      <c r="I18" s="23">
        <v>318000</v>
      </c>
    </row>
    <row r="19" spans="1:9">
      <c r="A19" s="5">
        <v>10</v>
      </c>
      <c r="B19" s="3" t="s">
        <v>188</v>
      </c>
      <c r="C19" s="23">
        <v>305198990.56</v>
      </c>
      <c r="D19" s="23">
        <v>46702109.699999996</v>
      </c>
      <c r="E19" s="23">
        <v>190590204.99000001</v>
      </c>
      <c r="F19" s="23">
        <v>6469940.1399999987</v>
      </c>
      <c r="G19" s="23">
        <v>0</v>
      </c>
      <c r="H19" s="23">
        <v>0</v>
      </c>
      <c r="I19" s="23">
        <v>318000</v>
      </c>
    </row>
    <row r="20" spans="1:9">
      <c r="A20" s="5">
        <v>11</v>
      </c>
      <c r="B20" s="3" t="s">
        <v>189</v>
      </c>
      <c r="C20" s="23">
        <v>305294477.66999996</v>
      </c>
      <c r="D20" s="23">
        <v>47397037.019999996</v>
      </c>
      <c r="E20" s="23">
        <v>193710687.35000002</v>
      </c>
      <c r="F20" s="23">
        <v>6471883.2299999986</v>
      </c>
      <c r="G20" s="23">
        <v>0</v>
      </c>
      <c r="H20" s="23">
        <v>0</v>
      </c>
      <c r="I20" s="23">
        <v>318000</v>
      </c>
    </row>
    <row r="21" spans="1:9">
      <c r="A21" s="5">
        <v>12</v>
      </c>
      <c r="B21" s="3" t="s">
        <v>190</v>
      </c>
      <c r="C21" s="23">
        <v>305377312.68000001</v>
      </c>
      <c r="D21" s="23">
        <v>47439833.409999996</v>
      </c>
      <c r="E21" s="23">
        <v>194675830.65000004</v>
      </c>
      <c r="F21" s="23">
        <v>6477603.2999999989</v>
      </c>
      <c r="G21" s="23">
        <v>0</v>
      </c>
      <c r="H21" s="23">
        <v>0</v>
      </c>
      <c r="I21" s="23">
        <v>318000</v>
      </c>
    </row>
    <row r="22" spans="1:9">
      <c r="A22" s="5">
        <v>13</v>
      </c>
      <c r="B22" s="3" t="s">
        <v>366</v>
      </c>
      <c r="C22" s="23">
        <v>305706997.12</v>
      </c>
      <c r="D22" s="23">
        <v>47611813</v>
      </c>
      <c r="E22" s="23">
        <v>195367086</v>
      </c>
      <c r="F22" s="23">
        <v>7174826</v>
      </c>
      <c r="G22" s="23">
        <v>0</v>
      </c>
      <c r="H22" s="23">
        <v>0</v>
      </c>
      <c r="I22" s="23">
        <v>318000</v>
      </c>
    </row>
    <row r="23" spans="1:9" ht="13.5" thickBot="1">
      <c r="A23" s="5">
        <v>14</v>
      </c>
      <c r="B23" s="24" t="s">
        <v>367</v>
      </c>
      <c r="C23" s="25">
        <f>SUM(C10:C22)/13</f>
        <v>304803321.26615387</v>
      </c>
      <c r="D23" s="25">
        <f>SUM(D10:D22)/13</f>
        <v>44387975.0153846</v>
      </c>
      <c r="E23" s="25">
        <f t="shared" ref="E23:I23" si="0">SUM(E10:E22)/13</f>
        <v>190478376.23846155</v>
      </c>
      <c r="F23" s="25">
        <f t="shared" si="0"/>
        <v>6396091.7930769231</v>
      </c>
      <c r="G23" s="25">
        <f t="shared" si="0"/>
        <v>0</v>
      </c>
      <c r="H23" s="25">
        <f t="shared" si="0"/>
        <v>0</v>
      </c>
      <c r="I23" s="25">
        <f t="shared" si="0"/>
        <v>318000</v>
      </c>
    </row>
    <row r="24" spans="1:9" ht="13.5" thickTop="1">
      <c r="A24" s="5"/>
      <c r="B24" s="3"/>
      <c r="C24" s="26"/>
      <c r="D24" s="27"/>
      <c r="E24" s="27"/>
      <c r="F24" s="27"/>
      <c r="G24" s="26"/>
      <c r="H24" s="26"/>
      <c r="I24" s="26"/>
    </row>
    <row r="25" spans="1:9">
      <c r="A25" s="5"/>
      <c r="B25" s="3"/>
      <c r="C25" s="26"/>
      <c r="D25" s="27"/>
      <c r="E25" s="27"/>
      <c r="F25" s="27"/>
      <c r="G25" s="26"/>
      <c r="H25" s="26"/>
      <c r="I25" s="26"/>
    </row>
    <row r="26" spans="1:9">
      <c r="A26" s="5"/>
      <c r="B26" s="3"/>
      <c r="C26" s="26"/>
      <c r="D26" s="27"/>
      <c r="E26" s="27"/>
      <c r="F26" s="27"/>
      <c r="G26" s="26"/>
      <c r="H26" s="26"/>
      <c r="I26" s="26"/>
    </row>
    <row r="27" spans="1:9">
      <c r="A27" s="5"/>
      <c r="B27" s="3"/>
      <c r="C27" s="6"/>
      <c r="D27" s="7"/>
      <c r="E27" s="9"/>
      <c r="F27" s="9"/>
      <c r="G27" s="9"/>
      <c r="H27" s="9"/>
      <c r="I27" s="9"/>
    </row>
    <row r="28" spans="1:9">
      <c r="A28" s="5"/>
      <c r="B28" s="3"/>
      <c r="C28" s="862" t="s">
        <v>348</v>
      </c>
      <c r="D28" s="863"/>
      <c r="E28" s="865" t="s">
        <v>400</v>
      </c>
      <c r="F28" s="866"/>
      <c r="G28" s="866"/>
      <c r="H28" s="866"/>
      <c r="I28" s="867"/>
    </row>
    <row r="29" spans="1:9">
      <c r="A29" s="5"/>
      <c r="B29" s="3"/>
      <c r="C29" s="7"/>
      <c r="D29" s="7"/>
    </row>
    <row r="30" spans="1:9" ht="25.5">
      <c r="A30" s="12" t="s">
        <v>349</v>
      </c>
      <c r="B30" s="13" t="s">
        <v>294</v>
      </c>
      <c r="C30" s="14" t="s">
        <v>356</v>
      </c>
      <c r="D30" s="14" t="s">
        <v>357</v>
      </c>
      <c r="E30" s="13" t="s">
        <v>350</v>
      </c>
      <c r="F30" s="13" t="s">
        <v>21</v>
      </c>
      <c r="G30" s="13" t="s">
        <v>351</v>
      </c>
      <c r="H30" s="13" t="s">
        <v>352</v>
      </c>
      <c r="I30" s="13" t="s">
        <v>353</v>
      </c>
    </row>
    <row r="31" spans="1:9">
      <c r="A31" s="5"/>
      <c r="B31" s="17" t="s">
        <v>174</v>
      </c>
      <c r="C31" s="17" t="s">
        <v>175</v>
      </c>
      <c r="D31" s="17" t="s">
        <v>176</v>
      </c>
      <c r="E31" s="13" t="s">
        <v>177</v>
      </c>
      <c r="F31" s="13" t="s">
        <v>178</v>
      </c>
      <c r="G31" s="13" t="s">
        <v>179</v>
      </c>
      <c r="H31" s="13" t="s">
        <v>180</v>
      </c>
      <c r="I31" s="18" t="s">
        <v>181</v>
      </c>
    </row>
    <row r="32" spans="1:9" ht="27" customHeight="1">
      <c r="A32" s="5"/>
      <c r="B32" s="21" t="s">
        <v>358</v>
      </c>
      <c r="C32" s="14" t="s">
        <v>361</v>
      </c>
      <c r="D32" s="589" t="s">
        <v>116</v>
      </c>
      <c r="E32" s="589" t="s">
        <v>111</v>
      </c>
      <c r="F32" s="589" t="s">
        <v>112</v>
      </c>
      <c r="G32" s="589" t="s">
        <v>113</v>
      </c>
      <c r="H32" s="14" t="s">
        <v>362</v>
      </c>
      <c r="I32" s="589">
        <v>356.1</v>
      </c>
    </row>
    <row r="33" spans="1:9">
      <c r="A33" s="5">
        <v>15</v>
      </c>
      <c r="B33" s="22" t="s">
        <v>363</v>
      </c>
      <c r="C33" s="23">
        <f>43+874308</f>
        <v>874351</v>
      </c>
      <c r="D33" s="23">
        <v>1152199</v>
      </c>
      <c r="E33" s="23">
        <f>33909847+11074747</f>
        <v>44984594</v>
      </c>
      <c r="F33" s="23">
        <v>5011597</v>
      </c>
      <c r="G33" s="23">
        <v>59918612</v>
      </c>
      <c r="H33" s="23">
        <f>2532635+0</f>
        <v>2532635</v>
      </c>
      <c r="I33" s="23">
        <v>0</v>
      </c>
    </row>
    <row r="34" spans="1:9">
      <c r="A34" s="5">
        <v>16</v>
      </c>
      <c r="B34" s="22" t="s">
        <v>182</v>
      </c>
      <c r="C34" s="23">
        <v>866888.14999999723</v>
      </c>
      <c r="D34" s="23">
        <v>970391.27000000025</v>
      </c>
      <c r="E34" s="23">
        <v>45633582.509506524</v>
      </c>
      <c r="F34" s="23">
        <v>5065429.7237969609</v>
      </c>
      <c r="G34" s="23">
        <v>60004134.367446244</v>
      </c>
      <c r="H34" s="23">
        <v>2392031.2609212203</v>
      </c>
      <c r="I34" s="23">
        <v>0</v>
      </c>
    </row>
    <row r="35" spans="1:9">
      <c r="A35" s="5">
        <v>17</v>
      </c>
      <c r="B35" s="3" t="s">
        <v>183</v>
      </c>
      <c r="C35" s="23">
        <v>880216.10999999719</v>
      </c>
      <c r="D35" s="23">
        <v>991201.12000000023</v>
      </c>
      <c r="E35" s="23">
        <v>46059483.711475991</v>
      </c>
      <c r="F35" s="23">
        <v>5165070.5457583889</v>
      </c>
      <c r="G35" s="23">
        <v>60396302.551425025</v>
      </c>
      <c r="H35" s="23">
        <v>2421800.2767178593</v>
      </c>
      <c r="I35" s="23">
        <v>0</v>
      </c>
    </row>
    <row r="36" spans="1:9">
      <c r="A36" s="5">
        <v>18</v>
      </c>
      <c r="B36" s="3" t="s">
        <v>364</v>
      </c>
      <c r="C36" s="23">
        <v>853667.83567938348</v>
      </c>
      <c r="D36" s="23">
        <v>782926.10000000021</v>
      </c>
      <c r="E36" s="23">
        <v>46636800.30401893</v>
      </c>
      <c r="F36" s="23">
        <v>5265221.8899314282</v>
      </c>
      <c r="G36" s="23">
        <v>60808131.746236719</v>
      </c>
      <c r="H36" s="23">
        <v>2450708.9929403234</v>
      </c>
      <c r="I36" s="23">
        <v>0</v>
      </c>
    </row>
    <row r="37" spans="1:9">
      <c r="A37" s="5">
        <v>19</v>
      </c>
      <c r="B37" s="3" t="s">
        <v>184</v>
      </c>
      <c r="C37" s="23">
        <v>849001.78980421915</v>
      </c>
      <c r="D37" s="23">
        <v>921879.42000000016</v>
      </c>
      <c r="E37" s="23">
        <v>47323821.161970519</v>
      </c>
      <c r="F37" s="23">
        <v>5368205.0045350725</v>
      </c>
      <c r="G37" s="23">
        <v>61158635.550356366</v>
      </c>
      <c r="H37" s="23">
        <v>2481229.6624031761</v>
      </c>
      <c r="I37" s="23">
        <v>0</v>
      </c>
    </row>
    <row r="38" spans="1:9">
      <c r="A38" s="5">
        <v>20</v>
      </c>
      <c r="B38" s="3" t="s">
        <v>185</v>
      </c>
      <c r="C38" s="23">
        <v>770360.91254208772</v>
      </c>
      <c r="D38" s="23">
        <v>860912.86000000022</v>
      </c>
      <c r="E38" s="23">
        <v>47836589.6991366</v>
      </c>
      <c r="F38" s="23">
        <v>5467357.0661247168</v>
      </c>
      <c r="G38" s="23">
        <v>61584557.741668314</v>
      </c>
      <c r="H38" s="23">
        <v>2509771.8278379124</v>
      </c>
      <c r="I38" s="23">
        <v>0</v>
      </c>
    </row>
    <row r="39" spans="1:9">
      <c r="A39" s="5">
        <v>21</v>
      </c>
      <c r="B39" s="3" t="s">
        <v>186</v>
      </c>
      <c r="C39" s="23">
        <v>752949.87166252173</v>
      </c>
      <c r="D39" s="23">
        <v>846661.10000000021</v>
      </c>
      <c r="E39" s="23">
        <v>48497425.475990184</v>
      </c>
      <c r="F39" s="23">
        <v>5575957.6214203946</v>
      </c>
      <c r="G39" s="23">
        <v>61976460.191090636</v>
      </c>
      <c r="H39" s="23">
        <v>2539107.0806341474</v>
      </c>
      <c r="I39" s="23">
        <v>0</v>
      </c>
    </row>
    <row r="40" spans="1:9">
      <c r="A40" s="5">
        <v>22</v>
      </c>
      <c r="B40" s="3" t="s">
        <v>187</v>
      </c>
      <c r="C40" s="23">
        <v>703725.36359051184</v>
      </c>
      <c r="D40" s="23">
        <v>806863.94000000018</v>
      </c>
      <c r="E40" s="23">
        <v>49159650.917410195</v>
      </c>
      <c r="F40" s="23">
        <v>5694152.1122618364</v>
      </c>
      <c r="G40" s="23">
        <v>62251204.62275096</v>
      </c>
      <c r="H40" s="23">
        <v>2568668.0084769973</v>
      </c>
      <c r="I40" s="23">
        <v>0</v>
      </c>
    </row>
    <row r="41" spans="1:9">
      <c r="A41" s="5">
        <v>23</v>
      </c>
      <c r="B41" s="3" t="s">
        <v>365</v>
      </c>
      <c r="C41" s="23">
        <v>610336.63223565859</v>
      </c>
      <c r="D41" s="23">
        <v>746260.31000000017</v>
      </c>
      <c r="E41" s="23">
        <v>49813866.258127771</v>
      </c>
      <c r="F41" s="23">
        <v>5812700.2977156145</v>
      </c>
      <c r="G41" s="23">
        <v>62611843.751737073</v>
      </c>
      <c r="H41" s="23">
        <v>2598032.4739513919</v>
      </c>
      <c r="I41" s="23">
        <v>0</v>
      </c>
    </row>
    <row r="42" spans="1:9">
      <c r="A42" s="5">
        <v>24</v>
      </c>
      <c r="B42" s="3" t="s">
        <v>188</v>
      </c>
      <c r="C42" s="23">
        <v>580779.04603151977</v>
      </c>
      <c r="D42" s="23">
        <v>729943.7200000002</v>
      </c>
      <c r="E42" s="23">
        <v>50467574.688056521</v>
      </c>
      <c r="F42" s="23">
        <v>5934487.7911113724</v>
      </c>
      <c r="G42" s="23">
        <v>62991703.293969639</v>
      </c>
      <c r="H42" s="23">
        <v>2627764.5271260487</v>
      </c>
      <c r="I42" s="23">
        <v>0</v>
      </c>
    </row>
    <row r="43" spans="1:9">
      <c r="A43" s="5">
        <v>25</v>
      </c>
      <c r="B43" s="3" t="s">
        <v>189</v>
      </c>
      <c r="C43" s="23">
        <v>587367.30088562926</v>
      </c>
      <c r="D43" s="23">
        <v>959008.84000000008</v>
      </c>
      <c r="E43" s="23">
        <v>51125978.175062984</v>
      </c>
      <c r="F43" s="23">
        <v>6041447.7256461987</v>
      </c>
      <c r="G43" s="23">
        <v>63420065.729159698</v>
      </c>
      <c r="H43" s="23">
        <v>2657913.7805853337</v>
      </c>
      <c r="I43" s="23">
        <v>0</v>
      </c>
    </row>
    <row r="44" spans="1:9">
      <c r="A44" s="5">
        <v>26</v>
      </c>
      <c r="B44" s="3" t="s">
        <v>190</v>
      </c>
      <c r="C44" s="23">
        <v>564109.18167859002</v>
      </c>
      <c r="D44" s="23">
        <v>942672.50000000012</v>
      </c>
      <c r="E44" s="23">
        <v>51797892.977847353</v>
      </c>
      <c r="F44" s="23">
        <v>6169219.8922947291</v>
      </c>
      <c r="G44" s="23">
        <v>63516527.509972952</v>
      </c>
      <c r="H44" s="23">
        <v>2688777.1439037411</v>
      </c>
      <c r="I44" s="23">
        <v>0</v>
      </c>
    </row>
    <row r="45" spans="1:9">
      <c r="A45" s="5">
        <v>27</v>
      </c>
      <c r="B45" s="3" t="s">
        <v>366</v>
      </c>
      <c r="C45" s="23">
        <f>1054+612336</f>
        <v>613390</v>
      </c>
      <c r="D45" s="23">
        <v>1127927</v>
      </c>
      <c r="E45" s="23">
        <f>37930527+14517434</f>
        <v>52447961</v>
      </c>
      <c r="F45" s="23">
        <v>6271609</v>
      </c>
      <c r="G45" s="23">
        <v>63944203</v>
      </c>
      <c r="H45" s="23">
        <f>2875173+0</f>
        <v>2875173</v>
      </c>
      <c r="I45" s="23">
        <v>0</v>
      </c>
    </row>
    <row r="46" spans="1:9" ht="13.5" thickBot="1">
      <c r="A46" s="5">
        <v>28</v>
      </c>
      <c r="B46" s="24" t="s">
        <v>367</v>
      </c>
      <c r="C46" s="25">
        <f t="shared" ref="C46:I46" si="1">SUM(C33:C45)/13</f>
        <v>731318.70723923959</v>
      </c>
      <c r="D46" s="25">
        <f t="shared" si="1"/>
        <v>910680.55230769259</v>
      </c>
      <c r="E46" s="25">
        <f t="shared" si="1"/>
        <v>48598863.144507967</v>
      </c>
      <c r="F46" s="25">
        <f t="shared" si="1"/>
        <v>5603265.8208151311</v>
      </c>
      <c r="G46" s="25">
        <f t="shared" si="1"/>
        <v>61890952.465831824</v>
      </c>
      <c r="H46" s="25">
        <f t="shared" si="1"/>
        <v>2564893.3104229346</v>
      </c>
      <c r="I46" s="25">
        <f t="shared" si="1"/>
        <v>0</v>
      </c>
    </row>
    <row r="47" spans="1:9" ht="13.5" thickTop="1">
      <c r="A47" s="5"/>
      <c r="B47" s="3"/>
    </row>
    <row r="48" spans="1:9">
      <c r="A48" s="5"/>
      <c r="B48" s="3"/>
      <c r="C48" s="26"/>
      <c r="D48" s="27"/>
      <c r="E48" s="27"/>
      <c r="F48" s="27"/>
      <c r="G48" s="26"/>
      <c r="H48" s="26"/>
      <c r="I48" s="26"/>
    </row>
    <row r="49" spans="1:12">
      <c r="C49" s="3"/>
      <c r="E49" s="588" t="str">
        <f>E1</f>
        <v>Worksheet A4</v>
      </c>
      <c r="F49" s="3"/>
      <c r="H49" s="3"/>
      <c r="I49" s="3"/>
      <c r="J49" s="3"/>
    </row>
    <row r="50" spans="1:12">
      <c r="A50" s="5"/>
      <c r="C50" s="6"/>
      <c r="D50" s="6"/>
      <c r="E50" s="589" t="str">
        <f>E2</f>
        <v>Rate Base Worksheet</v>
      </c>
      <c r="F50" s="6"/>
      <c r="H50" s="6"/>
      <c r="I50" s="6"/>
      <c r="J50" s="6"/>
      <c r="K50" s="7"/>
      <c r="L50" s="8"/>
    </row>
    <row r="51" spans="1:12">
      <c r="A51" s="5"/>
      <c r="C51" s="6"/>
      <c r="E51" s="306" t="str">
        <f>E3</f>
        <v>Cheyenne Light, Fuel &amp; Power</v>
      </c>
      <c r="F51" s="6"/>
      <c r="H51" s="6"/>
      <c r="I51" s="255" t="s">
        <v>378</v>
      </c>
      <c r="J51" s="6"/>
      <c r="K51" s="7"/>
    </row>
    <row r="52" spans="1:12">
      <c r="A52" s="5"/>
      <c r="B52" s="3"/>
      <c r="C52" s="26"/>
      <c r="D52" s="27"/>
      <c r="E52" s="27"/>
      <c r="F52" s="27"/>
      <c r="G52" s="26"/>
      <c r="H52" s="26"/>
      <c r="I52" s="26"/>
    </row>
    <row r="53" spans="1:12">
      <c r="A53" s="5"/>
      <c r="B53" s="28"/>
      <c r="C53" s="865" t="s">
        <v>401</v>
      </c>
      <c r="D53" s="866"/>
      <c r="E53" s="866"/>
      <c r="F53" s="866"/>
      <c r="G53" s="866"/>
      <c r="H53" s="866"/>
      <c r="I53" s="867"/>
    </row>
    <row r="54" spans="1:12" ht="102" customHeight="1">
      <c r="A54" s="5" t="s">
        <v>349</v>
      </c>
      <c r="B54" s="589" t="s">
        <v>294</v>
      </c>
      <c r="C54" s="18" t="s">
        <v>368</v>
      </c>
      <c r="D54" s="18" t="s">
        <v>369</v>
      </c>
      <c r="E54" s="18" t="s">
        <v>370</v>
      </c>
      <c r="F54" s="18" t="s">
        <v>371</v>
      </c>
      <c r="G54" s="18" t="s">
        <v>372</v>
      </c>
      <c r="H54" s="18" t="s">
        <v>373</v>
      </c>
      <c r="I54" s="18" t="s">
        <v>1017</v>
      </c>
    </row>
    <row r="55" spans="1:12" s="20" customFormat="1">
      <c r="A55" s="5"/>
      <c r="B55" s="589" t="s">
        <v>174</v>
      </c>
      <c r="C55" s="18" t="s">
        <v>175</v>
      </c>
      <c r="D55" s="18" t="s">
        <v>176</v>
      </c>
      <c r="E55" s="18" t="s">
        <v>177</v>
      </c>
      <c r="F55" s="18" t="s">
        <v>178</v>
      </c>
      <c r="G55" s="18" t="s">
        <v>179</v>
      </c>
      <c r="H55" s="18" t="s">
        <v>180</v>
      </c>
      <c r="I55" s="18" t="s">
        <v>181</v>
      </c>
    </row>
    <row r="56" spans="1:12" s="20" customFormat="1" ht="57" customHeight="1">
      <c r="A56" s="5"/>
      <c r="B56" s="29" t="s">
        <v>358</v>
      </c>
      <c r="C56" s="14" t="s">
        <v>374</v>
      </c>
      <c r="D56" s="18" t="s">
        <v>375</v>
      </c>
      <c r="E56" s="18" t="s">
        <v>844</v>
      </c>
      <c r="F56" s="18" t="s">
        <v>844</v>
      </c>
      <c r="G56" s="18" t="s">
        <v>844</v>
      </c>
      <c r="H56" s="18" t="s">
        <v>844</v>
      </c>
      <c r="I56" s="18" t="s">
        <v>376</v>
      </c>
    </row>
    <row r="57" spans="1:12">
      <c r="A57" s="5">
        <v>1</v>
      </c>
      <c r="B57" s="22" t="s">
        <v>363</v>
      </c>
      <c r="C57" s="23">
        <v>0</v>
      </c>
      <c r="D57" s="23">
        <v>0</v>
      </c>
      <c r="E57" s="236">
        <f>'A3-ADIT'!D12</f>
        <v>0</v>
      </c>
      <c r="F57" s="236">
        <f>'A3-ADIT'!D13</f>
        <v>-55908203</v>
      </c>
      <c r="G57" s="236">
        <f>'A3-ADIT'!D14</f>
        <v>-3472664</v>
      </c>
      <c r="H57" s="236">
        <f>'A3-ADIT'!D15</f>
        <v>12059574</v>
      </c>
      <c r="I57" s="23">
        <f>-72609-50932</f>
        <v>-123541</v>
      </c>
    </row>
    <row r="58" spans="1:12">
      <c r="A58" s="5">
        <v>2</v>
      </c>
      <c r="B58" s="22" t="s">
        <v>182</v>
      </c>
      <c r="C58" s="23">
        <v>0</v>
      </c>
      <c r="D58" s="23">
        <v>0</v>
      </c>
      <c r="E58" s="30"/>
      <c r="F58" s="30"/>
      <c r="G58" s="30"/>
      <c r="H58" s="30"/>
      <c r="I58" s="23">
        <v>-123541</v>
      </c>
    </row>
    <row r="59" spans="1:12">
      <c r="A59" s="5">
        <v>3</v>
      </c>
      <c r="B59" s="3" t="s">
        <v>183</v>
      </c>
      <c r="C59" s="23">
        <v>0</v>
      </c>
      <c r="D59" s="23">
        <v>0</v>
      </c>
      <c r="E59" s="30"/>
      <c r="F59" s="30"/>
      <c r="G59" s="30"/>
      <c r="H59" s="30"/>
      <c r="I59" s="23">
        <v>-123541</v>
      </c>
    </row>
    <row r="60" spans="1:12">
      <c r="A60" s="5">
        <v>4</v>
      </c>
      <c r="B60" s="3" t="s">
        <v>364</v>
      </c>
      <c r="C60" s="23">
        <v>0</v>
      </c>
      <c r="D60" s="23">
        <v>0</v>
      </c>
      <c r="E60" s="30"/>
      <c r="F60" s="30"/>
      <c r="G60" s="30"/>
      <c r="H60" s="30"/>
      <c r="I60" s="23">
        <v>-113639</v>
      </c>
    </row>
    <row r="61" spans="1:12">
      <c r="A61" s="5">
        <v>5</v>
      </c>
      <c r="B61" s="3" t="s">
        <v>184</v>
      </c>
      <c r="C61" s="23">
        <v>0</v>
      </c>
      <c r="D61" s="23">
        <v>0</v>
      </c>
      <c r="E61" s="30"/>
      <c r="F61" s="30"/>
      <c r="G61" s="30"/>
      <c r="H61" s="30"/>
      <c r="I61" s="23">
        <v>-113639</v>
      </c>
    </row>
    <row r="62" spans="1:12">
      <c r="A62" s="5">
        <v>6</v>
      </c>
      <c r="B62" s="3" t="s">
        <v>185</v>
      </c>
      <c r="C62" s="23">
        <v>0</v>
      </c>
      <c r="D62" s="23">
        <v>0</v>
      </c>
      <c r="E62" s="30"/>
      <c r="F62" s="30"/>
      <c r="G62" s="30"/>
      <c r="H62" s="30"/>
      <c r="I62" s="23">
        <v>-113639</v>
      </c>
    </row>
    <row r="63" spans="1:12">
      <c r="A63" s="5">
        <v>7</v>
      </c>
      <c r="B63" s="3" t="s">
        <v>186</v>
      </c>
      <c r="C63" s="23">
        <v>0</v>
      </c>
      <c r="D63" s="23">
        <v>0</v>
      </c>
      <c r="E63" s="30"/>
      <c r="F63" s="30"/>
      <c r="G63" s="30"/>
      <c r="H63" s="30"/>
      <c r="I63" s="23">
        <v>-103737</v>
      </c>
    </row>
    <row r="64" spans="1:12">
      <c r="A64" s="5">
        <v>8</v>
      </c>
      <c r="B64" s="3" t="s">
        <v>187</v>
      </c>
      <c r="C64" s="23">
        <v>0</v>
      </c>
      <c r="D64" s="23">
        <v>0</v>
      </c>
      <c r="E64" s="30"/>
      <c r="F64" s="30"/>
      <c r="G64" s="30"/>
      <c r="H64" s="30"/>
      <c r="I64" s="23">
        <v>-103737</v>
      </c>
    </row>
    <row r="65" spans="1:13">
      <c r="A65" s="5">
        <v>9</v>
      </c>
      <c r="B65" s="3" t="s">
        <v>365</v>
      </c>
      <c r="C65" s="23">
        <v>0</v>
      </c>
      <c r="D65" s="23">
        <v>0</v>
      </c>
      <c r="E65" s="30"/>
      <c r="F65" s="30"/>
      <c r="G65" s="30"/>
      <c r="H65" s="30"/>
      <c r="I65" s="23">
        <v>-103737</v>
      </c>
    </row>
    <row r="66" spans="1:13">
      <c r="A66" s="5">
        <v>10</v>
      </c>
      <c r="B66" s="3" t="s">
        <v>188</v>
      </c>
      <c r="C66" s="23">
        <v>0</v>
      </c>
      <c r="D66" s="23">
        <v>0</v>
      </c>
      <c r="E66" s="30"/>
      <c r="F66" s="30"/>
      <c r="G66" s="30"/>
      <c r="H66" s="30"/>
      <c r="I66" s="23">
        <v>-93835</v>
      </c>
    </row>
    <row r="67" spans="1:13">
      <c r="A67" s="5">
        <v>11</v>
      </c>
      <c r="B67" s="3" t="s">
        <v>189</v>
      </c>
      <c r="C67" s="23">
        <v>0</v>
      </c>
      <c r="D67" s="23">
        <v>0</v>
      </c>
      <c r="E67" s="30"/>
      <c r="F67" s="30"/>
      <c r="G67" s="30"/>
      <c r="H67" s="30"/>
      <c r="I67" s="23">
        <v>-93835</v>
      </c>
    </row>
    <row r="68" spans="1:13">
      <c r="A68" s="5">
        <v>12</v>
      </c>
      <c r="B68" s="3" t="s">
        <v>190</v>
      </c>
      <c r="C68" s="23">
        <v>0</v>
      </c>
      <c r="D68" s="23">
        <v>0</v>
      </c>
      <c r="E68" s="30"/>
      <c r="F68" s="30"/>
      <c r="G68" s="30"/>
      <c r="H68" s="30"/>
      <c r="I68" s="23">
        <v>-93835</v>
      </c>
    </row>
    <row r="69" spans="1:13">
      <c r="A69" s="5">
        <v>13</v>
      </c>
      <c r="B69" s="3" t="s">
        <v>366</v>
      </c>
      <c r="C69" s="23">
        <v>0</v>
      </c>
      <c r="D69" s="23">
        <v>0</v>
      </c>
      <c r="E69" s="236">
        <v>0</v>
      </c>
      <c r="F69" s="236">
        <f>'A3-ADIT'!E13</f>
        <v>-56750976</v>
      </c>
      <c r="G69" s="236">
        <f>'A3-ADIT'!E14</f>
        <v>-3143419</v>
      </c>
      <c r="H69" s="236">
        <f>'A3-ADIT'!E15</f>
        <v>12621354</v>
      </c>
      <c r="I69" s="23">
        <f>-50932-33001</f>
        <v>-83933</v>
      </c>
    </row>
    <row r="70" spans="1:13" ht="13.5" thickBot="1">
      <c r="A70" s="5">
        <v>14</v>
      </c>
      <c r="B70" s="21" t="s">
        <v>377</v>
      </c>
      <c r="C70" s="25">
        <f>SUM(C57:C69)/13</f>
        <v>0</v>
      </c>
      <c r="D70" s="31">
        <f>SUM(D57:D69)/13</f>
        <v>0</v>
      </c>
      <c r="E70" s="566">
        <f>'A3-ADIT'!F12</f>
        <v>0</v>
      </c>
      <c r="F70" s="566">
        <f>'A3-ADIT'!F13</f>
        <v>-56329589.5</v>
      </c>
      <c r="G70" s="566">
        <f>'A3-ADIT'!F14</f>
        <v>-3308041.5</v>
      </c>
      <c r="H70" s="566">
        <f>'A3-ADIT'!F15</f>
        <v>12340464</v>
      </c>
      <c r="I70" s="25">
        <f>SUM(I57:I69)/13</f>
        <v>-106783.76923076923</v>
      </c>
    </row>
    <row r="71" spans="1:13" ht="13.5" thickTop="1">
      <c r="A71" s="5"/>
      <c r="B71" s="3" t="s">
        <v>878</v>
      </c>
      <c r="E71" s="32"/>
      <c r="F71" s="32"/>
      <c r="G71" s="32"/>
      <c r="H71" s="32"/>
      <c r="I71" s="27"/>
    </row>
    <row r="72" spans="1:13" s="20" customFormat="1">
      <c r="A72" s="5"/>
      <c r="B72" s="33"/>
      <c r="C72" s="34"/>
      <c r="D72" s="34"/>
      <c r="E72" s="34"/>
      <c r="F72" s="34"/>
      <c r="G72" s="34"/>
      <c r="H72" s="2"/>
      <c r="I72" s="2"/>
      <c r="J72" s="2"/>
    </row>
    <row r="73" spans="1:13" s="20" customFormat="1">
      <c r="A73" s="5"/>
      <c r="B73" s="33"/>
      <c r="C73" s="34"/>
      <c r="D73" s="34"/>
      <c r="E73" s="34"/>
      <c r="F73" s="35"/>
      <c r="G73" s="35"/>
      <c r="H73" s="7"/>
      <c r="I73" s="7"/>
      <c r="J73" s="7"/>
      <c r="K73" s="7"/>
      <c r="L73" s="7"/>
    </row>
    <row r="74" spans="1:13" s="20" customFormat="1">
      <c r="A74" s="5"/>
      <c r="B74" s="253" t="s">
        <v>379</v>
      </c>
      <c r="C74" s="34"/>
      <c r="D74" s="34"/>
      <c r="E74" s="34"/>
      <c r="F74" s="35"/>
      <c r="G74" s="35"/>
      <c r="H74" s="7"/>
      <c r="I74" s="7"/>
      <c r="J74" s="7"/>
      <c r="L74" s="7"/>
    </row>
    <row r="75" spans="1:13" s="20" customFormat="1" ht="82.5" customHeight="1">
      <c r="A75" s="5">
        <f>+A70+1</f>
        <v>15</v>
      </c>
      <c r="B75" s="36" t="s">
        <v>380</v>
      </c>
      <c r="C75" s="37"/>
      <c r="D75" s="38" t="s">
        <v>381</v>
      </c>
      <c r="E75" s="38" t="s">
        <v>912</v>
      </c>
      <c r="F75" s="38" t="s">
        <v>913</v>
      </c>
      <c r="G75" s="38" t="s">
        <v>382</v>
      </c>
      <c r="H75" s="39" t="s">
        <v>383</v>
      </c>
      <c r="I75" s="39" t="s">
        <v>384</v>
      </c>
      <c r="J75" s="36"/>
      <c r="K75" s="36"/>
      <c r="L75" s="36"/>
      <c r="M75" s="40"/>
    </row>
    <row r="76" spans="1:13" s="20" customFormat="1">
      <c r="A76" s="5">
        <v>16</v>
      </c>
      <c r="B76" s="41"/>
      <c r="C76" s="42" t="s">
        <v>385</v>
      </c>
      <c r="D76" s="43">
        <v>0</v>
      </c>
      <c r="E76" s="43">
        <v>0</v>
      </c>
      <c r="F76" s="43">
        <v>0</v>
      </c>
      <c r="G76" s="43">
        <v>0</v>
      </c>
      <c r="H76" s="43">
        <v>0</v>
      </c>
      <c r="I76" s="44">
        <f t="shared" ref="I76:I80" si="2">+H76*E76*D76*F76*G76</f>
        <v>0</v>
      </c>
      <c r="J76" s="41"/>
      <c r="K76" s="41"/>
      <c r="L76" s="41"/>
      <c r="M76" s="40"/>
    </row>
    <row r="77" spans="1:13" s="20" customFormat="1">
      <c r="A77" s="5">
        <v>17</v>
      </c>
      <c r="B77" s="41"/>
      <c r="C77" s="42" t="s">
        <v>386</v>
      </c>
      <c r="D77" s="45">
        <v>0</v>
      </c>
      <c r="E77" s="43">
        <v>0</v>
      </c>
      <c r="F77" s="43">
        <v>0</v>
      </c>
      <c r="G77" s="43">
        <v>0</v>
      </c>
      <c r="H77" s="43">
        <v>0</v>
      </c>
      <c r="I77" s="44">
        <f t="shared" si="2"/>
        <v>0</v>
      </c>
      <c r="J77" s="41"/>
      <c r="K77" s="41"/>
      <c r="L77" s="41"/>
      <c r="M77" s="40"/>
    </row>
    <row r="78" spans="1:13" s="20" customFormat="1">
      <c r="A78" s="5">
        <v>18</v>
      </c>
      <c r="B78" s="41"/>
      <c r="C78" s="42" t="s">
        <v>387</v>
      </c>
      <c r="D78" s="45"/>
      <c r="E78" s="43"/>
      <c r="F78" s="46"/>
      <c r="G78" s="46"/>
      <c r="H78" s="43"/>
      <c r="I78" s="44">
        <f t="shared" si="2"/>
        <v>0</v>
      </c>
      <c r="J78" s="41"/>
      <c r="K78" s="41"/>
      <c r="L78" s="41"/>
      <c r="M78" s="40"/>
    </row>
    <row r="79" spans="1:13" s="20" customFormat="1">
      <c r="A79" s="5">
        <v>19</v>
      </c>
      <c r="B79" s="41"/>
      <c r="C79" s="42" t="s">
        <v>388</v>
      </c>
      <c r="D79" s="45"/>
      <c r="E79" s="43"/>
      <c r="F79" s="46"/>
      <c r="G79" s="46"/>
      <c r="H79" s="43"/>
      <c r="I79" s="44">
        <f t="shared" si="2"/>
        <v>0</v>
      </c>
      <c r="J79" s="41"/>
      <c r="K79" s="41"/>
      <c r="L79" s="41"/>
      <c r="M79" s="40"/>
    </row>
    <row r="80" spans="1:13" s="20" customFormat="1">
      <c r="A80" s="5">
        <v>20</v>
      </c>
      <c r="B80" s="41"/>
      <c r="C80" s="42" t="s">
        <v>389</v>
      </c>
      <c r="D80" s="45"/>
      <c r="E80" s="43"/>
      <c r="F80" s="46"/>
      <c r="G80" s="46"/>
      <c r="H80" s="43"/>
      <c r="I80" s="44">
        <f t="shared" si="2"/>
        <v>0</v>
      </c>
      <c r="J80" s="41"/>
      <c r="K80" s="41"/>
      <c r="L80" s="41"/>
      <c r="M80" s="40"/>
    </row>
    <row r="81" spans="1:14" s="20" customFormat="1">
      <c r="A81" s="5">
        <v>21</v>
      </c>
      <c r="B81" s="41"/>
      <c r="C81" s="47" t="s">
        <v>389</v>
      </c>
      <c r="D81" s="48">
        <v>0</v>
      </c>
      <c r="E81" s="49">
        <v>0</v>
      </c>
      <c r="F81" s="50"/>
      <c r="G81" s="50"/>
      <c r="H81" s="49"/>
      <c r="I81" s="51">
        <f>+H81*E81*D81*F81*G81</f>
        <v>0</v>
      </c>
      <c r="J81" s="41"/>
      <c r="K81" s="41"/>
      <c r="L81" s="41"/>
      <c r="M81" s="40"/>
    </row>
    <row r="82" spans="1:14" s="20" customFormat="1">
      <c r="A82" s="5">
        <v>22</v>
      </c>
      <c r="B82" s="41"/>
      <c r="C82" s="36" t="s">
        <v>9</v>
      </c>
      <c r="D82" s="52">
        <f>SUM(D76:D81)</f>
        <v>0</v>
      </c>
      <c r="E82" s="53"/>
      <c r="H82" s="53"/>
      <c r="I82" s="44">
        <f>SUM(I76:I81)</f>
        <v>0</v>
      </c>
      <c r="J82" s="41"/>
      <c r="K82" s="41"/>
      <c r="M82" s="40"/>
    </row>
    <row r="83" spans="1:14" s="20" customFormat="1">
      <c r="A83" s="54"/>
      <c r="B83" s="55"/>
      <c r="C83" s="56"/>
      <c r="D83" s="56"/>
      <c r="E83" s="56"/>
      <c r="F83" s="56"/>
      <c r="G83" s="56"/>
      <c r="H83" s="2"/>
      <c r="I83" s="9"/>
      <c r="J83" s="9"/>
      <c r="K83" s="9"/>
      <c r="M83" s="40"/>
    </row>
    <row r="84" spans="1:14">
      <c r="A84" s="254" t="s">
        <v>222</v>
      </c>
    </row>
    <row r="85" spans="1:14" ht="15" customHeight="1">
      <c r="A85" s="59" t="s">
        <v>84</v>
      </c>
      <c r="B85" s="830" t="s">
        <v>390</v>
      </c>
      <c r="C85" s="830"/>
      <c r="D85" s="830"/>
      <c r="E85" s="830"/>
      <c r="F85" s="830"/>
      <c r="G85" s="830"/>
      <c r="H85" s="830"/>
      <c r="I85" s="830"/>
      <c r="J85" s="410"/>
      <c r="K85" s="410"/>
    </row>
    <row r="86" spans="1:14" ht="15" customHeight="1">
      <c r="A86" s="59" t="s">
        <v>85</v>
      </c>
      <c r="B86" s="830" t="s">
        <v>391</v>
      </c>
      <c r="C86" s="830"/>
      <c r="D86" s="830"/>
      <c r="E86" s="830"/>
      <c r="F86" s="830"/>
      <c r="G86" s="830"/>
      <c r="H86" s="830"/>
      <c r="I86" s="830"/>
      <c r="J86" s="410"/>
      <c r="K86" s="410"/>
      <c r="L86" s="8"/>
    </row>
    <row r="87" spans="1:14" ht="30.75" customHeight="1">
      <c r="A87" s="60" t="s">
        <v>86</v>
      </c>
      <c r="B87" s="830" t="s">
        <v>841</v>
      </c>
      <c r="C87" s="830"/>
      <c r="D87" s="830"/>
      <c r="E87" s="830"/>
      <c r="F87" s="830"/>
      <c r="G87" s="830"/>
      <c r="H87" s="830"/>
      <c r="I87" s="830"/>
      <c r="J87" s="57"/>
      <c r="K87" s="57"/>
    </row>
    <row r="88" spans="1:14">
      <c r="A88" s="60"/>
      <c r="B88" s="830" t="s">
        <v>392</v>
      </c>
      <c r="C88" s="830"/>
      <c r="D88" s="830"/>
      <c r="E88" s="830"/>
      <c r="F88" s="830"/>
      <c r="G88" s="830"/>
      <c r="H88" s="830"/>
      <c r="I88" s="830"/>
      <c r="J88" s="57"/>
      <c r="K88" s="57"/>
    </row>
    <row r="89" spans="1:14">
      <c r="A89" s="60"/>
      <c r="B89" s="830" t="s">
        <v>393</v>
      </c>
      <c r="C89" s="830"/>
      <c r="D89" s="830"/>
      <c r="E89" s="830"/>
      <c r="F89" s="830"/>
      <c r="G89" s="830"/>
      <c r="H89" s="830"/>
      <c r="I89" s="830"/>
      <c r="J89" s="58"/>
      <c r="K89" s="58"/>
      <c r="L89" s="58"/>
      <c r="M89" s="58"/>
    </row>
    <row r="90" spans="1:14">
      <c r="A90" s="59" t="s">
        <v>87</v>
      </c>
      <c r="B90" s="830" t="s">
        <v>843</v>
      </c>
      <c r="C90" s="830"/>
      <c r="D90" s="830"/>
      <c r="E90" s="830"/>
      <c r="F90" s="830"/>
      <c r="G90" s="830"/>
      <c r="H90" s="830"/>
      <c r="I90" s="830"/>
      <c r="J90" s="7"/>
      <c r="K90" s="7"/>
    </row>
    <row r="91" spans="1:14" ht="30.75" customHeight="1">
      <c r="A91" s="59" t="s">
        <v>88</v>
      </c>
      <c r="B91" s="860" t="s">
        <v>532</v>
      </c>
      <c r="C91" s="860"/>
      <c r="D91" s="860"/>
      <c r="E91" s="860"/>
      <c r="F91" s="860"/>
      <c r="G91" s="860"/>
      <c r="H91" s="860"/>
      <c r="I91" s="860"/>
      <c r="J91" s="587"/>
      <c r="K91" s="587"/>
      <c r="L91" s="587"/>
      <c r="M91" s="587"/>
      <c r="N91" s="587"/>
    </row>
    <row r="92" spans="1:14" ht="15" customHeight="1">
      <c r="A92" s="59" t="s">
        <v>89</v>
      </c>
      <c r="B92" s="861" t="s">
        <v>394</v>
      </c>
      <c r="C92" s="861"/>
      <c r="D92" s="861"/>
      <c r="E92" s="861"/>
      <c r="F92" s="861"/>
      <c r="G92" s="861"/>
      <c r="H92" s="861"/>
      <c r="I92" s="861"/>
      <c r="J92" s="587"/>
      <c r="K92" s="587"/>
    </row>
    <row r="93" spans="1:14" ht="82.5" customHeight="1">
      <c r="A93" s="60" t="s">
        <v>90</v>
      </c>
      <c r="B93" s="860" t="s">
        <v>842</v>
      </c>
      <c r="C93" s="860"/>
      <c r="D93" s="860"/>
      <c r="E93" s="860"/>
      <c r="F93" s="860"/>
      <c r="G93" s="860"/>
      <c r="H93" s="860"/>
      <c r="I93" s="860"/>
      <c r="J93" s="587"/>
      <c r="K93" s="587"/>
      <c r="L93" s="587"/>
      <c r="M93" s="587"/>
      <c r="N93" s="587"/>
    </row>
    <row r="94" spans="1:14" ht="15" customHeight="1">
      <c r="A94" s="5"/>
      <c r="B94" s="61"/>
      <c r="C94" s="61"/>
      <c r="D94" s="61"/>
      <c r="E94" s="61"/>
      <c r="F94" s="61"/>
      <c r="G94" s="61"/>
      <c r="H94" s="61"/>
      <c r="I94" s="61"/>
      <c r="J94" s="61"/>
      <c r="K94" s="61"/>
    </row>
    <row r="95" spans="1:14">
      <c r="B95" s="61"/>
      <c r="C95" s="61"/>
      <c r="D95" s="61"/>
      <c r="E95" s="61"/>
      <c r="F95" s="61"/>
      <c r="G95" s="61"/>
      <c r="H95" s="61"/>
      <c r="I95" s="61"/>
      <c r="J95" s="61"/>
      <c r="K95" s="61"/>
    </row>
    <row r="96" spans="1:14" ht="69.75" customHeight="1">
      <c r="B96" s="61"/>
      <c r="C96" s="61"/>
      <c r="D96" s="61"/>
      <c r="E96" s="61"/>
      <c r="F96" s="61"/>
      <c r="G96" s="61"/>
      <c r="H96" s="61"/>
      <c r="I96" s="61"/>
      <c r="J96" s="61"/>
      <c r="K96" s="61"/>
    </row>
  </sheetData>
  <mergeCells count="13">
    <mergeCell ref="B93:I93"/>
    <mergeCell ref="B92:I92"/>
    <mergeCell ref="C5:G5"/>
    <mergeCell ref="C28:D28"/>
    <mergeCell ref="E28:I28"/>
    <mergeCell ref="C53:I53"/>
    <mergeCell ref="B85:I85"/>
    <mergeCell ref="B86:I86"/>
    <mergeCell ref="B87:I87"/>
    <mergeCell ref="B88:I88"/>
    <mergeCell ref="B89:I89"/>
    <mergeCell ref="B90:I90"/>
    <mergeCell ref="B91:I91"/>
  </mergeCells>
  <pageMargins left="0.75" right="0.75" top="1" bottom="1" header="0.5" footer="0.5"/>
  <pageSetup scale="48" fitToHeight="2" orientation="portrait" r:id="rId1"/>
  <headerFooter alignWithMargins="0"/>
  <rowBreaks count="2" manualBreakCount="2">
    <brk id="48" max="8" man="1"/>
    <brk id="9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34"/>
  <sheetViews>
    <sheetView zoomScale="75" zoomScaleNormal="75" workbookViewId="0">
      <selection activeCell="B19" sqref="B19"/>
    </sheetView>
  </sheetViews>
  <sheetFormatPr defaultColWidth="7.109375" defaultRowHeight="12.75"/>
  <cols>
    <col min="1" max="1" width="2.109375" style="272" customWidth="1"/>
    <col min="2" max="2" width="3.5546875" style="272" customWidth="1"/>
    <col min="3" max="4" width="1.77734375" style="272" customWidth="1"/>
    <col min="5" max="5" width="6.44140625" style="272" customWidth="1"/>
    <col min="6" max="6" width="35.33203125" style="272" customWidth="1"/>
    <col min="7" max="7" width="1.88671875" style="272" customWidth="1"/>
    <col min="8" max="8" width="8.21875" style="412" customWidth="1"/>
    <col min="9" max="9" width="8.21875" style="272" customWidth="1"/>
    <col min="10" max="256" width="7.109375" style="272"/>
    <col min="257" max="257" width="10.21875" style="272" customWidth="1"/>
    <col min="258" max="258" width="3.5546875" style="272" customWidth="1"/>
    <col min="259" max="260" width="1.77734375" style="272" customWidth="1"/>
    <col min="261" max="261" width="4" style="272" customWidth="1"/>
    <col min="262" max="262" width="24.21875" style="272" customWidth="1"/>
    <col min="263" max="263" width="1.88671875" style="272" customWidth="1"/>
    <col min="264" max="265" width="8.21875" style="272" customWidth="1"/>
    <col min="266" max="512" width="7.109375" style="272"/>
    <col min="513" max="513" width="10.21875" style="272" customWidth="1"/>
    <col min="514" max="514" width="3.5546875" style="272" customWidth="1"/>
    <col min="515" max="516" width="1.77734375" style="272" customWidth="1"/>
    <col min="517" max="517" width="4" style="272" customWidth="1"/>
    <col min="518" max="518" width="24.21875" style="272" customWidth="1"/>
    <col min="519" max="519" width="1.88671875" style="272" customWidth="1"/>
    <col min="520" max="521" width="8.21875" style="272" customWidth="1"/>
    <col min="522" max="768" width="7.109375" style="272"/>
    <col min="769" max="769" width="10.21875" style="272" customWidth="1"/>
    <col min="770" max="770" width="3.5546875" style="272" customWidth="1"/>
    <col min="771" max="772" width="1.77734375" style="272" customWidth="1"/>
    <col min="773" max="773" width="4" style="272" customWidth="1"/>
    <col min="774" max="774" width="24.21875" style="272" customWidth="1"/>
    <col min="775" max="775" width="1.88671875" style="272" customWidth="1"/>
    <col min="776" max="777" width="8.21875" style="272" customWidth="1"/>
    <col min="778" max="1024" width="7.109375" style="272"/>
    <col min="1025" max="1025" width="10.21875" style="272" customWidth="1"/>
    <col min="1026" max="1026" width="3.5546875" style="272" customWidth="1"/>
    <col min="1027" max="1028" width="1.77734375" style="272" customWidth="1"/>
    <col min="1029" max="1029" width="4" style="272" customWidth="1"/>
    <col min="1030" max="1030" width="24.21875" style="272" customWidth="1"/>
    <col min="1031" max="1031" width="1.88671875" style="272" customWidth="1"/>
    <col min="1032" max="1033" width="8.21875" style="272" customWidth="1"/>
    <col min="1034" max="1280" width="7.109375" style="272"/>
    <col min="1281" max="1281" width="10.21875" style="272" customWidth="1"/>
    <col min="1282" max="1282" width="3.5546875" style="272" customWidth="1"/>
    <col min="1283" max="1284" width="1.77734375" style="272" customWidth="1"/>
    <col min="1285" max="1285" width="4" style="272" customWidth="1"/>
    <col min="1286" max="1286" width="24.21875" style="272" customWidth="1"/>
    <col min="1287" max="1287" width="1.88671875" style="272" customWidth="1"/>
    <col min="1288" max="1289" width="8.21875" style="272" customWidth="1"/>
    <col min="1290" max="1536" width="7.109375" style="272"/>
    <col min="1537" max="1537" width="10.21875" style="272" customWidth="1"/>
    <col min="1538" max="1538" width="3.5546875" style="272" customWidth="1"/>
    <col min="1539" max="1540" width="1.77734375" style="272" customWidth="1"/>
    <col min="1541" max="1541" width="4" style="272" customWidth="1"/>
    <col min="1542" max="1542" width="24.21875" style="272" customWidth="1"/>
    <col min="1543" max="1543" width="1.88671875" style="272" customWidth="1"/>
    <col min="1544" max="1545" width="8.21875" style="272" customWidth="1"/>
    <col min="1546" max="1792" width="7.109375" style="272"/>
    <col min="1793" max="1793" width="10.21875" style="272" customWidth="1"/>
    <col min="1794" max="1794" width="3.5546875" style="272" customWidth="1"/>
    <col min="1795" max="1796" width="1.77734375" style="272" customWidth="1"/>
    <col min="1797" max="1797" width="4" style="272" customWidth="1"/>
    <col min="1798" max="1798" width="24.21875" style="272" customWidth="1"/>
    <col min="1799" max="1799" width="1.88671875" style="272" customWidth="1"/>
    <col min="1800" max="1801" width="8.21875" style="272" customWidth="1"/>
    <col min="1802" max="2048" width="7.109375" style="272"/>
    <col min="2049" max="2049" width="10.21875" style="272" customWidth="1"/>
    <col min="2050" max="2050" width="3.5546875" style="272" customWidth="1"/>
    <col min="2051" max="2052" width="1.77734375" style="272" customWidth="1"/>
    <col min="2053" max="2053" width="4" style="272" customWidth="1"/>
    <col min="2054" max="2054" width="24.21875" style="272" customWidth="1"/>
    <col min="2055" max="2055" width="1.88671875" style="272" customWidth="1"/>
    <col min="2056" max="2057" width="8.21875" style="272" customWidth="1"/>
    <col min="2058" max="2304" width="7.109375" style="272"/>
    <col min="2305" max="2305" width="10.21875" style="272" customWidth="1"/>
    <col min="2306" max="2306" width="3.5546875" style="272" customWidth="1"/>
    <col min="2307" max="2308" width="1.77734375" style="272" customWidth="1"/>
    <col min="2309" max="2309" width="4" style="272" customWidth="1"/>
    <col min="2310" max="2310" width="24.21875" style="272" customWidth="1"/>
    <col min="2311" max="2311" width="1.88671875" style="272" customWidth="1"/>
    <col min="2312" max="2313" width="8.21875" style="272" customWidth="1"/>
    <col min="2314" max="2560" width="7.109375" style="272"/>
    <col min="2561" max="2561" width="10.21875" style="272" customWidth="1"/>
    <col min="2562" max="2562" width="3.5546875" style="272" customWidth="1"/>
    <col min="2563" max="2564" width="1.77734375" style="272" customWidth="1"/>
    <col min="2565" max="2565" width="4" style="272" customWidth="1"/>
    <col min="2566" max="2566" width="24.21875" style="272" customWidth="1"/>
    <col min="2567" max="2567" width="1.88671875" style="272" customWidth="1"/>
    <col min="2568" max="2569" width="8.21875" style="272" customWidth="1"/>
    <col min="2570" max="2816" width="7.109375" style="272"/>
    <col min="2817" max="2817" width="10.21875" style="272" customWidth="1"/>
    <col min="2818" max="2818" width="3.5546875" style="272" customWidth="1"/>
    <col min="2819" max="2820" width="1.77734375" style="272" customWidth="1"/>
    <col min="2821" max="2821" width="4" style="272" customWidth="1"/>
    <col min="2822" max="2822" width="24.21875" style="272" customWidth="1"/>
    <col min="2823" max="2823" width="1.88671875" style="272" customWidth="1"/>
    <col min="2824" max="2825" width="8.21875" style="272" customWidth="1"/>
    <col min="2826" max="3072" width="7.109375" style="272"/>
    <col min="3073" max="3073" width="10.21875" style="272" customWidth="1"/>
    <col min="3074" max="3074" width="3.5546875" style="272" customWidth="1"/>
    <col min="3075" max="3076" width="1.77734375" style="272" customWidth="1"/>
    <col min="3077" max="3077" width="4" style="272" customWidth="1"/>
    <col min="3078" max="3078" width="24.21875" style="272" customWidth="1"/>
    <col min="3079" max="3079" width="1.88671875" style="272" customWidth="1"/>
    <col min="3080" max="3081" width="8.21875" style="272" customWidth="1"/>
    <col min="3082" max="3328" width="7.109375" style="272"/>
    <col min="3329" max="3329" width="10.21875" style="272" customWidth="1"/>
    <col min="3330" max="3330" width="3.5546875" style="272" customWidth="1"/>
    <col min="3331" max="3332" width="1.77734375" style="272" customWidth="1"/>
    <col min="3333" max="3333" width="4" style="272" customWidth="1"/>
    <col min="3334" max="3334" width="24.21875" style="272" customWidth="1"/>
    <col min="3335" max="3335" width="1.88671875" style="272" customWidth="1"/>
    <col min="3336" max="3337" width="8.21875" style="272" customWidth="1"/>
    <col min="3338" max="3584" width="7.109375" style="272"/>
    <col min="3585" max="3585" width="10.21875" style="272" customWidth="1"/>
    <col min="3586" max="3586" width="3.5546875" style="272" customWidth="1"/>
    <col min="3587" max="3588" width="1.77734375" style="272" customWidth="1"/>
    <col min="3589" max="3589" width="4" style="272" customWidth="1"/>
    <col min="3590" max="3590" width="24.21875" style="272" customWidth="1"/>
    <col min="3591" max="3591" width="1.88671875" style="272" customWidth="1"/>
    <col min="3592" max="3593" width="8.21875" style="272" customWidth="1"/>
    <col min="3594" max="3840" width="7.109375" style="272"/>
    <col min="3841" max="3841" width="10.21875" style="272" customWidth="1"/>
    <col min="3842" max="3842" width="3.5546875" style="272" customWidth="1"/>
    <col min="3843" max="3844" width="1.77734375" style="272" customWidth="1"/>
    <col min="3845" max="3845" width="4" style="272" customWidth="1"/>
    <col min="3846" max="3846" width="24.21875" style="272" customWidth="1"/>
    <col min="3847" max="3847" width="1.88671875" style="272" customWidth="1"/>
    <col min="3848" max="3849" width="8.21875" style="272" customWidth="1"/>
    <col min="3850" max="4096" width="7.109375" style="272"/>
    <col min="4097" max="4097" width="10.21875" style="272" customWidth="1"/>
    <col min="4098" max="4098" width="3.5546875" style="272" customWidth="1"/>
    <col min="4099" max="4100" width="1.77734375" style="272" customWidth="1"/>
    <col min="4101" max="4101" width="4" style="272" customWidth="1"/>
    <col min="4102" max="4102" width="24.21875" style="272" customWidth="1"/>
    <col min="4103" max="4103" width="1.88671875" style="272" customWidth="1"/>
    <col min="4104" max="4105" width="8.21875" style="272" customWidth="1"/>
    <col min="4106" max="4352" width="7.109375" style="272"/>
    <col min="4353" max="4353" width="10.21875" style="272" customWidth="1"/>
    <col min="4354" max="4354" width="3.5546875" style="272" customWidth="1"/>
    <col min="4355" max="4356" width="1.77734375" style="272" customWidth="1"/>
    <col min="4357" max="4357" width="4" style="272" customWidth="1"/>
    <col min="4358" max="4358" width="24.21875" style="272" customWidth="1"/>
    <col min="4359" max="4359" width="1.88671875" style="272" customWidth="1"/>
    <col min="4360" max="4361" width="8.21875" style="272" customWidth="1"/>
    <col min="4362" max="4608" width="7.109375" style="272"/>
    <col min="4609" max="4609" width="10.21875" style="272" customWidth="1"/>
    <col min="4610" max="4610" width="3.5546875" style="272" customWidth="1"/>
    <col min="4611" max="4612" width="1.77734375" style="272" customWidth="1"/>
    <col min="4613" max="4613" width="4" style="272" customWidth="1"/>
    <col min="4614" max="4614" width="24.21875" style="272" customWidth="1"/>
    <col min="4615" max="4615" width="1.88671875" style="272" customWidth="1"/>
    <col min="4616" max="4617" width="8.21875" style="272" customWidth="1"/>
    <col min="4618" max="4864" width="7.109375" style="272"/>
    <col min="4865" max="4865" width="10.21875" style="272" customWidth="1"/>
    <col min="4866" max="4866" width="3.5546875" style="272" customWidth="1"/>
    <col min="4867" max="4868" width="1.77734375" style="272" customWidth="1"/>
    <col min="4869" max="4869" width="4" style="272" customWidth="1"/>
    <col min="4870" max="4870" width="24.21875" style="272" customWidth="1"/>
    <col min="4871" max="4871" width="1.88671875" style="272" customWidth="1"/>
    <col min="4872" max="4873" width="8.21875" style="272" customWidth="1"/>
    <col min="4874" max="5120" width="7.109375" style="272"/>
    <col min="5121" max="5121" width="10.21875" style="272" customWidth="1"/>
    <col min="5122" max="5122" width="3.5546875" style="272" customWidth="1"/>
    <col min="5123" max="5124" width="1.77734375" style="272" customWidth="1"/>
    <col min="5125" max="5125" width="4" style="272" customWidth="1"/>
    <col min="5126" max="5126" width="24.21875" style="272" customWidth="1"/>
    <col min="5127" max="5127" width="1.88671875" style="272" customWidth="1"/>
    <col min="5128" max="5129" width="8.21875" style="272" customWidth="1"/>
    <col min="5130" max="5376" width="7.109375" style="272"/>
    <col min="5377" max="5377" width="10.21875" style="272" customWidth="1"/>
    <col min="5378" max="5378" width="3.5546875" style="272" customWidth="1"/>
    <col min="5379" max="5380" width="1.77734375" style="272" customWidth="1"/>
    <col min="5381" max="5381" width="4" style="272" customWidth="1"/>
    <col min="5382" max="5382" width="24.21875" style="272" customWidth="1"/>
    <col min="5383" max="5383" width="1.88671875" style="272" customWidth="1"/>
    <col min="5384" max="5385" width="8.21875" style="272" customWidth="1"/>
    <col min="5386" max="5632" width="7.109375" style="272"/>
    <col min="5633" max="5633" width="10.21875" style="272" customWidth="1"/>
    <col min="5634" max="5634" width="3.5546875" style="272" customWidth="1"/>
    <col min="5635" max="5636" width="1.77734375" style="272" customWidth="1"/>
    <col min="5637" max="5637" width="4" style="272" customWidth="1"/>
    <col min="5638" max="5638" width="24.21875" style="272" customWidth="1"/>
    <col min="5639" max="5639" width="1.88671875" style="272" customWidth="1"/>
    <col min="5640" max="5641" width="8.21875" style="272" customWidth="1"/>
    <col min="5642" max="5888" width="7.109375" style="272"/>
    <col min="5889" max="5889" width="10.21875" style="272" customWidth="1"/>
    <col min="5890" max="5890" width="3.5546875" style="272" customWidth="1"/>
    <col min="5891" max="5892" width="1.77734375" style="272" customWidth="1"/>
    <col min="5893" max="5893" width="4" style="272" customWidth="1"/>
    <col min="5894" max="5894" width="24.21875" style="272" customWidth="1"/>
    <col min="5895" max="5895" width="1.88671875" style="272" customWidth="1"/>
    <col min="5896" max="5897" width="8.21875" style="272" customWidth="1"/>
    <col min="5898" max="6144" width="7.109375" style="272"/>
    <col min="6145" max="6145" width="10.21875" style="272" customWidth="1"/>
    <col min="6146" max="6146" width="3.5546875" style="272" customWidth="1"/>
    <col min="6147" max="6148" width="1.77734375" style="272" customWidth="1"/>
    <col min="6149" max="6149" width="4" style="272" customWidth="1"/>
    <col min="6150" max="6150" width="24.21875" style="272" customWidth="1"/>
    <col min="6151" max="6151" width="1.88671875" style="272" customWidth="1"/>
    <col min="6152" max="6153" width="8.21875" style="272" customWidth="1"/>
    <col min="6154" max="6400" width="7.109375" style="272"/>
    <col min="6401" max="6401" width="10.21875" style="272" customWidth="1"/>
    <col min="6402" max="6402" width="3.5546875" style="272" customWidth="1"/>
    <col min="6403" max="6404" width="1.77734375" style="272" customWidth="1"/>
    <col min="6405" max="6405" width="4" style="272" customWidth="1"/>
    <col min="6406" max="6406" width="24.21875" style="272" customWidth="1"/>
    <col min="6407" max="6407" width="1.88671875" style="272" customWidth="1"/>
    <col min="6408" max="6409" width="8.21875" style="272" customWidth="1"/>
    <col min="6410" max="6656" width="7.109375" style="272"/>
    <col min="6657" max="6657" width="10.21875" style="272" customWidth="1"/>
    <col min="6658" max="6658" width="3.5546875" style="272" customWidth="1"/>
    <col min="6659" max="6660" width="1.77734375" style="272" customWidth="1"/>
    <col min="6661" max="6661" width="4" style="272" customWidth="1"/>
    <col min="6662" max="6662" width="24.21875" style="272" customWidth="1"/>
    <col min="6663" max="6663" width="1.88671875" style="272" customWidth="1"/>
    <col min="6664" max="6665" width="8.21875" style="272" customWidth="1"/>
    <col min="6666" max="6912" width="7.109375" style="272"/>
    <col min="6913" max="6913" width="10.21875" style="272" customWidth="1"/>
    <col min="6914" max="6914" width="3.5546875" style="272" customWidth="1"/>
    <col min="6915" max="6916" width="1.77734375" style="272" customWidth="1"/>
    <col min="6917" max="6917" width="4" style="272" customWidth="1"/>
    <col min="6918" max="6918" width="24.21875" style="272" customWidth="1"/>
    <col min="6919" max="6919" width="1.88671875" style="272" customWidth="1"/>
    <col min="6920" max="6921" width="8.21875" style="272" customWidth="1"/>
    <col min="6922" max="7168" width="7.109375" style="272"/>
    <col min="7169" max="7169" width="10.21875" style="272" customWidth="1"/>
    <col min="7170" max="7170" width="3.5546875" style="272" customWidth="1"/>
    <col min="7171" max="7172" width="1.77734375" style="272" customWidth="1"/>
    <col min="7173" max="7173" width="4" style="272" customWidth="1"/>
    <col min="7174" max="7174" width="24.21875" style="272" customWidth="1"/>
    <col min="7175" max="7175" width="1.88671875" style="272" customWidth="1"/>
    <col min="7176" max="7177" width="8.21875" style="272" customWidth="1"/>
    <col min="7178" max="7424" width="7.109375" style="272"/>
    <col min="7425" max="7425" width="10.21875" style="272" customWidth="1"/>
    <col min="7426" max="7426" width="3.5546875" style="272" customWidth="1"/>
    <col min="7427" max="7428" width="1.77734375" style="272" customWidth="1"/>
    <col min="7429" max="7429" width="4" style="272" customWidth="1"/>
    <col min="7430" max="7430" width="24.21875" style="272" customWidth="1"/>
    <col min="7431" max="7431" width="1.88671875" style="272" customWidth="1"/>
    <col min="7432" max="7433" width="8.21875" style="272" customWidth="1"/>
    <col min="7434" max="7680" width="7.109375" style="272"/>
    <col min="7681" max="7681" width="10.21875" style="272" customWidth="1"/>
    <col min="7682" max="7682" width="3.5546875" style="272" customWidth="1"/>
    <col min="7683" max="7684" width="1.77734375" style="272" customWidth="1"/>
    <col min="7685" max="7685" width="4" style="272" customWidth="1"/>
    <col min="7686" max="7686" width="24.21875" style="272" customWidth="1"/>
    <col min="7687" max="7687" width="1.88671875" style="272" customWidth="1"/>
    <col min="7688" max="7689" width="8.21875" style="272" customWidth="1"/>
    <col min="7690" max="7936" width="7.109375" style="272"/>
    <col min="7937" max="7937" width="10.21875" style="272" customWidth="1"/>
    <col min="7938" max="7938" width="3.5546875" style="272" customWidth="1"/>
    <col min="7939" max="7940" width="1.77734375" style="272" customWidth="1"/>
    <col min="7941" max="7941" width="4" style="272" customWidth="1"/>
    <col min="7942" max="7942" width="24.21875" style="272" customWidth="1"/>
    <col min="7943" max="7943" width="1.88671875" style="272" customWidth="1"/>
    <col min="7944" max="7945" width="8.21875" style="272" customWidth="1"/>
    <col min="7946" max="8192" width="7.109375" style="272"/>
    <col min="8193" max="8193" width="10.21875" style="272" customWidth="1"/>
    <col min="8194" max="8194" width="3.5546875" style="272" customWidth="1"/>
    <col min="8195" max="8196" width="1.77734375" style="272" customWidth="1"/>
    <col min="8197" max="8197" width="4" style="272" customWidth="1"/>
    <col min="8198" max="8198" width="24.21875" style="272" customWidth="1"/>
    <col min="8199" max="8199" width="1.88671875" style="272" customWidth="1"/>
    <col min="8200" max="8201" width="8.21875" style="272" customWidth="1"/>
    <col min="8202" max="8448" width="7.109375" style="272"/>
    <col min="8449" max="8449" width="10.21875" style="272" customWidth="1"/>
    <col min="8450" max="8450" width="3.5546875" style="272" customWidth="1"/>
    <col min="8451" max="8452" width="1.77734375" style="272" customWidth="1"/>
    <col min="8453" max="8453" width="4" style="272" customWidth="1"/>
    <col min="8454" max="8454" width="24.21875" style="272" customWidth="1"/>
    <col min="8455" max="8455" width="1.88671875" style="272" customWidth="1"/>
    <col min="8456" max="8457" width="8.21875" style="272" customWidth="1"/>
    <col min="8458" max="8704" width="7.109375" style="272"/>
    <col min="8705" max="8705" width="10.21875" style="272" customWidth="1"/>
    <col min="8706" max="8706" width="3.5546875" style="272" customWidth="1"/>
    <col min="8707" max="8708" width="1.77734375" style="272" customWidth="1"/>
    <col min="8709" max="8709" width="4" style="272" customWidth="1"/>
    <col min="8710" max="8710" width="24.21875" style="272" customWidth="1"/>
    <col min="8711" max="8711" width="1.88671875" style="272" customWidth="1"/>
    <col min="8712" max="8713" width="8.21875" style="272" customWidth="1"/>
    <col min="8714" max="8960" width="7.109375" style="272"/>
    <col min="8961" max="8961" width="10.21875" style="272" customWidth="1"/>
    <col min="8962" max="8962" width="3.5546875" style="272" customWidth="1"/>
    <col min="8963" max="8964" width="1.77734375" style="272" customWidth="1"/>
    <col min="8965" max="8965" width="4" style="272" customWidth="1"/>
    <col min="8966" max="8966" width="24.21875" style="272" customWidth="1"/>
    <col min="8967" max="8967" width="1.88671875" style="272" customWidth="1"/>
    <col min="8968" max="8969" width="8.21875" style="272" customWidth="1"/>
    <col min="8970" max="9216" width="7.109375" style="272"/>
    <col min="9217" max="9217" width="10.21875" style="272" customWidth="1"/>
    <col min="9218" max="9218" width="3.5546875" style="272" customWidth="1"/>
    <col min="9219" max="9220" width="1.77734375" style="272" customWidth="1"/>
    <col min="9221" max="9221" width="4" style="272" customWidth="1"/>
    <col min="9222" max="9222" width="24.21875" style="272" customWidth="1"/>
    <col min="9223" max="9223" width="1.88671875" style="272" customWidth="1"/>
    <col min="9224" max="9225" width="8.21875" style="272" customWidth="1"/>
    <col min="9226" max="9472" width="7.109375" style="272"/>
    <col min="9473" max="9473" width="10.21875" style="272" customWidth="1"/>
    <col min="9474" max="9474" width="3.5546875" style="272" customWidth="1"/>
    <col min="9475" max="9476" width="1.77734375" style="272" customWidth="1"/>
    <col min="9477" max="9477" width="4" style="272" customWidth="1"/>
    <col min="9478" max="9478" width="24.21875" style="272" customWidth="1"/>
    <col min="9479" max="9479" width="1.88671875" style="272" customWidth="1"/>
    <col min="9480" max="9481" width="8.21875" style="272" customWidth="1"/>
    <col min="9482" max="9728" width="7.109375" style="272"/>
    <col min="9729" max="9729" width="10.21875" style="272" customWidth="1"/>
    <col min="9730" max="9730" width="3.5546875" style="272" customWidth="1"/>
    <col min="9731" max="9732" width="1.77734375" style="272" customWidth="1"/>
    <col min="9733" max="9733" width="4" style="272" customWidth="1"/>
    <col min="9734" max="9734" width="24.21875" style="272" customWidth="1"/>
    <col min="9735" max="9735" width="1.88671875" style="272" customWidth="1"/>
    <col min="9736" max="9737" width="8.21875" style="272" customWidth="1"/>
    <col min="9738" max="9984" width="7.109375" style="272"/>
    <col min="9985" max="9985" width="10.21875" style="272" customWidth="1"/>
    <col min="9986" max="9986" width="3.5546875" style="272" customWidth="1"/>
    <col min="9987" max="9988" width="1.77734375" style="272" customWidth="1"/>
    <col min="9989" max="9989" width="4" style="272" customWidth="1"/>
    <col min="9990" max="9990" width="24.21875" style="272" customWidth="1"/>
    <col min="9991" max="9991" width="1.88671875" style="272" customWidth="1"/>
    <col min="9992" max="9993" width="8.21875" style="272" customWidth="1"/>
    <col min="9994" max="10240" width="7.109375" style="272"/>
    <col min="10241" max="10241" width="10.21875" style="272" customWidth="1"/>
    <col min="10242" max="10242" width="3.5546875" style="272" customWidth="1"/>
    <col min="10243" max="10244" width="1.77734375" style="272" customWidth="1"/>
    <col min="10245" max="10245" width="4" style="272" customWidth="1"/>
    <col min="10246" max="10246" width="24.21875" style="272" customWidth="1"/>
    <col min="10247" max="10247" width="1.88671875" style="272" customWidth="1"/>
    <col min="10248" max="10249" width="8.21875" style="272" customWidth="1"/>
    <col min="10250" max="10496" width="7.109375" style="272"/>
    <col min="10497" max="10497" width="10.21875" style="272" customWidth="1"/>
    <col min="10498" max="10498" width="3.5546875" style="272" customWidth="1"/>
    <col min="10499" max="10500" width="1.77734375" style="272" customWidth="1"/>
    <col min="10501" max="10501" width="4" style="272" customWidth="1"/>
    <col min="10502" max="10502" width="24.21875" style="272" customWidth="1"/>
    <col min="10503" max="10503" width="1.88671875" style="272" customWidth="1"/>
    <col min="10504" max="10505" width="8.21875" style="272" customWidth="1"/>
    <col min="10506" max="10752" width="7.109375" style="272"/>
    <col min="10753" max="10753" width="10.21875" style="272" customWidth="1"/>
    <col min="10754" max="10754" width="3.5546875" style="272" customWidth="1"/>
    <col min="10755" max="10756" width="1.77734375" style="272" customWidth="1"/>
    <col min="10757" max="10757" width="4" style="272" customWidth="1"/>
    <col min="10758" max="10758" width="24.21875" style="272" customWidth="1"/>
    <col min="10759" max="10759" width="1.88671875" style="272" customWidth="1"/>
    <col min="10760" max="10761" width="8.21875" style="272" customWidth="1"/>
    <col min="10762" max="11008" width="7.109375" style="272"/>
    <col min="11009" max="11009" width="10.21875" style="272" customWidth="1"/>
    <col min="11010" max="11010" width="3.5546875" style="272" customWidth="1"/>
    <col min="11011" max="11012" width="1.77734375" style="272" customWidth="1"/>
    <col min="11013" max="11013" width="4" style="272" customWidth="1"/>
    <col min="11014" max="11014" width="24.21875" style="272" customWidth="1"/>
    <col min="11015" max="11015" width="1.88671875" style="272" customWidth="1"/>
    <col min="11016" max="11017" width="8.21875" style="272" customWidth="1"/>
    <col min="11018" max="11264" width="7.109375" style="272"/>
    <col min="11265" max="11265" width="10.21875" style="272" customWidth="1"/>
    <col min="11266" max="11266" width="3.5546875" style="272" customWidth="1"/>
    <col min="11267" max="11268" width="1.77734375" style="272" customWidth="1"/>
    <col min="11269" max="11269" width="4" style="272" customWidth="1"/>
    <col min="11270" max="11270" width="24.21875" style="272" customWidth="1"/>
    <col min="11271" max="11271" width="1.88671875" style="272" customWidth="1"/>
    <col min="11272" max="11273" width="8.21875" style="272" customWidth="1"/>
    <col min="11274" max="11520" width="7.109375" style="272"/>
    <col min="11521" max="11521" width="10.21875" style="272" customWidth="1"/>
    <col min="11522" max="11522" width="3.5546875" style="272" customWidth="1"/>
    <col min="11523" max="11524" width="1.77734375" style="272" customWidth="1"/>
    <col min="11525" max="11525" width="4" style="272" customWidth="1"/>
    <col min="11526" max="11526" width="24.21875" style="272" customWidth="1"/>
    <col min="11527" max="11527" width="1.88671875" style="272" customWidth="1"/>
    <col min="11528" max="11529" width="8.21875" style="272" customWidth="1"/>
    <col min="11530" max="11776" width="7.109375" style="272"/>
    <col min="11777" max="11777" width="10.21875" style="272" customWidth="1"/>
    <col min="11778" max="11778" width="3.5546875" style="272" customWidth="1"/>
    <col min="11779" max="11780" width="1.77734375" style="272" customWidth="1"/>
    <col min="11781" max="11781" width="4" style="272" customWidth="1"/>
    <col min="11782" max="11782" width="24.21875" style="272" customWidth="1"/>
    <col min="11783" max="11783" width="1.88671875" style="272" customWidth="1"/>
    <col min="11784" max="11785" width="8.21875" style="272" customWidth="1"/>
    <col min="11786" max="12032" width="7.109375" style="272"/>
    <col min="12033" max="12033" width="10.21875" style="272" customWidth="1"/>
    <col min="12034" max="12034" width="3.5546875" style="272" customWidth="1"/>
    <col min="12035" max="12036" width="1.77734375" style="272" customWidth="1"/>
    <col min="12037" max="12037" width="4" style="272" customWidth="1"/>
    <col min="12038" max="12038" width="24.21875" style="272" customWidth="1"/>
    <col min="12039" max="12039" width="1.88671875" style="272" customWidth="1"/>
    <col min="12040" max="12041" width="8.21875" style="272" customWidth="1"/>
    <col min="12042" max="12288" width="7.109375" style="272"/>
    <col min="12289" max="12289" width="10.21875" style="272" customWidth="1"/>
    <col min="12290" max="12290" width="3.5546875" style="272" customWidth="1"/>
    <col min="12291" max="12292" width="1.77734375" style="272" customWidth="1"/>
    <col min="12293" max="12293" width="4" style="272" customWidth="1"/>
    <col min="12294" max="12294" width="24.21875" style="272" customWidth="1"/>
    <col min="12295" max="12295" width="1.88671875" style="272" customWidth="1"/>
    <col min="12296" max="12297" width="8.21875" style="272" customWidth="1"/>
    <col min="12298" max="12544" width="7.109375" style="272"/>
    <col min="12545" max="12545" width="10.21875" style="272" customWidth="1"/>
    <col min="12546" max="12546" width="3.5546875" style="272" customWidth="1"/>
    <col min="12547" max="12548" width="1.77734375" style="272" customWidth="1"/>
    <col min="12549" max="12549" width="4" style="272" customWidth="1"/>
    <col min="12550" max="12550" width="24.21875" style="272" customWidth="1"/>
    <col min="12551" max="12551" width="1.88671875" style="272" customWidth="1"/>
    <col min="12552" max="12553" width="8.21875" style="272" customWidth="1"/>
    <col min="12554" max="12800" width="7.109375" style="272"/>
    <col min="12801" max="12801" width="10.21875" style="272" customWidth="1"/>
    <col min="12802" max="12802" width="3.5546875" style="272" customWidth="1"/>
    <col min="12803" max="12804" width="1.77734375" style="272" customWidth="1"/>
    <col min="12805" max="12805" width="4" style="272" customWidth="1"/>
    <col min="12806" max="12806" width="24.21875" style="272" customWidth="1"/>
    <col min="12807" max="12807" width="1.88671875" style="272" customWidth="1"/>
    <col min="12808" max="12809" width="8.21875" style="272" customWidth="1"/>
    <col min="12810" max="13056" width="7.109375" style="272"/>
    <col min="13057" max="13057" width="10.21875" style="272" customWidth="1"/>
    <col min="13058" max="13058" width="3.5546875" style="272" customWidth="1"/>
    <col min="13059" max="13060" width="1.77734375" style="272" customWidth="1"/>
    <col min="13061" max="13061" width="4" style="272" customWidth="1"/>
    <col min="13062" max="13062" width="24.21875" style="272" customWidth="1"/>
    <col min="13063" max="13063" width="1.88671875" style="272" customWidth="1"/>
    <col min="13064" max="13065" width="8.21875" style="272" customWidth="1"/>
    <col min="13066" max="13312" width="7.109375" style="272"/>
    <col min="13313" max="13313" width="10.21875" style="272" customWidth="1"/>
    <col min="13314" max="13314" width="3.5546875" style="272" customWidth="1"/>
    <col min="13315" max="13316" width="1.77734375" style="272" customWidth="1"/>
    <col min="13317" max="13317" width="4" style="272" customWidth="1"/>
    <col min="13318" max="13318" width="24.21875" style="272" customWidth="1"/>
    <col min="13319" max="13319" width="1.88671875" style="272" customWidth="1"/>
    <col min="13320" max="13321" width="8.21875" style="272" customWidth="1"/>
    <col min="13322" max="13568" width="7.109375" style="272"/>
    <col min="13569" max="13569" width="10.21875" style="272" customWidth="1"/>
    <col min="13570" max="13570" width="3.5546875" style="272" customWidth="1"/>
    <col min="13571" max="13572" width="1.77734375" style="272" customWidth="1"/>
    <col min="13573" max="13573" width="4" style="272" customWidth="1"/>
    <col min="13574" max="13574" width="24.21875" style="272" customWidth="1"/>
    <col min="13575" max="13575" width="1.88671875" style="272" customWidth="1"/>
    <col min="13576" max="13577" width="8.21875" style="272" customWidth="1"/>
    <col min="13578" max="13824" width="7.109375" style="272"/>
    <col min="13825" max="13825" width="10.21875" style="272" customWidth="1"/>
    <col min="13826" max="13826" width="3.5546875" style="272" customWidth="1"/>
    <col min="13827" max="13828" width="1.77734375" style="272" customWidth="1"/>
    <col min="13829" max="13829" width="4" style="272" customWidth="1"/>
    <col min="13830" max="13830" width="24.21875" style="272" customWidth="1"/>
    <col min="13831" max="13831" width="1.88671875" style="272" customWidth="1"/>
    <col min="13832" max="13833" width="8.21875" style="272" customWidth="1"/>
    <col min="13834" max="14080" width="7.109375" style="272"/>
    <col min="14081" max="14081" width="10.21875" style="272" customWidth="1"/>
    <col min="14082" max="14082" width="3.5546875" style="272" customWidth="1"/>
    <col min="14083" max="14084" width="1.77734375" style="272" customWidth="1"/>
    <col min="14085" max="14085" width="4" style="272" customWidth="1"/>
    <col min="14086" max="14086" width="24.21875" style="272" customWidth="1"/>
    <col min="14087" max="14087" width="1.88671875" style="272" customWidth="1"/>
    <col min="14088" max="14089" width="8.21875" style="272" customWidth="1"/>
    <col min="14090" max="14336" width="7.109375" style="272"/>
    <col min="14337" max="14337" width="10.21875" style="272" customWidth="1"/>
    <col min="14338" max="14338" width="3.5546875" style="272" customWidth="1"/>
    <col min="14339" max="14340" width="1.77734375" style="272" customWidth="1"/>
    <col min="14341" max="14341" width="4" style="272" customWidth="1"/>
    <col min="14342" max="14342" width="24.21875" style="272" customWidth="1"/>
    <col min="14343" max="14343" width="1.88671875" style="272" customWidth="1"/>
    <col min="14344" max="14345" width="8.21875" style="272" customWidth="1"/>
    <col min="14346" max="14592" width="7.109375" style="272"/>
    <col min="14593" max="14593" width="10.21875" style="272" customWidth="1"/>
    <col min="14594" max="14594" width="3.5546875" style="272" customWidth="1"/>
    <col min="14595" max="14596" width="1.77734375" style="272" customWidth="1"/>
    <col min="14597" max="14597" width="4" style="272" customWidth="1"/>
    <col min="14598" max="14598" width="24.21875" style="272" customWidth="1"/>
    <col min="14599" max="14599" width="1.88671875" style="272" customWidth="1"/>
    <col min="14600" max="14601" width="8.21875" style="272" customWidth="1"/>
    <col min="14602" max="14848" width="7.109375" style="272"/>
    <col min="14849" max="14849" width="10.21875" style="272" customWidth="1"/>
    <col min="14850" max="14850" width="3.5546875" style="272" customWidth="1"/>
    <col min="14851" max="14852" width="1.77734375" style="272" customWidth="1"/>
    <col min="14853" max="14853" width="4" style="272" customWidth="1"/>
    <col min="14854" max="14854" width="24.21875" style="272" customWidth="1"/>
    <col min="14855" max="14855" width="1.88671875" style="272" customWidth="1"/>
    <col min="14856" max="14857" width="8.21875" style="272" customWidth="1"/>
    <col min="14858" max="15104" width="7.109375" style="272"/>
    <col min="15105" max="15105" width="10.21875" style="272" customWidth="1"/>
    <col min="15106" max="15106" width="3.5546875" style="272" customWidth="1"/>
    <col min="15107" max="15108" width="1.77734375" style="272" customWidth="1"/>
    <col min="15109" max="15109" width="4" style="272" customWidth="1"/>
    <col min="15110" max="15110" width="24.21875" style="272" customWidth="1"/>
    <col min="15111" max="15111" width="1.88671875" style="272" customWidth="1"/>
    <col min="15112" max="15113" width="8.21875" style="272" customWidth="1"/>
    <col min="15114" max="15360" width="7.109375" style="272"/>
    <col min="15361" max="15361" width="10.21875" style="272" customWidth="1"/>
    <col min="15362" max="15362" width="3.5546875" style="272" customWidth="1"/>
    <col min="15363" max="15364" width="1.77734375" style="272" customWidth="1"/>
    <col min="15365" max="15365" width="4" style="272" customWidth="1"/>
    <col min="15366" max="15366" width="24.21875" style="272" customWidth="1"/>
    <col min="15367" max="15367" width="1.88671875" style="272" customWidth="1"/>
    <col min="15368" max="15369" width="8.21875" style="272" customWidth="1"/>
    <col min="15370" max="15616" width="7.109375" style="272"/>
    <col min="15617" max="15617" width="10.21875" style="272" customWidth="1"/>
    <col min="15618" max="15618" width="3.5546875" style="272" customWidth="1"/>
    <col min="15619" max="15620" width="1.77734375" style="272" customWidth="1"/>
    <col min="15621" max="15621" width="4" style="272" customWidth="1"/>
    <col min="15622" max="15622" width="24.21875" style="272" customWidth="1"/>
    <col min="15623" max="15623" width="1.88671875" style="272" customWidth="1"/>
    <col min="15624" max="15625" width="8.21875" style="272" customWidth="1"/>
    <col min="15626" max="15872" width="7.109375" style="272"/>
    <col min="15873" max="15873" width="10.21875" style="272" customWidth="1"/>
    <col min="15874" max="15874" width="3.5546875" style="272" customWidth="1"/>
    <col min="15875" max="15876" width="1.77734375" style="272" customWidth="1"/>
    <col min="15877" max="15877" width="4" style="272" customWidth="1"/>
    <col min="15878" max="15878" width="24.21875" style="272" customWidth="1"/>
    <col min="15879" max="15879" width="1.88671875" style="272" customWidth="1"/>
    <col min="15880" max="15881" width="8.21875" style="272" customWidth="1"/>
    <col min="15882" max="16128" width="7.109375" style="272"/>
    <col min="16129" max="16129" width="10.21875" style="272" customWidth="1"/>
    <col min="16130" max="16130" width="3.5546875" style="272" customWidth="1"/>
    <col min="16131" max="16132" width="1.77734375" style="272" customWidth="1"/>
    <col min="16133" max="16133" width="4" style="272" customWidth="1"/>
    <col min="16134" max="16134" width="24.21875" style="272" customWidth="1"/>
    <col min="16135" max="16135" width="1.88671875" style="272" customWidth="1"/>
    <col min="16136" max="16137" width="8.21875" style="272" customWidth="1"/>
    <col min="16138" max="16384" width="7.109375" style="272"/>
  </cols>
  <sheetData>
    <row r="1" spans="1:8" ht="14.25" customHeight="1">
      <c r="A1" s="854" t="s">
        <v>590</v>
      </c>
      <c r="B1" s="854"/>
      <c r="C1" s="854"/>
      <c r="D1" s="854"/>
      <c r="E1" s="854"/>
      <c r="F1" s="854"/>
      <c r="G1" s="854"/>
      <c r="H1" s="854"/>
    </row>
    <row r="2" spans="1:8">
      <c r="A2" s="854" t="s">
        <v>168</v>
      </c>
      <c r="B2" s="854"/>
      <c r="C2" s="854"/>
      <c r="D2" s="854"/>
      <c r="E2" s="854"/>
      <c r="F2" s="854"/>
      <c r="G2" s="854"/>
      <c r="H2" s="854"/>
    </row>
    <row r="3" spans="1:8">
      <c r="A3" s="855" t="str">
        <f>'Act Att-H'!C7</f>
        <v>Cheyenne Light, Fuel &amp; Power</v>
      </c>
      <c r="B3" s="855"/>
      <c r="C3" s="855"/>
      <c r="D3" s="855"/>
      <c r="E3" s="855"/>
      <c r="F3" s="855"/>
      <c r="G3" s="855"/>
      <c r="H3" s="855"/>
    </row>
    <row r="4" spans="1:8">
      <c r="F4" s="302"/>
      <c r="H4" s="412" t="s">
        <v>748</v>
      </c>
    </row>
    <row r="5" spans="1:8">
      <c r="A5" s="854"/>
      <c r="B5" s="854"/>
      <c r="C5" s="854"/>
      <c r="D5" s="854"/>
      <c r="E5" s="854"/>
      <c r="F5" s="854"/>
      <c r="G5" s="854"/>
      <c r="H5" s="854"/>
    </row>
    <row r="6" spans="1:8">
      <c r="B6" s="276" t="s">
        <v>4</v>
      </c>
      <c r="H6" s="272"/>
    </row>
    <row r="7" spans="1:8">
      <c r="B7" s="279" t="s">
        <v>6</v>
      </c>
      <c r="D7" s="307" t="s">
        <v>150</v>
      </c>
      <c r="E7" s="307"/>
      <c r="F7" s="307"/>
      <c r="H7" s="308" t="s">
        <v>169</v>
      </c>
    </row>
    <row r="8" spans="1:8">
      <c r="B8" s="276">
        <v>1</v>
      </c>
    </row>
    <row r="9" spans="1:8">
      <c r="B9" s="276">
        <v>2</v>
      </c>
      <c r="D9" s="290" t="s">
        <v>151</v>
      </c>
      <c r="E9" s="290"/>
    </row>
    <row r="10" spans="1:8">
      <c r="B10" s="276">
        <v>3</v>
      </c>
    </row>
    <row r="11" spans="1:8">
      <c r="B11" s="276">
        <v>4</v>
      </c>
      <c r="E11" s="413">
        <v>350.03</v>
      </c>
      <c r="F11" s="310" t="s">
        <v>756</v>
      </c>
      <c r="H11" s="415">
        <v>1.0800000000000001E-2</v>
      </c>
    </row>
    <row r="12" spans="1:8">
      <c r="B12" s="276">
        <v>5</v>
      </c>
      <c r="E12" s="413">
        <v>352</v>
      </c>
      <c r="F12" s="272" t="s">
        <v>757</v>
      </c>
      <c r="H12" s="415">
        <v>1.04E-2</v>
      </c>
    </row>
    <row r="13" spans="1:8">
      <c r="B13" s="276">
        <v>6</v>
      </c>
      <c r="E13" s="413">
        <v>352.05</v>
      </c>
      <c r="F13" s="272" t="s">
        <v>758</v>
      </c>
      <c r="H13" s="415">
        <v>1.83E-2</v>
      </c>
    </row>
    <row r="14" spans="1:8">
      <c r="B14" s="276">
        <v>7</v>
      </c>
      <c r="E14" s="413">
        <v>353</v>
      </c>
      <c r="F14" s="272" t="s">
        <v>759</v>
      </c>
      <c r="H14" s="415">
        <v>2.1100000000000001E-2</v>
      </c>
    </row>
    <row r="15" spans="1:8">
      <c r="B15" s="276">
        <v>8</v>
      </c>
      <c r="E15" s="413">
        <v>354</v>
      </c>
      <c r="F15" s="272" t="s">
        <v>760</v>
      </c>
      <c r="H15" s="415">
        <v>1.2200000000000001E-2</v>
      </c>
    </row>
    <row r="16" spans="1:8">
      <c r="B16" s="276">
        <v>9</v>
      </c>
      <c r="E16" s="413">
        <v>355</v>
      </c>
      <c r="F16" s="310" t="s">
        <v>761</v>
      </c>
      <c r="H16" s="415">
        <v>2.7699999999999999E-2</v>
      </c>
    </row>
    <row r="17" spans="2:8">
      <c r="B17" s="276">
        <v>10</v>
      </c>
      <c r="E17" s="413">
        <v>356</v>
      </c>
      <c r="F17" s="272" t="s">
        <v>762</v>
      </c>
      <c r="H17" s="415">
        <v>1.95E-2</v>
      </c>
    </row>
    <row r="18" spans="2:8">
      <c r="B18" s="276">
        <v>11</v>
      </c>
      <c r="F18" s="418" t="s">
        <v>774</v>
      </c>
      <c r="H18" s="419">
        <v>0.02</v>
      </c>
    </row>
    <row r="19" spans="2:8">
      <c r="B19" s="276">
        <v>12</v>
      </c>
      <c r="H19" s="416"/>
    </row>
    <row r="20" spans="2:8">
      <c r="B20" s="276">
        <v>13</v>
      </c>
      <c r="D20" s="290" t="s">
        <v>152</v>
      </c>
      <c r="H20" s="416"/>
    </row>
    <row r="21" spans="2:8">
      <c r="B21" s="276">
        <v>14</v>
      </c>
      <c r="H21" s="416"/>
    </row>
    <row r="22" spans="2:8">
      <c r="B22" s="276">
        <v>15</v>
      </c>
      <c r="E22" s="413">
        <v>390.01</v>
      </c>
      <c r="F22" s="310" t="s">
        <v>763</v>
      </c>
      <c r="H22" s="415">
        <v>2.12E-2</v>
      </c>
    </row>
    <row r="23" spans="2:8">
      <c r="B23" s="276">
        <v>16</v>
      </c>
      <c r="E23" s="413">
        <v>391.01</v>
      </c>
      <c r="F23" s="272" t="s">
        <v>764</v>
      </c>
      <c r="H23" s="415">
        <v>5.0999999999999997E-2</v>
      </c>
    </row>
    <row r="24" spans="2:8">
      <c r="B24" s="276">
        <v>17</v>
      </c>
      <c r="E24" s="413">
        <v>391.03</v>
      </c>
      <c r="F24" s="272" t="s">
        <v>765</v>
      </c>
      <c r="H24" s="415">
        <v>0.18629999999999999</v>
      </c>
    </row>
    <row r="25" spans="2:8">
      <c r="B25" s="276">
        <v>18</v>
      </c>
      <c r="E25" s="413">
        <v>391.04</v>
      </c>
      <c r="F25" s="272" t="s">
        <v>766</v>
      </c>
      <c r="H25" s="415">
        <v>0.13320000000000001</v>
      </c>
    </row>
    <row r="26" spans="2:8">
      <c r="B26" s="276">
        <v>19</v>
      </c>
      <c r="E26" s="414">
        <v>392</v>
      </c>
      <c r="F26" s="272" t="s">
        <v>773</v>
      </c>
      <c r="H26" s="417">
        <v>6.08E-2</v>
      </c>
    </row>
    <row r="27" spans="2:8">
      <c r="B27" s="276">
        <v>20</v>
      </c>
      <c r="E27" s="413">
        <v>393</v>
      </c>
      <c r="F27" s="272" t="s">
        <v>767</v>
      </c>
      <c r="H27" s="417">
        <v>5.0200000000000002E-2</v>
      </c>
    </row>
    <row r="28" spans="2:8">
      <c r="B28" s="276">
        <v>21</v>
      </c>
      <c r="E28" s="413">
        <v>394</v>
      </c>
      <c r="F28" s="272" t="s">
        <v>768</v>
      </c>
      <c r="H28" s="417">
        <v>3.5099999999999999E-2</v>
      </c>
    </row>
    <row r="29" spans="2:8">
      <c r="B29" s="276">
        <v>22</v>
      </c>
      <c r="E29" s="413">
        <v>395</v>
      </c>
      <c r="F29" s="272" t="s">
        <v>769</v>
      </c>
      <c r="H29" s="417">
        <v>2.7E-2</v>
      </c>
    </row>
    <row r="30" spans="2:8">
      <c r="B30" s="276">
        <v>23</v>
      </c>
      <c r="E30" s="413">
        <v>396</v>
      </c>
      <c r="F30" s="272" t="s">
        <v>770</v>
      </c>
      <c r="H30" s="417">
        <v>5.5300000000000002E-2</v>
      </c>
    </row>
    <row r="31" spans="2:8">
      <c r="B31" s="276">
        <v>24</v>
      </c>
      <c r="E31" s="413">
        <v>397</v>
      </c>
      <c r="F31" s="272" t="s">
        <v>771</v>
      </c>
      <c r="H31" s="417">
        <v>6.9599999999999995E-2</v>
      </c>
    </row>
    <row r="32" spans="2:8">
      <c r="B32" s="303">
        <v>25</v>
      </c>
      <c r="C32" s="283"/>
      <c r="D32" s="283"/>
      <c r="F32" s="418" t="s">
        <v>772</v>
      </c>
      <c r="H32" s="420">
        <v>7.2599999999999998E-2</v>
      </c>
    </row>
    <row r="33" spans="2:2">
      <c r="B33" s="276"/>
    </row>
    <row r="34" spans="2:2">
      <c r="B34" s="276"/>
    </row>
  </sheetData>
  <mergeCells count="4">
    <mergeCell ref="A5:H5"/>
    <mergeCell ref="A1:H1"/>
    <mergeCell ref="A2:H2"/>
    <mergeCell ref="A3:H3"/>
  </mergeCells>
  <printOptions horizontalCentered="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I34"/>
  <sheetViews>
    <sheetView zoomScale="75" zoomScaleNormal="75" workbookViewId="0">
      <selection activeCell="E20" sqref="E20"/>
    </sheetView>
  </sheetViews>
  <sheetFormatPr defaultColWidth="7.109375" defaultRowHeight="12.75"/>
  <cols>
    <col min="1" max="1" width="2.109375" style="272" customWidth="1"/>
    <col min="2" max="2" width="4.77734375" style="272" customWidth="1"/>
    <col min="3" max="3" width="11.33203125" style="272" customWidth="1"/>
    <col min="4" max="4" width="9.44140625" style="272" bestFit="1" customWidth="1"/>
    <col min="5" max="5" width="11.21875" style="272" customWidth="1"/>
    <col min="6" max="6" width="13" style="272" customWidth="1"/>
    <col min="7" max="7" width="9.44140625" style="272" customWidth="1"/>
    <col min="8" max="8" width="8.21875" style="289" customWidth="1"/>
    <col min="9" max="9" width="8.21875" style="272" customWidth="1"/>
    <col min="10" max="256" width="7.109375" style="272"/>
    <col min="257" max="257" width="10.21875" style="272" customWidth="1"/>
    <col min="258" max="258" width="3.5546875" style="272" customWidth="1"/>
    <col min="259" max="260" width="1.77734375" style="272" customWidth="1"/>
    <col min="261" max="261" width="4" style="272" customWidth="1"/>
    <col min="262" max="262" width="24.21875" style="272" customWidth="1"/>
    <col min="263" max="263" width="1.88671875" style="272" customWidth="1"/>
    <col min="264" max="265" width="8.21875" style="272" customWidth="1"/>
    <col min="266" max="512" width="7.109375" style="272"/>
    <col min="513" max="513" width="10.21875" style="272" customWidth="1"/>
    <col min="514" max="514" width="3.5546875" style="272" customWidth="1"/>
    <col min="515" max="516" width="1.77734375" style="272" customWidth="1"/>
    <col min="517" max="517" width="4" style="272" customWidth="1"/>
    <col min="518" max="518" width="24.21875" style="272" customWidth="1"/>
    <col min="519" max="519" width="1.88671875" style="272" customWidth="1"/>
    <col min="520" max="521" width="8.21875" style="272" customWidth="1"/>
    <col min="522" max="768" width="7.109375" style="272"/>
    <col min="769" max="769" width="10.21875" style="272" customWidth="1"/>
    <col min="770" max="770" width="3.5546875" style="272" customWidth="1"/>
    <col min="771" max="772" width="1.77734375" style="272" customWidth="1"/>
    <col min="773" max="773" width="4" style="272" customWidth="1"/>
    <col min="774" max="774" width="24.21875" style="272" customWidth="1"/>
    <col min="775" max="775" width="1.88671875" style="272" customWidth="1"/>
    <col min="776" max="777" width="8.21875" style="272" customWidth="1"/>
    <col min="778" max="1024" width="7.109375" style="272"/>
    <col min="1025" max="1025" width="10.21875" style="272" customWidth="1"/>
    <col min="1026" max="1026" width="3.5546875" style="272" customWidth="1"/>
    <col min="1027" max="1028" width="1.77734375" style="272" customWidth="1"/>
    <col min="1029" max="1029" width="4" style="272" customWidth="1"/>
    <col min="1030" max="1030" width="24.21875" style="272" customWidth="1"/>
    <col min="1031" max="1031" width="1.88671875" style="272" customWidth="1"/>
    <col min="1032" max="1033" width="8.21875" style="272" customWidth="1"/>
    <col min="1034" max="1280" width="7.109375" style="272"/>
    <col min="1281" max="1281" width="10.21875" style="272" customWidth="1"/>
    <col min="1282" max="1282" width="3.5546875" style="272" customWidth="1"/>
    <col min="1283" max="1284" width="1.77734375" style="272" customWidth="1"/>
    <col min="1285" max="1285" width="4" style="272" customWidth="1"/>
    <col min="1286" max="1286" width="24.21875" style="272" customWidth="1"/>
    <col min="1287" max="1287" width="1.88671875" style="272" customWidth="1"/>
    <col min="1288" max="1289" width="8.21875" style="272" customWidth="1"/>
    <col min="1290" max="1536" width="7.109375" style="272"/>
    <col min="1537" max="1537" width="10.21875" style="272" customWidth="1"/>
    <col min="1538" max="1538" width="3.5546875" style="272" customWidth="1"/>
    <col min="1539" max="1540" width="1.77734375" style="272" customWidth="1"/>
    <col min="1541" max="1541" width="4" style="272" customWidth="1"/>
    <col min="1542" max="1542" width="24.21875" style="272" customWidth="1"/>
    <col min="1543" max="1543" width="1.88671875" style="272" customWidth="1"/>
    <col min="1544" max="1545" width="8.21875" style="272" customWidth="1"/>
    <col min="1546" max="1792" width="7.109375" style="272"/>
    <col min="1793" max="1793" width="10.21875" style="272" customWidth="1"/>
    <col min="1794" max="1794" width="3.5546875" style="272" customWidth="1"/>
    <col min="1795" max="1796" width="1.77734375" style="272" customWidth="1"/>
    <col min="1797" max="1797" width="4" style="272" customWidth="1"/>
    <col min="1798" max="1798" width="24.21875" style="272" customWidth="1"/>
    <col min="1799" max="1799" width="1.88671875" style="272" customWidth="1"/>
    <col min="1800" max="1801" width="8.21875" style="272" customWidth="1"/>
    <col min="1802" max="2048" width="7.109375" style="272"/>
    <col min="2049" max="2049" width="10.21875" style="272" customWidth="1"/>
    <col min="2050" max="2050" width="3.5546875" style="272" customWidth="1"/>
    <col min="2051" max="2052" width="1.77734375" style="272" customWidth="1"/>
    <col min="2053" max="2053" width="4" style="272" customWidth="1"/>
    <col min="2054" max="2054" width="24.21875" style="272" customWidth="1"/>
    <col min="2055" max="2055" width="1.88671875" style="272" customWidth="1"/>
    <col min="2056" max="2057" width="8.21875" style="272" customWidth="1"/>
    <col min="2058" max="2304" width="7.109375" style="272"/>
    <col min="2305" max="2305" width="10.21875" style="272" customWidth="1"/>
    <col min="2306" max="2306" width="3.5546875" style="272" customWidth="1"/>
    <col min="2307" max="2308" width="1.77734375" style="272" customWidth="1"/>
    <col min="2309" max="2309" width="4" style="272" customWidth="1"/>
    <col min="2310" max="2310" width="24.21875" style="272" customWidth="1"/>
    <col min="2311" max="2311" width="1.88671875" style="272" customWidth="1"/>
    <col min="2312" max="2313" width="8.21875" style="272" customWidth="1"/>
    <col min="2314" max="2560" width="7.109375" style="272"/>
    <col min="2561" max="2561" width="10.21875" style="272" customWidth="1"/>
    <col min="2562" max="2562" width="3.5546875" style="272" customWidth="1"/>
    <col min="2563" max="2564" width="1.77734375" style="272" customWidth="1"/>
    <col min="2565" max="2565" width="4" style="272" customWidth="1"/>
    <col min="2566" max="2566" width="24.21875" style="272" customWidth="1"/>
    <col min="2567" max="2567" width="1.88671875" style="272" customWidth="1"/>
    <col min="2568" max="2569" width="8.21875" style="272" customWidth="1"/>
    <col min="2570" max="2816" width="7.109375" style="272"/>
    <col min="2817" max="2817" width="10.21875" style="272" customWidth="1"/>
    <col min="2818" max="2818" width="3.5546875" style="272" customWidth="1"/>
    <col min="2819" max="2820" width="1.77734375" style="272" customWidth="1"/>
    <col min="2821" max="2821" width="4" style="272" customWidth="1"/>
    <col min="2822" max="2822" width="24.21875" style="272" customWidth="1"/>
    <col min="2823" max="2823" width="1.88671875" style="272" customWidth="1"/>
    <col min="2824" max="2825" width="8.21875" style="272" customWidth="1"/>
    <col min="2826" max="3072" width="7.109375" style="272"/>
    <col min="3073" max="3073" width="10.21875" style="272" customWidth="1"/>
    <col min="3074" max="3074" width="3.5546875" style="272" customWidth="1"/>
    <col min="3075" max="3076" width="1.77734375" style="272" customWidth="1"/>
    <col min="3077" max="3077" width="4" style="272" customWidth="1"/>
    <col min="3078" max="3078" width="24.21875" style="272" customWidth="1"/>
    <col min="3079" max="3079" width="1.88671875" style="272" customWidth="1"/>
    <col min="3080" max="3081" width="8.21875" style="272" customWidth="1"/>
    <col min="3082" max="3328" width="7.109375" style="272"/>
    <col min="3329" max="3329" width="10.21875" style="272" customWidth="1"/>
    <col min="3330" max="3330" width="3.5546875" style="272" customWidth="1"/>
    <col min="3331" max="3332" width="1.77734375" style="272" customWidth="1"/>
    <col min="3333" max="3333" width="4" style="272" customWidth="1"/>
    <col min="3334" max="3334" width="24.21875" style="272" customWidth="1"/>
    <col min="3335" max="3335" width="1.88671875" style="272" customWidth="1"/>
    <col min="3336" max="3337" width="8.21875" style="272" customWidth="1"/>
    <col min="3338" max="3584" width="7.109375" style="272"/>
    <col min="3585" max="3585" width="10.21875" style="272" customWidth="1"/>
    <col min="3586" max="3586" width="3.5546875" style="272" customWidth="1"/>
    <col min="3587" max="3588" width="1.77734375" style="272" customWidth="1"/>
    <col min="3589" max="3589" width="4" style="272" customWidth="1"/>
    <col min="3590" max="3590" width="24.21875" style="272" customWidth="1"/>
    <col min="3591" max="3591" width="1.88671875" style="272" customWidth="1"/>
    <col min="3592" max="3593" width="8.21875" style="272" customWidth="1"/>
    <col min="3594" max="3840" width="7.109375" style="272"/>
    <col min="3841" max="3841" width="10.21875" style="272" customWidth="1"/>
    <col min="3842" max="3842" width="3.5546875" style="272" customWidth="1"/>
    <col min="3843" max="3844" width="1.77734375" style="272" customWidth="1"/>
    <col min="3845" max="3845" width="4" style="272" customWidth="1"/>
    <col min="3846" max="3846" width="24.21875" style="272" customWidth="1"/>
    <col min="3847" max="3847" width="1.88671875" style="272" customWidth="1"/>
    <col min="3848" max="3849" width="8.21875" style="272" customWidth="1"/>
    <col min="3850" max="4096" width="7.109375" style="272"/>
    <col min="4097" max="4097" width="10.21875" style="272" customWidth="1"/>
    <col min="4098" max="4098" width="3.5546875" style="272" customWidth="1"/>
    <col min="4099" max="4100" width="1.77734375" style="272" customWidth="1"/>
    <col min="4101" max="4101" width="4" style="272" customWidth="1"/>
    <col min="4102" max="4102" width="24.21875" style="272" customWidth="1"/>
    <col min="4103" max="4103" width="1.88671875" style="272" customWidth="1"/>
    <col min="4104" max="4105" width="8.21875" style="272" customWidth="1"/>
    <col min="4106" max="4352" width="7.109375" style="272"/>
    <col min="4353" max="4353" width="10.21875" style="272" customWidth="1"/>
    <col min="4354" max="4354" width="3.5546875" style="272" customWidth="1"/>
    <col min="4355" max="4356" width="1.77734375" style="272" customWidth="1"/>
    <col min="4357" max="4357" width="4" style="272" customWidth="1"/>
    <col min="4358" max="4358" width="24.21875" style="272" customWidth="1"/>
    <col min="4359" max="4359" width="1.88671875" style="272" customWidth="1"/>
    <col min="4360" max="4361" width="8.21875" style="272" customWidth="1"/>
    <col min="4362" max="4608" width="7.109375" style="272"/>
    <col min="4609" max="4609" width="10.21875" style="272" customWidth="1"/>
    <col min="4610" max="4610" width="3.5546875" style="272" customWidth="1"/>
    <col min="4611" max="4612" width="1.77734375" style="272" customWidth="1"/>
    <col min="4613" max="4613" width="4" style="272" customWidth="1"/>
    <col min="4614" max="4614" width="24.21875" style="272" customWidth="1"/>
    <col min="4615" max="4615" width="1.88671875" style="272" customWidth="1"/>
    <col min="4616" max="4617" width="8.21875" style="272" customWidth="1"/>
    <col min="4618" max="4864" width="7.109375" style="272"/>
    <col min="4865" max="4865" width="10.21875" style="272" customWidth="1"/>
    <col min="4866" max="4866" width="3.5546875" style="272" customWidth="1"/>
    <col min="4867" max="4868" width="1.77734375" style="272" customWidth="1"/>
    <col min="4869" max="4869" width="4" style="272" customWidth="1"/>
    <col min="4870" max="4870" width="24.21875" style="272" customWidth="1"/>
    <col min="4871" max="4871" width="1.88671875" style="272" customWidth="1"/>
    <col min="4872" max="4873" width="8.21875" style="272" customWidth="1"/>
    <col min="4874" max="5120" width="7.109375" style="272"/>
    <col min="5121" max="5121" width="10.21875" style="272" customWidth="1"/>
    <col min="5122" max="5122" width="3.5546875" style="272" customWidth="1"/>
    <col min="5123" max="5124" width="1.77734375" style="272" customWidth="1"/>
    <col min="5125" max="5125" width="4" style="272" customWidth="1"/>
    <col min="5126" max="5126" width="24.21875" style="272" customWidth="1"/>
    <col min="5127" max="5127" width="1.88671875" style="272" customWidth="1"/>
    <col min="5128" max="5129" width="8.21875" style="272" customWidth="1"/>
    <col min="5130" max="5376" width="7.109375" style="272"/>
    <col min="5377" max="5377" width="10.21875" style="272" customWidth="1"/>
    <col min="5378" max="5378" width="3.5546875" style="272" customWidth="1"/>
    <col min="5379" max="5380" width="1.77734375" style="272" customWidth="1"/>
    <col min="5381" max="5381" width="4" style="272" customWidth="1"/>
    <col min="5382" max="5382" width="24.21875" style="272" customWidth="1"/>
    <col min="5383" max="5383" width="1.88671875" style="272" customWidth="1"/>
    <col min="5384" max="5385" width="8.21875" style="272" customWidth="1"/>
    <col min="5386" max="5632" width="7.109375" style="272"/>
    <col min="5633" max="5633" width="10.21875" style="272" customWidth="1"/>
    <col min="5634" max="5634" width="3.5546875" style="272" customWidth="1"/>
    <col min="5635" max="5636" width="1.77734375" style="272" customWidth="1"/>
    <col min="5637" max="5637" width="4" style="272" customWidth="1"/>
    <col min="5638" max="5638" width="24.21875" style="272" customWidth="1"/>
    <col min="5639" max="5639" width="1.88671875" style="272" customWidth="1"/>
    <col min="5640" max="5641" width="8.21875" style="272" customWidth="1"/>
    <col min="5642" max="5888" width="7.109375" style="272"/>
    <col min="5889" max="5889" width="10.21875" style="272" customWidth="1"/>
    <col min="5890" max="5890" width="3.5546875" style="272" customWidth="1"/>
    <col min="5891" max="5892" width="1.77734375" style="272" customWidth="1"/>
    <col min="5893" max="5893" width="4" style="272" customWidth="1"/>
    <col min="5894" max="5894" width="24.21875" style="272" customWidth="1"/>
    <col min="5895" max="5895" width="1.88671875" style="272" customWidth="1"/>
    <col min="5896" max="5897" width="8.21875" style="272" customWidth="1"/>
    <col min="5898" max="6144" width="7.109375" style="272"/>
    <col min="6145" max="6145" width="10.21875" style="272" customWidth="1"/>
    <col min="6146" max="6146" width="3.5546875" style="272" customWidth="1"/>
    <col min="6147" max="6148" width="1.77734375" style="272" customWidth="1"/>
    <col min="6149" max="6149" width="4" style="272" customWidth="1"/>
    <col min="6150" max="6150" width="24.21875" style="272" customWidth="1"/>
    <col min="6151" max="6151" width="1.88671875" style="272" customWidth="1"/>
    <col min="6152" max="6153" width="8.21875" style="272" customWidth="1"/>
    <col min="6154" max="6400" width="7.109375" style="272"/>
    <col min="6401" max="6401" width="10.21875" style="272" customWidth="1"/>
    <col min="6402" max="6402" width="3.5546875" style="272" customWidth="1"/>
    <col min="6403" max="6404" width="1.77734375" style="272" customWidth="1"/>
    <col min="6405" max="6405" width="4" style="272" customWidth="1"/>
    <col min="6406" max="6406" width="24.21875" style="272" customWidth="1"/>
    <col min="6407" max="6407" width="1.88671875" style="272" customWidth="1"/>
    <col min="6408" max="6409" width="8.21875" style="272" customWidth="1"/>
    <col min="6410" max="6656" width="7.109375" style="272"/>
    <col min="6657" max="6657" width="10.21875" style="272" customWidth="1"/>
    <col min="6658" max="6658" width="3.5546875" style="272" customWidth="1"/>
    <col min="6659" max="6660" width="1.77734375" style="272" customWidth="1"/>
    <col min="6661" max="6661" width="4" style="272" customWidth="1"/>
    <col min="6662" max="6662" width="24.21875" style="272" customWidth="1"/>
    <col min="6663" max="6663" width="1.88671875" style="272" customWidth="1"/>
    <col min="6664" max="6665" width="8.21875" style="272" customWidth="1"/>
    <col min="6666" max="6912" width="7.109375" style="272"/>
    <col min="6913" max="6913" width="10.21875" style="272" customWidth="1"/>
    <col min="6914" max="6914" width="3.5546875" style="272" customWidth="1"/>
    <col min="6915" max="6916" width="1.77734375" style="272" customWidth="1"/>
    <col min="6917" max="6917" width="4" style="272" customWidth="1"/>
    <col min="6918" max="6918" width="24.21875" style="272" customWidth="1"/>
    <col min="6919" max="6919" width="1.88671875" style="272" customWidth="1"/>
    <col min="6920" max="6921" width="8.21875" style="272" customWidth="1"/>
    <col min="6922" max="7168" width="7.109375" style="272"/>
    <col min="7169" max="7169" width="10.21875" style="272" customWidth="1"/>
    <col min="7170" max="7170" width="3.5546875" style="272" customWidth="1"/>
    <col min="7171" max="7172" width="1.77734375" style="272" customWidth="1"/>
    <col min="7173" max="7173" width="4" style="272" customWidth="1"/>
    <col min="7174" max="7174" width="24.21875" style="272" customWidth="1"/>
    <col min="7175" max="7175" width="1.88671875" style="272" customWidth="1"/>
    <col min="7176" max="7177" width="8.21875" style="272" customWidth="1"/>
    <col min="7178" max="7424" width="7.109375" style="272"/>
    <col min="7425" max="7425" width="10.21875" style="272" customWidth="1"/>
    <col min="7426" max="7426" width="3.5546875" style="272" customWidth="1"/>
    <col min="7427" max="7428" width="1.77734375" style="272" customWidth="1"/>
    <col min="7429" max="7429" width="4" style="272" customWidth="1"/>
    <col min="7430" max="7430" width="24.21875" style="272" customWidth="1"/>
    <col min="7431" max="7431" width="1.88671875" style="272" customWidth="1"/>
    <col min="7432" max="7433" width="8.21875" style="272" customWidth="1"/>
    <col min="7434" max="7680" width="7.109375" style="272"/>
    <col min="7681" max="7681" width="10.21875" style="272" customWidth="1"/>
    <col min="7682" max="7682" width="3.5546875" style="272" customWidth="1"/>
    <col min="7683" max="7684" width="1.77734375" style="272" customWidth="1"/>
    <col min="7685" max="7685" width="4" style="272" customWidth="1"/>
    <col min="7686" max="7686" width="24.21875" style="272" customWidth="1"/>
    <col min="7687" max="7687" width="1.88671875" style="272" customWidth="1"/>
    <col min="7688" max="7689" width="8.21875" style="272" customWidth="1"/>
    <col min="7690" max="7936" width="7.109375" style="272"/>
    <col min="7937" max="7937" width="10.21875" style="272" customWidth="1"/>
    <col min="7938" max="7938" width="3.5546875" style="272" customWidth="1"/>
    <col min="7939" max="7940" width="1.77734375" style="272" customWidth="1"/>
    <col min="7941" max="7941" width="4" style="272" customWidth="1"/>
    <col min="7942" max="7942" width="24.21875" style="272" customWidth="1"/>
    <col min="7943" max="7943" width="1.88671875" style="272" customWidth="1"/>
    <col min="7944" max="7945" width="8.21875" style="272" customWidth="1"/>
    <col min="7946" max="8192" width="7.109375" style="272"/>
    <col min="8193" max="8193" width="10.21875" style="272" customWidth="1"/>
    <col min="8194" max="8194" width="3.5546875" style="272" customWidth="1"/>
    <col min="8195" max="8196" width="1.77734375" style="272" customWidth="1"/>
    <col min="8197" max="8197" width="4" style="272" customWidth="1"/>
    <col min="8198" max="8198" width="24.21875" style="272" customWidth="1"/>
    <col min="8199" max="8199" width="1.88671875" style="272" customWidth="1"/>
    <col min="8200" max="8201" width="8.21875" style="272" customWidth="1"/>
    <col min="8202" max="8448" width="7.109375" style="272"/>
    <col min="8449" max="8449" width="10.21875" style="272" customWidth="1"/>
    <col min="8450" max="8450" width="3.5546875" style="272" customWidth="1"/>
    <col min="8451" max="8452" width="1.77734375" style="272" customWidth="1"/>
    <col min="8453" max="8453" width="4" style="272" customWidth="1"/>
    <col min="8454" max="8454" width="24.21875" style="272" customWidth="1"/>
    <col min="8455" max="8455" width="1.88671875" style="272" customWidth="1"/>
    <col min="8456" max="8457" width="8.21875" style="272" customWidth="1"/>
    <col min="8458" max="8704" width="7.109375" style="272"/>
    <col min="8705" max="8705" width="10.21875" style="272" customWidth="1"/>
    <col min="8706" max="8706" width="3.5546875" style="272" customWidth="1"/>
    <col min="8707" max="8708" width="1.77734375" style="272" customWidth="1"/>
    <col min="8709" max="8709" width="4" style="272" customWidth="1"/>
    <col min="8710" max="8710" width="24.21875" style="272" customWidth="1"/>
    <col min="8711" max="8711" width="1.88671875" style="272" customWidth="1"/>
    <col min="8712" max="8713" width="8.21875" style="272" customWidth="1"/>
    <col min="8714" max="8960" width="7.109375" style="272"/>
    <col min="8961" max="8961" width="10.21875" style="272" customWidth="1"/>
    <col min="8962" max="8962" width="3.5546875" style="272" customWidth="1"/>
    <col min="8963" max="8964" width="1.77734375" style="272" customWidth="1"/>
    <col min="8965" max="8965" width="4" style="272" customWidth="1"/>
    <col min="8966" max="8966" width="24.21875" style="272" customWidth="1"/>
    <col min="8967" max="8967" width="1.88671875" style="272" customWidth="1"/>
    <col min="8968" max="8969" width="8.21875" style="272" customWidth="1"/>
    <col min="8970" max="9216" width="7.109375" style="272"/>
    <col min="9217" max="9217" width="10.21875" style="272" customWidth="1"/>
    <col min="9218" max="9218" width="3.5546875" style="272" customWidth="1"/>
    <col min="9219" max="9220" width="1.77734375" style="272" customWidth="1"/>
    <col min="9221" max="9221" width="4" style="272" customWidth="1"/>
    <col min="9222" max="9222" width="24.21875" style="272" customWidth="1"/>
    <col min="9223" max="9223" width="1.88671875" style="272" customWidth="1"/>
    <col min="9224" max="9225" width="8.21875" style="272" customWidth="1"/>
    <col min="9226" max="9472" width="7.109375" style="272"/>
    <col min="9473" max="9473" width="10.21875" style="272" customWidth="1"/>
    <col min="9474" max="9474" width="3.5546875" style="272" customWidth="1"/>
    <col min="9475" max="9476" width="1.77734375" style="272" customWidth="1"/>
    <col min="9477" max="9477" width="4" style="272" customWidth="1"/>
    <col min="9478" max="9478" width="24.21875" style="272" customWidth="1"/>
    <col min="9479" max="9479" width="1.88671875" style="272" customWidth="1"/>
    <col min="9480" max="9481" width="8.21875" style="272" customWidth="1"/>
    <col min="9482" max="9728" width="7.109375" style="272"/>
    <col min="9729" max="9729" width="10.21875" style="272" customWidth="1"/>
    <col min="9730" max="9730" width="3.5546875" style="272" customWidth="1"/>
    <col min="9731" max="9732" width="1.77734375" style="272" customWidth="1"/>
    <col min="9733" max="9733" width="4" style="272" customWidth="1"/>
    <col min="9734" max="9734" width="24.21875" style="272" customWidth="1"/>
    <col min="9735" max="9735" width="1.88671875" style="272" customWidth="1"/>
    <col min="9736" max="9737" width="8.21875" style="272" customWidth="1"/>
    <col min="9738" max="9984" width="7.109375" style="272"/>
    <col min="9985" max="9985" width="10.21875" style="272" customWidth="1"/>
    <col min="9986" max="9986" width="3.5546875" style="272" customWidth="1"/>
    <col min="9987" max="9988" width="1.77734375" style="272" customWidth="1"/>
    <col min="9989" max="9989" width="4" style="272" customWidth="1"/>
    <col min="9990" max="9990" width="24.21875" style="272" customWidth="1"/>
    <col min="9991" max="9991" width="1.88671875" style="272" customWidth="1"/>
    <col min="9992" max="9993" width="8.21875" style="272" customWidth="1"/>
    <col min="9994" max="10240" width="7.109375" style="272"/>
    <col min="10241" max="10241" width="10.21875" style="272" customWidth="1"/>
    <col min="10242" max="10242" width="3.5546875" style="272" customWidth="1"/>
    <col min="10243" max="10244" width="1.77734375" style="272" customWidth="1"/>
    <col min="10245" max="10245" width="4" style="272" customWidth="1"/>
    <col min="10246" max="10246" width="24.21875" style="272" customWidth="1"/>
    <col min="10247" max="10247" width="1.88671875" style="272" customWidth="1"/>
    <col min="10248" max="10249" width="8.21875" style="272" customWidth="1"/>
    <col min="10250" max="10496" width="7.109375" style="272"/>
    <col min="10497" max="10497" width="10.21875" style="272" customWidth="1"/>
    <col min="10498" max="10498" width="3.5546875" style="272" customWidth="1"/>
    <col min="10499" max="10500" width="1.77734375" style="272" customWidth="1"/>
    <col min="10501" max="10501" width="4" style="272" customWidth="1"/>
    <col min="10502" max="10502" width="24.21875" style="272" customWidth="1"/>
    <col min="10503" max="10503" width="1.88671875" style="272" customWidth="1"/>
    <col min="10504" max="10505" width="8.21875" style="272" customWidth="1"/>
    <col min="10506" max="10752" width="7.109375" style="272"/>
    <col min="10753" max="10753" width="10.21875" style="272" customWidth="1"/>
    <col min="10754" max="10754" width="3.5546875" style="272" customWidth="1"/>
    <col min="10755" max="10756" width="1.77734375" style="272" customWidth="1"/>
    <col min="10757" max="10757" width="4" style="272" customWidth="1"/>
    <col min="10758" max="10758" width="24.21875" style="272" customWidth="1"/>
    <col min="10759" max="10759" width="1.88671875" style="272" customWidth="1"/>
    <col min="10760" max="10761" width="8.21875" style="272" customWidth="1"/>
    <col min="10762" max="11008" width="7.109375" style="272"/>
    <col min="11009" max="11009" width="10.21875" style="272" customWidth="1"/>
    <col min="11010" max="11010" width="3.5546875" style="272" customWidth="1"/>
    <col min="11011" max="11012" width="1.77734375" style="272" customWidth="1"/>
    <col min="11013" max="11013" width="4" style="272" customWidth="1"/>
    <col min="11014" max="11014" width="24.21875" style="272" customWidth="1"/>
    <col min="11015" max="11015" width="1.88671875" style="272" customWidth="1"/>
    <col min="11016" max="11017" width="8.21875" style="272" customWidth="1"/>
    <col min="11018" max="11264" width="7.109375" style="272"/>
    <col min="11265" max="11265" width="10.21875" style="272" customWidth="1"/>
    <col min="11266" max="11266" width="3.5546875" style="272" customWidth="1"/>
    <col min="11267" max="11268" width="1.77734375" style="272" customWidth="1"/>
    <col min="11269" max="11269" width="4" style="272" customWidth="1"/>
    <col min="11270" max="11270" width="24.21875" style="272" customWidth="1"/>
    <col min="11271" max="11271" width="1.88671875" style="272" customWidth="1"/>
    <col min="11272" max="11273" width="8.21875" style="272" customWidth="1"/>
    <col min="11274" max="11520" width="7.109375" style="272"/>
    <col min="11521" max="11521" width="10.21875" style="272" customWidth="1"/>
    <col min="11522" max="11522" width="3.5546875" style="272" customWidth="1"/>
    <col min="11523" max="11524" width="1.77734375" style="272" customWidth="1"/>
    <col min="11525" max="11525" width="4" style="272" customWidth="1"/>
    <col min="11526" max="11526" width="24.21875" style="272" customWidth="1"/>
    <col min="11527" max="11527" width="1.88671875" style="272" customWidth="1"/>
    <col min="11528" max="11529" width="8.21875" style="272" customWidth="1"/>
    <col min="11530" max="11776" width="7.109375" style="272"/>
    <col min="11777" max="11777" width="10.21875" style="272" customWidth="1"/>
    <col min="11778" max="11778" width="3.5546875" style="272" customWidth="1"/>
    <col min="11779" max="11780" width="1.77734375" style="272" customWidth="1"/>
    <col min="11781" max="11781" width="4" style="272" customWidth="1"/>
    <col min="11782" max="11782" width="24.21875" style="272" customWidth="1"/>
    <col min="11783" max="11783" width="1.88671875" style="272" customWidth="1"/>
    <col min="11784" max="11785" width="8.21875" style="272" customWidth="1"/>
    <col min="11786" max="12032" width="7.109375" style="272"/>
    <col min="12033" max="12033" width="10.21875" style="272" customWidth="1"/>
    <col min="12034" max="12034" width="3.5546875" style="272" customWidth="1"/>
    <col min="12035" max="12036" width="1.77734375" style="272" customWidth="1"/>
    <col min="12037" max="12037" width="4" style="272" customWidth="1"/>
    <col min="12038" max="12038" width="24.21875" style="272" customWidth="1"/>
    <col min="12039" max="12039" width="1.88671875" style="272" customWidth="1"/>
    <col min="12040" max="12041" width="8.21875" style="272" customWidth="1"/>
    <col min="12042" max="12288" width="7.109375" style="272"/>
    <col min="12289" max="12289" width="10.21875" style="272" customWidth="1"/>
    <col min="12290" max="12290" width="3.5546875" style="272" customWidth="1"/>
    <col min="12291" max="12292" width="1.77734375" style="272" customWidth="1"/>
    <col min="12293" max="12293" width="4" style="272" customWidth="1"/>
    <col min="12294" max="12294" width="24.21875" style="272" customWidth="1"/>
    <col min="12295" max="12295" width="1.88671875" style="272" customWidth="1"/>
    <col min="12296" max="12297" width="8.21875" style="272" customWidth="1"/>
    <col min="12298" max="12544" width="7.109375" style="272"/>
    <col min="12545" max="12545" width="10.21875" style="272" customWidth="1"/>
    <col min="12546" max="12546" width="3.5546875" style="272" customWidth="1"/>
    <col min="12547" max="12548" width="1.77734375" style="272" customWidth="1"/>
    <col min="12549" max="12549" width="4" style="272" customWidth="1"/>
    <col min="12550" max="12550" width="24.21875" style="272" customWidth="1"/>
    <col min="12551" max="12551" width="1.88671875" style="272" customWidth="1"/>
    <col min="12552" max="12553" width="8.21875" style="272" customWidth="1"/>
    <col min="12554" max="12800" width="7.109375" style="272"/>
    <col min="12801" max="12801" width="10.21875" style="272" customWidth="1"/>
    <col min="12802" max="12802" width="3.5546875" style="272" customWidth="1"/>
    <col min="12803" max="12804" width="1.77734375" style="272" customWidth="1"/>
    <col min="12805" max="12805" width="4" style="272" customWidth="1"/>
    <col min="12806" max="12806" width="24.21875" style="272" customWidth="1"/>
    <col min="12807" max="12807" width="1.88671875" style="272" customWidth="1"/>
    <col min="12808" max="12809" width="8.21875" style="272" customWidth="1"/>
    <col min="12810" max="13056" width="7.109375" style="272"/>
    <col min="13057" max="13057" width="10.21875" style="272" customWidth="1"/>
    <col min="13058" max="13058" width="3.5546875" style="272" customWidth="1"/>
    <col min="13059" max="13060" width="1.77734375" style="272" customWidth="1"/>
    <col min="13061" max="13061" width="4" style="272" customWidth="1"/>
    <col min="13062" max="13062" width="24.21875" style="272" customWidth="1"/>
    <col min="13063" max="13063" width="1.88671875" style="272" customWidth="1"/>
    <col min="13064" max="13065" width="8.21875" style="272" customWidth="1"/>
    <col min="13066" max="13312" width="7.109375" style="272"/>
    <col min="13313" max="13313" width="10.21875" style="272" customWidth="1"/>
    <col min="13314" max="13314" width="3.5546875" style="272" customWidth="1"/>
    <col min="13315" max="13316" width="1.77734375" style="272" customWidth="1"/>
    <col min="13317" max="13317" width="4" style="272" customWidth="1"/>
    <col min="13318" max="13318" width="24.21875" style="272" customWidth="1"/>
    <col min="13319" max="13319" width="1.88671875" style="272" customWidth="1"/>
    <col min="13320" max="13321" width="8.21875" style="272" customWidth="1"/>
    <col min="13322" max="13568" width="7.109375" style="272"/>
    <col min="13569" max="13569" width="10.21875" style="272" customWidth="1"/>
    <col min="13570" max="13570" width="3.5546875" style="272" customWidth="1"/>
    <col min="13571" max="13572" width="1.77734375" style="272" customWidth="1"/>
    <col min="13573" max="13573" width="4" style="272" customWidth="1"/>
    <col min="13574" max="13574" width="24.21875" style="272" customWidth="1"/>
    <col min="13575" max="13575" width="1.88671875" style="272" customWidth="1"/>
    <col min="13576" max="13577" width="8.21875" style="272" customWidth="1"/>
    <col min="13578" max="13824" width="7.109375" style="272"/>
    <col min="13825" max="13825" width="10.21875" style="272" customWidth="1"/>
    <col min="13826" max="13826" width="3.5546875" style="272" customWidth="1"/>
    <col min="13827" max="13828" width="1.77734375" style="272" customWidth="1"/>
    <col min="13829" max="13829" width="4" style="272" customWidth="1"/>
    <col min="13830" max="13830" width="24.21875" style="272" customWidth="1"/>
    <col min="13831" max="13831" width="1.88671875" style="272" customWidth="1"/>
    <col min="13832" max="13833" width="8.21875" style="272" customWidth="1"/>
    <col min="13834" max="14080" width="7.109375" style="272"/>
    <col min="14081" max="14081" width="10.21875" style="272" customWidth="1"/>
    <col min="14082" max="14082" width="3.5546875" style="272" customWidth="1"/>
    <col min="14083" max="14084" width="1.77734375" style="272" customWidth="1"/>
    <col min="14085" max="14085" width="4" style="272" customWidth="1"/>
    <col min="14086" max="14086" width="24.21875" style="272" customWidth="1"/>
    <col min="14087" max="14087" width="1.88671875" style="272" customWidth="1"/>
    <col min="14088" max="14089" width="8.21875" style="272" customWidth="1"/>
    <col min="14090" max="14336" width="7.109375" style="272"/>
    <col min="14337" max="14337" width="10.21875" style="272" customWidth="1"/>
    <col min="14338" max="14338" width="3.5546875" style="272" customWidth="1"/>
    <col min="14339" max="14340" width="1.77734375" style="272" customWidth="1"/>
    <col min="14341" max="14341" width="4" style="272" customWidth="1"/>
    <col min="14342" max="14342" width="24.21875" style="272" customWidth="1"/>
    <col min="14343" max="14343" width="1.88671875" style="272" customWidth="1"/>
    <col min="14344" max="14345" width="8.21875" style="272" customWidth="1"/>
    <col min="14346" max="14592" width="7.109375" style="272"/>
    <col min="14593" max="14593" width="10.21875" style="272" customWidth="1"/>
    <col min="14594" max="14594" width="3.5546875" style="272" customWidth="1"/>
    <col min="14595" max="14596" width="1.77734375" style="272" customWidth="1"/>
    <col min="14597" max="14597" width="4" style="272" customWidth="1"/>
    <col min="14598" max="14598" width="24.21875" style="272" customWidth="1"/>
    <col min="14599" max="14599" width="1.88671875" style="272" customWidth="1"/>
    <col min="14600" max="14601" width="8.21875" style="272" customWidth="1"/>
    <col min="14602" max="14848" width="7.109375" style="272"/>
    <col min="14849" max="14849" width="10.21875" style="272" customWidth="1"/>
    <col min="14850" max="14850" width="3.5546875" style="272" customWidth="1"/>
    <col min="14851" max="14852" width="1.77734375" style="272" customWidth="1"/>
    <col min="14853" max="14853" width="4" style="272" customWidth="1"/>
    <col min="14854" max="14854" width="24.21875" style="272" customWidth="1"/>
    <col min="14855" max="14855" width="1.88671875" style="272" customWidth="1"/>
    <col min="14856" max="14857" width="8.21875" style="272" customWidth="1"/>
    <col min="14858" max="15104" width="7.109375" style="272"/>
    <col min="15105" max="15105" width="10.21875" style="272" customWidth="1"/>
    <col min="15106" max="15106" width="3.5546875" style="272" customWidth="1"/>
    <col min="15107" max="15108" width="1.77734375" style="272" customWidth="1"/>
    <col min="15109" max="15109" width="4" style="272" customWidth="1"/>
    <col min="15110" max="15110" width="24.21875" style="272" customWidth="1"/>
    <col min="15111" max="15111" width="1.88671875" style="272" customWidth="1"/>
    <col min="15112" max="15113" width="8.21875" style="272" customWidth="1"/>
    <col min="15114" max="15360" width="7.109375" style="272"/>
    <col min="15361" max="15361" width="10.21875" style="272" customWidth="1"/>
    <col min="15362" max="15362" width="3.5546875" style="272" customWidth="1"/>
    <col min="15363" max="15364" width="1.77734375" style="272" customWidth="1"/>
    <col min="15365" max="15365" width="4" style="272" customWidth="1"/>
    <col min="15366" max="15366" width="24.21875" style="272" customWidth="1"/>
    <col min="15367" max="15367" width="1.88671875" style="272" customWidth="1"/>
    <col min="15368" max="15369" width="8.21875" style="272" customWidth="1"/>
    <col min="15370" max="15616" width="7.109375" style="272"/>
    <col min="15617" max="15617" width="10.21875" style="272" customWidth="1"/>
    <col min="15618" max="15618" width="3.5546875" style="272" customWidth="1"/>
    <col min="15619" max="15620" width="1.77734375" style="272" customWidth="1"/>
    <col min="15621" max="15621" width="4" style="272" customWidth="1"/>
    <col min="15622" max="15622" width="24.21875" style="272" customWidth="1"/>
    <col min="15623" max="15623" width="1.88671875" style="272" customWidth="1"/>
    <col min="15624" max="15625" width="8.21875" style="272" customWidth="1"/>
    <col min="15626" max="15872" width="7.109375" style="272"/>
    <col min="15873" max="15873" width="10.21875" style="272" customWidth="1"/>
    <col min="15874" max="15874" width="3.5546875" style="272" customWidth="1"/>
    <col min="15875" max="15876" width="1.77734375" style="272" customWidth="1"/>
    <col min="15877" max="15877" width="4" style="272" customWidth="1"/>
    <col min="15878" max="15878" width="24.21875" style="272" customWidth="1"/>
    <col min="15879" max="15879" width="1.88671875" style="272" customWidth="1"/>
    <col min="15880" max="15881" width="8.21875" style="272" customWidth="1"/>
    <col min="15882" max="16128" width="7.109375" style="272"/>
    <col min="16129" max="16129" width="10.21875" style="272" customWidth="1"/>
    <col min="16130" max="16130" width="3.5546875" style="272" customWidth="1"/>
    <col min="16131" max="16132" width="1.77734375" style="272" customWidth="1"/>
    <col min="16133" max="16133" width="4" style="272" customWidth="1"/>
    <col min="16134" max="16134" width="24.21875" style="272" customWidth="1"/>
    <col min="16135" max="16135" width="1.88671875" style="272" customWidth="1"/>
    <col min="16136" max="16137" width="8.21875" style="272" customWidth="1"/>
    <col min="16138" max="16384" width="7.109375" style="272"/>
  </cols>
  <sheetData>
    <row r="1" spans="1:8" ht="14.25" customHeight="1">
      <c r="A1" s="854" t="s">
        <v>591</v>
      </c>
      <c r="B1" s="854"/>
      <c r="C1" s="854"/>
      <c r="D1" s="854"/>
      <c r="E1" s="854"/>
      <c r="F1" s="854"/>
      <c r="G1" s="854"/>
      <c r="H1" s="311"/>
    </row>
    <row r="2" spans="1:8">
      <c r="A2" s="854" t="s">
        <v>616</v>
      </c>
      <c r="B2" s="854"/>
      <c r="C2" s="854"/>
      <c r="D2" s="854"/>
      <c r="E2" s="854"/>
      <c r="F2" s="854"/>
      <c r="G2" s="854"/>
      <c r="H2" s="311"/>
    </row>
    <row r="3" spans="1:8">
      <c r="A3" s="855" t="str">
        <f>'Act Att-H'!C7</f>
        <v>Cheyenne Light, Fuel &amp; Power</v>
      </c>
      <c r="B3" s="855"/>
      <c r="C3" s="855"/>
      <c r="D3" s="855"/>
      <c r="E3" s="855"/>
      <c r="F3" s="855"/>
      <c r="G3" s="855"/>
      <c r="H3" s="312"/>
    </row>
    <row r="4" spans="1:8">
      <c r="F4" s="313"/>
      <c r="G4" s="314" t="s">
        <v>748</v>
      </c>
    </row>
    <row r="5" spans="1:8">
      <c r="A5" s="311"/>
      <c r="B5" s="299"/>
      <c r="C5" s="299"/>
      <c r="D5" s="299"/>
      <c r="E5" s="299"/>
      <c r="F5" s="315"/>
      <c r="G5" s="315"/>
      <c r="H5" s="311"/>
    </row>
    <row r="6" spans="1:8" ht="60.75" customHeight="1">
      <c r="B6" s="316" t="s">
        <v>4</v>
      </c>
      <c r="C6" s="316" t="s">
        <v>294</v>
      </c>
      <c r="D6" s="317" t="s">
        <v>295</v>
      </c>
      <c r="E6" s="317" t="s">
        <v>276</v>
      </c>
      <c r="F6" s="317" t="s">
        <v>618</v>
      </c>
      <c r="G6" s="317" t="s">
        <v>617</v>
      </c>
      <c r="H6" s="272"/>
    </row>
    <row r="7" spans="1:8" ht="15" customHeight="1">
      <c r="B7" s="307"/>
      <c r="C7" s="318" t="s">
        <v>174</v>
      </c>
      <c r="D7" s="319" t="s">
        <v>175</v>
      </c>
      <c r="E7" s="319" t="s">
        <v>178</v>
      </c>
      <c r="F7" s="319" t="s">
        <v>179</v>
      </c>
      <c r="G7" s="319" t="s">
        <v>180</v>
      </c>
      <c r="H7" s="272"/>
    </row>
    <row r="8" spans="1:8" ht="15" customHeight="1">
      <c r="B8" s="276">
        <v>1</v>
      </c>
      <c r="C8" s="548" t="s">
        <v>182</v>
      </c>
      <c r="D8" s="547" t="s">
        <v>1039</v>
      </c>
      <c r="E8" s="320">
        <v>227000</v>
      </c>
      <c r="F8" s="321">
        <f>E8</f>
        <v>227000</v>
      </c>
      <c r="G8" s="322"/>
      <c r="H8" s="272"/>
    </row>
    <row r="9" spans="1:8" ht="15" customHeight="1">
      <c r="B9" s="276">
        <v>2</v>
      </c>
      <c r="C9" s="548" t="s">
        <v>183</v>
      </c>
      <c r="D9" s="549" t="str">
        <f>D8</f>
        <v>yyyy</v>
      </c>
      <c r="E9" s="320">
        <v>230000</v>
      </c>
      <c r="F9" s="321">
        <f t="shared" ref="F9:F15" si="0">E9</f>
        <v>230000</v>
      </c>
      <c r="G9" s="322"/>
      <c r="H9" s="272"/>
    </row>
    <row r="10" spans="1:8" ht="15" customHeight="1">
      <c r="B10" s="276">
        <v>3</v>
      </c>
      <c r="C10" s="548" t="s">
        <v>571</v>
      </c>
      <c r="D10" s="549" t="str">
        <f t="shared" ref="D10:D19" si="1">D9</f>
        <v>yyyy</v>
      </c>
      <c r="E10" s="320">
        <v>220000</v>
      </c>
      <c r="F10" s="321">
        <f t="shared" si="0"/>
        <v>220000</v>
      </c>
      <c r="G10" s="322"/>
      <c r="H10" s="272"/>
    </row>
    <row r="11" spans="1:8" ht="15" customHeight="1">
      <c r="B11" s="276">
        <v>4</v>
      </c>
      <c r="C11" s="548" t="s">
        <v>184</v>
      </c>
      <c r="D11" s="549" t="str">
        <f t="shared" si="1"/>
        <v>yyyy</v>
      </c>
      <c r="E11" s="320">
        <v>210000</v>
      </c>
      <c r="F11" s="321">
        <f t="shared" si="0"/>
        <v>210000</v>
      </c>
      <c r="G11" s="322"/>
      <c r="H11" s="272"/>
    </row>
    <row r="12" spans="1:8" ht="15" customHeight="1">
      <c r="B12" s="276">
        <v>5</v>
      </c>
      <c r="C12" s="548" t="s">
        <v>185</v>
      </c>
      <c r="D12" s="549" t="str">
        <f t="shared" si="1"/>
        <v>yyyy</v>
      </c>
      <c r="E12" s="320">
        <v>215000</v>
      </c>
      <c r="F12" s="321">
        <f t="shared" si="0"/>
        <v>215000</v>
      </c>
      <c r="G12" s="322"/>
      <c r="H12" s="272"/>
    </row>
    <row r="13" spans="1:8" ht="15" customHeight="1">
      <c r="B13" s="276">
        <v>6</v>
      </c>
      <c r="C13" s="548" t="s">
        <v>186</v>
      </c>
      <c r="D13" s="549" t="str">
        <f t="shared" si="1"/>
        <v>yyyy</v>
      </c>
      <c r="E13" s="320">
        <v>249000</v>
      </c>
      <c r="F13" s="321">
        <f t="shared" si="0"/>
        <v>249000</v>
      </c>
      <c r="G13" s="322"/>
      <c r="H13" s="272"/>
    </row>
    <row r="14" spans="1:8" ht="15" customHeight="1">
      <c r="B14" s="276">
        <v>7</v>
      </c>
      <c r="C14" s="548" t="s">
        <v>187</v>
      </c>
      <c r="D14" s="549" t="str">
        <f t="shared" si="1"/>
        <v>yyyy</v>
      </c>
      <c r="E14" s="320">
        <v>254000</v>
      </c>
      <c r="F14" s="321">
        <f t="shared" si="0"/>
        <v>254000</v>
      </c>
      <c r="G14" s="322"/>
      <c r="H14" s="272"/>
    </row>
    <row r="15" spans="1:8" ht="15" customHeight="1">
      <c r="B15" s="276">
        <v>8</v>
      </c>
      <c r="C15" s="548" t="s">
        <v>572</v>
      </c>
      <c r="D15" s="549" t="str">
        <f t="shared" si="1"/>
        <v>yyyy</v>
      </c>
      <c r="E15" s="320">
        <v>234000</v>
      </c>
      <c r="F15" s="321">
        <f t="shared" si="0"/>
        <v>234000</v>
      </c>
      <c r="G15" s="322"/>
      <c r="H15" s="272"/>
    </row>
    <row r="16" spans="1:8" ht="15" customHeight="1">
      <c r="B16" s="276">
        <v>9</v>
      </c>
      <c r="C16" s="548" t="s">
        <v>188</v>
      </c>
      <c r="D16" s="549" t="str">
        <f t="shared" si="1"/>
        <v>yyyy</v>
      </c>
      <c r="E16" s="320">
        <v>234000</v>
      </c>
      <c r="F16" s="323"/>
      <c r="G16" s="324">
        <f>E16/F22</f>
        <v>1.0179445350734095</v>
      </c>
      <c r="H16" s="272"/>
    </row>
    <row r="17" spans="2:9" ht="15.75">
      <c r="B17" s="276">
        <v>10</v>
      </c>
      <c r="C17" s="548" t="s">
        <v>189</v>
      </c>
      <c r="D17" s="549" t="str">
        <f t="shared" si="1"/>
        <v>yyyy</v>
      </c>
      <c r="E17" s="320">
        <v>219000</v>
      </c>
      <c r="F17" s="323"/>
      <c r="G17" s="324">
        <f>E17/F22</f>
        <v>0.95269168026101136</v>
      </c>
      <c r="H17" s="272"/>
    </row>
    <row r="18" spans="2:9" ht="15.75">
      <c r="B18" s="276">
        <v>11</v>
      </c>
      <c r="C18" s="548" t="s">
        <v>190</v>
      </c>
      <c r="D18" s="549" t="str">
        <f t="shared" si="1"/>
        <v>yyyy</v>
      </c>
      <c r="E18" s="320">
        <v>226000</v>
      </c>
      <c r="F18" s="323"/>
      <c r="G18" s="324">
        <f>E18/F22</f>
        <v>0.98314301250679714</v>
      </c>
      <c r="H18" s="272"/>
    </row>
    <row r="19" spans="2:9" ht="15.75">
      <c r="B19" s="276">
        <v>12</v>
      </c>
      <c r="C19" s="548" t="s">
        <v>573</v>
      </c>
      <c r="D19" s="549" t="str">
        <f t="shared" si="1"/>
        <v>yyyy</v>
      </c>
      <c r="E19" s="320">
        <v>238000</v>
      </c>
      <c r="F19" s="323"/>
      <c r="G19" s="324">
        <f>E19/F22</f>
        <v>1.0353452963567156</v>
      </c>
      <c r="H19" s="272"/>
    </row>
    <row r="20" spans="2:9">
      <c r="B20" s="276">
        <v>13</v>
      </c>
      <c r="C20" s="325" t="s">
        <v>9</v>
      </c>
      <c r="D20" s="325"/>
      <c r="E20" s="326">
        <f t="shared" ref="E20" si="2">SUM(E8:E19)</f>
        <v>2756000</v>
      </c>
      <c r="G20" s="324"/>
      <c r="H20" s="272"/>
    </row>
    <row r="21" spans="2:9">
      <c r="B21" s="276">
        <v>14</v>
      </c>
      <c r="C21" s="325" t="s">
        <v>274</v>
      </c>
      <c r="D21" s="325"/>
      <c r="E21" s="327">
        <f t="shared" ref="E21" si="3">E20/12</f>
        <v>229666.66666666666</v>
      </c>
      <c r="G21" s="328"/>
      <c r="H21" s="272"/>
    </row>
    <row r="22" spans="2:9">
      <c r="B22" s="276">
        <v>15</v>
      </c>
      <c r="C22" s="275" t="s">
        <v>619</v>
      </c>
      <c r="F22" s="321">
        <f>AVERAGE(F8:F15)</f>
        <v>229875</v>
      </c>
      <c r="G22" s="310"/>
      <c r="H22" s="272"/>
      <c r="I22" s="309"/>
    </row>
    <row r="23" spans="2:9">
      <c r="B23" s="276"/>
      <c r="H23" s="309"/>
    </row>
    <row r="24" spans="2:9">
      <c r="B24" s="276"/>
      <c r="H24" s="309"/>
    </row>
    <row r="25" spans="2:9">
      <c r="B25" s="276"/>
      <c r="H25" s="309"/>
    </row>
    <row r="26" spans="2:9">
      <c r="B26" s="276"/>
      <c r="H26" s="309"/>
    </row>
    <row r="27" spans="2:9">
      <c r="B27" s="276"/>
      <c r="H27" s="309"/>
    </row>
    <row r="28" spans="2:9">
      <c r="B28" s="276"/>
      <c r="H28" s="309"/>
    </row>
    <row r="29" spans="2:9">
      <c r="B29" s="276"/>
      <c r="H29" s="309"/>
    </row>
    <row r="30" spans="2:9">
      <c r="B30" s="276"/>
      <c r="H30" s="309"/>
    </row>
    <row r="31" spans="2:9">
      <c r="B31" s="276"/>
      <c r="H31" s="309"/>
    </row>
    <row r="32" spans="2:9">
      <c r="B32" s="303"/>
      <c r="C32" s="283"/>
      <c r="D32" s="283"/>
      <c r="E32" s="283"/>
      <c r="F32" s="283"/>
      <c r="G32" s="283"/>
      <c r="H32" s="309"/>
    </row>
    <row r="33" spans="2:5">
      <c r="B33" s="276"/>
    </row>
    <row r="34" spans="2:5">
      <c r="B34" s="276"/>
      <c r="E34" s="275"/>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133"/>
  <sheetViews>
    <sheetView topLeftCell="A11" zoomScale="75" zoomScaleNormal="75" workbookViewId="0">
      <selection activeCell="B18" sqref="B18:B41"/>
    </sheetView>
  </sheetViews>
  <sheetFormatPr defaultColWidth="8.88671875" defaultRowHeight="15"/>
  <cols>
    <col min="1" max="1" width="5.88671875" style="1" customWidth="1"/>
    <col min="2" max="2" width="6.109375" style="33" customWidth="1"/>
    <col min="3" max="3" width="13.109375" style="2" customWidth="1"/>
    <col min="4" max="4" width="14.6640625" style="2" customWidth="1"/>
    <col min="5" max="5" width="12.5546875" style="2" customWidth="1"/>
    <col min="6" max="6" width="13.77734375" style="2" customWidth="1"/>
    <col min="7" max="7" width="3" style="33" customWidth="1"/>
    <col min="8" max="8" width="15.33203125" style="2" bestFit="1" customWidth="1"/>
    <col min="9" max="11" width="12.77734375" style="2" customWidth="1"/>
    <col min="12" max="12" width="15.33203125" style="2" bestFit="1" customWidth="1"/>
    <col min="13" max="15" width="12.77734375" style="2" customWidth="1"/>
    <col min="16" max="16" width="10.88671875" style="2" customWidth="1"/>
    <col min="17" max="17" width="8.88671875" style="4"/>
    <col min="18" max="16384" width="8.88671875" style="2"/>
  </cols>
  <sheetData>
    <row r="1" spans="1:19">
      <c r="A1" s="851" t="s">
        <v>775</v>
      </c>
      <c r="B1" s="851"/>
      <c r="C1" s="851"/>
      <c r="D1" s="851"/>
      <c r="E1" s="851"/>
      <c r="F1" s="851"/>
      <c r="G1" s="851"/>
      <c r="H1" s="851"/>
      <c r="I1" s="851"/>
      <c r="J1" s="851"/>
      <c r="K1" s="851"/>
      <c r="L1" s="851"/>
      <c r="M1" s="851"/>
      <c r="N1" s="851"/>
      <c r="O1" s="851"/>
    </row>
    <row r="2" spans="1:19">
      <c r="A2" s="869" t="s">
        <v>776</v>
      </c>
      <c r="B2" s="869"/>
      <c r="C2" s="869"/>
      <c r="D2" s="869"/>
      <c r="E2" s="869"/>
      <c r="F2" s="869"/>
      <c r="G2" s="869"/>
      <c r="H2" s="869"/>
      <c r="I2" s="869"/>
      <c r="J2" s="869"/>
      <c r="K2" s="869"/>
      <c r="L2" s="869"/>
      <c r="M2" s="869"/>
      <c r="N2" s="869"/>
      <c r="O2" s="869"/>
    </row>
    <row r="3" spans="1:19">
      <c r="A3" s="870" t="str">
        <f>'Act Att-H'!C7</f>
        <v>Cheyenne Light, Fuel &amp; Power</v>
      </c>
      <c r="B3" s="870"/>
      <c r="C3" s="870"/>
      <c r="D3" s="870"/>
      <c r="E3" s="870"/>
      <c r="F3" s="870"/>
      <c r="G3" s="870"/>
      <c r="H3" s="870"/>
      <c r="I3" s="870"/>
      <c r="J3" s="870"/>
      <c r="K3" s="870"/>
      <c r="L3" s="870"/>
      <c r="M3" s="870"/>
      <c r="N3" s="870"/>
      <c r="O3" s="870"/>
    </row>
    <row r="4" spans="1:19">
      <c r="A4" s="5"/>
      <c r="C4" s="6"/>
      <c r="D4" s="6"/>
      <c r="E4" s="6"/>
      <c r="F4" s="6"/>
      <c r="G4" s="458"/>
      <c r="H4" s="6"/>
      <c r="I4" s="6"/>
      <c r="O4" s="255" t="s">
        <v>748</v>
      </c>
    </row>
    <row r="5" spans="1:19" ht="15" customHeight="1">
      <c r="A5" s="54"/>
      <c r="C5" s="56"/>
      <c r="D5" s="56"/>
      <c r="E5" s="56"/>
      <c r="F5" s="56"/>
      <c r="G5" s="459"/>
      <c r="I5" s="9"/>
    </row>
    <row r="6" spans="1:19" s="421" customFormat="1">
      <c r="A6" s="466" t="s">
        <v>4</v>
      </c>
      <c r="G6" s="460"/>
      <c r="H6" s="473" t="s">
        <v>786</v>
      </c>
      <c r="P6" s="2"/>
      <c r="Q6" s="4"/>
      <c r="R6" s="2"/>
      <c r="S6" s="2"/>
    </row>
    <row r="7" spans="1:19" s="421" customFormat="1">
      <c r="A7" s="463">
        <v>1</v>
      </c>
      <c r="B7" s="460"/>
      <c r="G7" s="460"/>
      <c r="H7" s="422" t="s">
        <v>777</v>
      </c>
      <c r="I7" s="449" t="s">
        <v>787</v>
      </c>
      <c r="J7" s="449"/>
      <c r="K7" s="452"/>
      <c r="L7" s="422" t="s">
        <v>777</v>
      </c>
      <c r="M7" s="449" t="s">
        <v>789</v>
      </c>
      <c r="N7" s="449"/>
      <c r="O7" s="449"/>
      <c r="P7" s="2"/>
      <c r="Q7" s="4"/>
      <c r="R7" s="2"/>
      <c r="S7" s="2"/>
    </row>
    <row r="8" spans="1:19" s="421" customFormat="1">
      <c r="A8" s="463">
        <f>A7+1</f>
        <v>2</v>
      </c>
      <c r="B8" s="460"/>
      <c r="G8" s="460"/>
      <c r="H8" s="423" t="s">
        <v>788</v>
      </c>
      <c r="I8" s="450" t="s">
        <v>778</v>
      </c>
      <c r="J8" s="424"/>
      <c r="K8" s="424"/>
      <c r="L8" s="423" t="s">
        <v>788</v>
      </c>
      <c r="M8" s="450" t="s">
        <v>778</v>
      </c>
      <c r="N8" s="424"/>
      <c r="O8" s="424"/>
      <c r="P8" s="2"/>
      <c r="Q8" s="4"/>
      <c r="R8" s="2"/>
      <c r="S8" s="2"/>
    </row>
    <row r="9" spans="1:19" s="421" customFormat="1">
      <c r="A9" s="463">
        <f t="shared" ref="A9:A14" si="0">A8+1</f>
        <v>3</v>
      </c>
      <c r="B9" s="460"/>
      <c r="G9" s="460"/>
      <c r="H9" s="426" t="s">
        <v>779</v>
      </c>
      <c r="I9" s="451">
        <v>0</v>
      </c>
      <c r="J9" s="427" t="s">
        <v>700</v>
      </c>
      <c r="K9" s="427"/>
      <c r="L9" s="426" t="s">
        <v>779</v>
      </c>
      <c r="M9" s="451">
        <v>0</v>
      </c>
      <c r="N9" s="427" t="s">
        <v>700</v>
      </c>
      <c r="O9" s="427"/>
      <c r="P9" s="2"/>
      <c r="Q9" s="4"/>
      <c r="R9" s="2"/>
      <c r="S9" s="2"/>
    </row>
    <row r="10" spans="1:19" s="421" customFormat="1">
      <c r="A10" s="463">
        <f t="shared" si="0"/>
        <v>4</v>
      </c>
      <c r="B10" s="460"/>
      <c r="G10" s="460"/>
      <c r="H10" s="426" t="s">
        <v>780</v>
      </c>
      <c r="I10" s="451">
        <v>0</v>
      </c>
      <c r="J10" s="427" t="s">
        <v>792</v>
      </c>
      <c r="K10" s="427"/>
      <c r="L10" s="426" t="s">
        <v>780</v>
      </c>
      <c r="M10" s="451">
        <v>0</v>
      </c>
      <c r="N10" s="427" t="s">
        <v>792</v>
      </c>
      <c r="O10" s="427"/>
      <c r="P10" s="2"/>
      <c r="Q10" s="4"/>
      <c r="R10" s="2"/>
      <c r="S10" s="2"/>
    </row>
    <row r="11" spans="1:19" s="421" customFormat="1">
      <c r="A11" s="463">
        <f t="shared" si="0"/>
        <v>5</v>
      </c>
      <c r="B11" s="460"/>
      <c r="G11" s="460"/>
      <c r="H11" s="426" t="s">
        <v>806</v>
      </c>
      <c r="I11" s="429">
        <f>I10*'Act Att-H'!E213</f>
        <v>0</v>
      </c>
      <c r="J11" s="427"/>
      <c r="K11" s="427"/>
      <c r="L11" s="426" t="s">
        <v>806</v>
      </c>
      <c r="M11" s="429">
        <f>M10*'Act Att-H'!E213</f>
        <v>0</v>
      </c>
      <c r="N11" s="427"/>
      <c r="O11" s="427"/>
      <c r="P11" s="2"/>
      <c r="Q11" s="4"/>
      <c r="R11" s="2"/>
      <c r="S11" s="2"/>
    </row>
    <row r="12" spans="1:19" s="421" customFormat="1">
      <c r="A12" s="463">
        <f t="shared" si="0"/>
        <v>6</v>
      </c>
      <c r="B12" s="460"/>
      <c r="G12" s="460"/>
      <c r="H12" s="426" t="s">
        <v>781</v>
      </c>
      <c r="I12" s="453">
        <v>0</v>
      </c>
      <c r="J12" s="427"/>
      <c r="K12" s="427"/>
      <c r="L12" s="426" t="s">
        <v>781</v>
      </c>
      <c r="M12" s="453">
        <v>0</v>
      </c>
      <c r="N12" s="427"/>
      <c r="O12" s="427"/>
      <c r="P12" s="2"/>
      <c r="Q12" s="4"/>
      <c r="R12" s="2"/>
      <c r="S12" s="2"/>
    </row>
    <row r="13" spans="1:19" s="421" customFormat="1">
      <c r="A13" s="463">
        <f t="shared" si="0"/>
        <v>7</v>
      </c>
      <c r="B13" s="460"/>
      <c r="C13" s="868" t="s">
        <v>9</v>
      </c>
      <c r="D13" s="868"/>
      <c r="E13" s="868"/>
      <c r="F13" s="868"/>
      <c r="G13" s="460"/>
      <c r="H13" s="426" t="s">
        <v>782</v>
      </c>
      <c r="I13" s="453">
        <v>0</v>
      </c>
      <c r="J13" s="427"/>
      <c r="K13" s="427"/>
      <c r="L13" s="426" t="s">
        <v>782</v>
      </c>
      <c r="M13" s="453">
        <v>0</v>
      </c>
      <c r="N13" s="427"/>
      <c r="O13" s="427"/>
      <c r="P13" s="2"/>
      <c r="Q13" s="4"/>
      <c r="R13" s="2"/>
      <c r="S13" s="2"/>
    </row>
    <row r="14" spans="1:19" s="421" customFormat="1">
      <c r="A14" s="463">
        <f t="shared" si="0"/>
        <v>8</v>
      </c>
      <c r="B14" s="460"/>
      <c r="G14" s="460"/>
      <c r="H14" s="426" t="s">
        <v>783</v>
      </c>
      <c r="I14" s="454"/>
      <c r="J14" s="427"/>
      <c r="K14" s="427"/>
      <c r="L14" s="426" t="s">
        <v>783</v>
      </c>
      <c r="M14" s="454"/>
      <c r="N14" s="427"/>
      <c r="O14" s="427"/>
      <c r="P14" s="2"/>
      <c r="Q14" s="4"/>
      <c r="R14" s="2"/>
      <c r="S14" s="2"/>
    </row>
    <row r="15" spans="1:19" s="421" customFormat="1">
      <c r="A15" s="460"/>
      <c r="B15" s="457" t="s">
        <v>295</v>
      </c>
      <c r="C15" s="457" t="s">
        <v>784</v>
      </c>
      <c r="D15" s="457" t="s">
        <v>540</v>
      </c>
      <c r="E15" s="457" t="s">
        <v>785</v>
      </c>
      <c r="F15" s="457" t="s">
        <v>800</v>
      </c>
      <c r="G15" s="460"/>
      <c r="H15" s="426"/>
      <c r="I15" s="427"/>
      <c r="J15" s="427"/>
      <c r="K15" s="427"/>
      <c r="L15" s="426"/>
      <c r="M15" s="427"/>
      <c r="N15" s="427"/>
      <c r="O15" s="427"/>
      <c r="P15" s="2"/>
      <c r="Q15" s="4"/>
      <c r="R15" s="2"/>
      <c r="S15" s="2"/>
    </row>
    <row r="16" spans="1:19" s="421" customFormat="1">
      <c r="A16" s="460"/>
      <c r="B16" s="431" t="s">
        <v>174</v>
      </c>
      <c r="C16" s="431" t="s">
        <v>175</v>
      </c>
      <c r="D16" s="431" t="s">
        <v>795</v>
      </c>
      <c r="E16" s="431" t="s">
        <v>796</v>
      </c>
      <c r="F16" s="431" t="s">
        <v>797</v>
      </c>
      <c r="G16" s="430"/>
      <c r="H16" s="432" t="s">
        <v>784</v>
      </c>
      <c r="I16" s="433" t="s">
        <v>540</v>
      </c>
      <c r="J16" s="433" t="s">
        <v>785</v>
      </c>
      <c r="K16" s="433" t="s">
        <v>800</v>
      </c>
      <c r="L16" s="432" t="s">
        <v>784</v>
      </c>
      <c r="M16" s="433" t="s">
        <v>540</v>
      </c>
      <c r="N16" s="433" t="s">
        <v>785</v>
      </c>
      <c r="O16" s="433" t="s">
        <v>800</v>
      </c>
      <c r="P16" s="2"/>
      <c r="Q16" s="4"/>
      <c r="R16" s="2"/>
      <c r="S16" s="2"/>
    </row>
    <row r="17" spans="1:19" s="421" customFormat="1">
      <c r="A17" s="448"/>
      <c r="B17" s="460"/>
      <c r="G17" s="460"/>
      <c r="H17" s="434"/>
      <c r="I17" s="435"/>
      <c r="J17" s="435"/>
      <c r="K17" s="435"/>
      <c r="L17" s="434"/>
      <c r="M17" s="435"/>
      <c r="N17" s="435"/>
      <c r="O17" s="435"/>
      <c r="P17" s="2"/>
      <c r="Q17" s="4"/>
      <c r="R17" s="2"/>
      <c r="S17" s="2"/>
    </row>
    <row r="18" spans="1:19" s="421" customFormat="1">
      <c r="A18" s="461">
        <f>A14+1</f>
        <v>9</v>
      </c>
      <c r="B18" s="465" t="s">
        <v>1039</v>
      </c>
      <c r="C18" s="437">
        <f>+H18+L18</f>
        <v>0</v>
      </c>
      <c r="D18" s="437">
        <f>+I18+M18</f>
        <v>0</v>
      </c>
      <c r="E18" s="437">
        <f>+J18+N18</f>
        <v>0</v>
      </c>
      <c r="F18" s="437">
        <f>+K18+O18</f>
        <v>0</v>
      </c>
      <c r="G18" s="461"/>
      <c r="H18" s="455">
        <v>0</v>
      </c>
      <c r="I18" s="456">
        <v>0</v>
      </c>
      <c r="J18" s="438">
        <f>+H18-I12</f>
        <v>0</v>
      </c>
      <c r="K18" s="438">
        <f>ROUND(J18*I$11,2)</f>
        <v>0</v>
      </c>
      <c r="L18" s="455">
        <v>0</v>
      </c>
      <c r="M18" s="456">
        <v>0</v>
      </c>
      <c r="N18" s="438">
        <f>+L18-M12</f>
        <v>0</v>
      </c>
      <c r="O18" s="438">
        <f>ROUND(N18*M$11,2)</f>
        <v>0</v>
      </c>
      <c r="P18" s="2"/>
      <c r="Q18" s="4"/>
      <c r="R18" s="2"/>
      <c r="S18" s="2"/>
    </row>
    <row r="19" spans="1:19" s="421" customFormat="1">
      <c r="A19" s="461">
        <f t="shared" ref="A19:A41" si="1">A18+1</f>
        <v>10</v>
      </c>
      <c r="B19" s="465" t="s">
        <v>1039</v>
      </c>
      <c r="C19" s="437">
        <f t="shared" ref="C19:C41" si="2">+H19+L19</f>
        <v>0</v>
      </c>
      <c r="D19" s="437">
        <f t="shared" ref="D19:D41" si="3">+I19+M19</f>
        <v>0</v>
      </c>
      <c r="E19" s="437">
        <f t="shared" ref="E19:E41" si="4">+J19+N19</f>
        <v>0</v>
      </c>
      <c r="F19" s="437">
        <f t="shared" ref="F19:F41" si="5">+K19+O19</f>
        <v>0</v>
      </c>
      <c r="G19" s="461"/>
      <c r="H19" s="455">
        <v>0</v>
      </c>
      <c r="I19" s="456">
        <f>(H19*$I$9)+I18</f>
        <v>0</v>
      </c>
      <c r="J19" s="438">
        <f>+H19-I19</f>
        <v>0</v>
      </c>
      <c r="K19" s="438">
        <f t="shared" ref="K19:K41" si="6">ROUND(J19*I$11,2)</f>
        <v>0</v>
      </c>
      <c r="L19" s="455">
        <v>0</v>
      </c>
      <c r="M19" s="456">
        <f>(L19*$M$9)+M18</f>
        <v>0</v>
      </c>
      <c r="N19" s="438">
        <f>+L19-M19</f>
        <v>0</v>
      </c>
      <c r="O19" s="438">
        <f t="shared" ref="O19:O41" si="7">ROUND(N19*M$11,2)</f>
        <v>0</v>
      </c>
      <c r="P19" s="2"/>
      <c r="Q19" s="4"/>
      <c r="R19" s="2"/>
      <c r="S19" s="2"/>
    </row>
    <row r="20" spans="1:19" s="421" customFormat="1">
      <c r="A20" s="461">
        <f t="shared" si="1"/>
        <v>11</v>
      </c>
      <c r="B20" s="465" t="s">
        <v>1039</v>
      </c>
      <c r="C20" s="437">
        <f t="shared" si="2"/>
        <v>0</v>
      </c>
      <c r="D20" s="437">
        <f t="shared" si="3"/>
        <v>0</v>
      </c>
      <c r="E20" s="437">
        <f t="shared" si="4"/>
        <v>0</v>
      </c>
      <c r="F20" s="437">
        <f t="shared" si="5"/>
        <v>0</v>
      </c>
      <c r="G20" s="461"/>
      <c r="H20" s="455">
        <v>0</v>
      </c>
      <c r="I20" s="456">
        <f t="shared" ref="I20:I41" si="8">(H20*$I$9)+I19</f>
        <v>0</v>
      </c>
      <c r="J20" s="438">
        <f>+H20-I20</f>
        <v>0</v>
      </c>
      <c r="K20" s="438">
        <f t="shared" si="6"/>
        <v>0</v>
      </c>
      <c r="L20" s="455">
        <v>0</v>
      </c>
      <c r="M20" s="456">
        <f t="shared" ref="M20:M41" si="9">(L20*$M$9)+M19</f>
        <v>0</v>
      </c>
      <c r="N20" s="438">
        <f>+L20-M20</f>
        <v>0</v>
      </c>
      <c r="O20" s="438">
        <f t="shared" si="7"/>
        <v>0</v>
      </c>
      <c r="P20" s="2"/>
      <c r="Q20" s="4"/>
      <c r="R20" s="2"/>
      <c r="S20" s="2"/>
    </row>
    <row r="21" spans="1:19" s="421" customFormat="1">
      <c r="A21" s="461">
        <f t="shared" si="1"/>
        <v>12</v>
      </c>
      <c r="B21" s="465" t="s">
        <v>1039</v>
      </c>
      <c r="C21" s="437">
        <f t="shared" si="2"/>
        <v>0</v>
      </c>
      <c r="D21" s="437">
        <f t="shared" si="3"/>
        <v>0</v>
      </c>
      <c r="E21" s="437">
        <f t="shared" si="4"/>
        <v>0</v>
      </c>
      <c r="F21" s="437">
        <f t="shared" si="5"/>
        <v>0</v>
      </c>
      <c r="G21" s="461"/>
      <c r="H21" s="455">
        <v>0</v>
      </c>
      <c r="I21" s="456">
        <f t="shared" si="8"/>
        <v>0</v>
      </c>
      <c r="J21" s="438">
        <f>+H21-I21</f>
        <v>0</v>
      </c>
      <c r="K21" s="438">
        <f t="shared" si="6"/>
        <v>0</v>
      </c>
      <c r="L21" s="455">
        <v>0</v>
      </c>
      <c r="M21" s="456">
        <f t="shared" si="9"/>
        <v>0</v>
      </c>
      <c r="N21" s="438">
        <f>+L21-M21</f>
        <v>0</v>
      </c>
      <c r="O21" s="438">
        <f t="shared" si="7"/>
        <v>0</v>
      </c>
      <c r="P21" s="2"/>
      <c r="Q21" s="4"/>
      <c r="R21" s="2"/>
      <c r="S21" s="2"/>
    </row>
    <row r="22" spans="1:19" s="421" customFormat="1">
      <c r="A22" s="461">
        <f t="shared" si="1"/>
        <v>13</v>
      </c>
      <c r="B22" s="465" t="s">
        <v>1039</v>
      </c>
      <c r="C22" s="437">
        <f t="shared" si="2"/>
        <v>0</v>
      </c>
      <c r="D22" s="437">
        <f t="shared" si="3"/>
        <v>0</v>
      </c>
      <c r="E22" s="437">
        <f t="shared" si="4"/>
        <v>0</v>
      </c>
      <c r="F22" s="437">
        <f t="shared" si="5"/>
        <v>0</v>
      </c>
      <c r="G22" s="461"/>
      <c r="H22" s="455">
        <v>0</v>
      </c>
      <c r="I22" s="456">
        <f t="shared" si="8"/>
        <v>0</v>
      </c>
      <c r="J22" s="438">
        <f t="shared" ref="J22:J41" si="10">+H22-I22</f>
        <v>0</v>
      </c>
      <c r="K22" s="438">
        <f t="shared" si="6"/>
        <v>0</v>
      </c>
      <c r="L22" s="455">
        <v>0</v>
      </c>
      <c r="M22" s="456">
        <f t="shared" si="9"/>
        <v>0</v>
      </c>
      <c r="N22" s="438">
        <f t="shared" ref="N22:N41" si="11">+L22-M22</f>
        <v>0</v>
      </c>
      <c r="O22" s="438">
        <f t="shared" si="7"/>
        <v>0</v>
      </c>
      <c r="P22" s="2"/>
      <c r="Q22" s="4"/>
      <c r="R22" s="2"/>
      <c r="S22" s="2"/>
    </row>
    <row r="23" spans="1:19" s="421" customFormat="1">
      <c r="A23" s="461">
        <f t="shared" si="1"/>
        <v>14</v>
      </c>
      <c r="B23" s="465" t="s">
        <v>1039</v>
      </c>
      <c r="C23" s="437">
        <f t="shared" si="2"/>
        <v>0</v>
      </c>
      <c r="D23" s="437">
        <f t="shared" si="3"/>
        <v>0</v>
      </c>
      <c r="E23" s="437">
        <f t="shared" si="4"/>
        <v>0</v>
      </c>
      <c r="F23" s="437">
        <f t="shared" si="5"/>
        <v>0</v>
      </c>
      <c r="G23" s="461"/>
      <c r="H23" s="455">
        <v>0</v>
      </c>
      <c r="I23" s="456">
        <f t="shared" si="8"/>
        <v>0</v>
      </c>
      <c r="J23" s="438">
        <f t="shared" si="10"/>
        <v>0</v>
      </c>
      <c r="K23" s="438">
        <f t="shared" si="6"/>
        <v>0</v>
      </c>
      <c r="L23" s="455">
        <v>0</v>
      </c>
      <c r="M23" s="456">
        <f t="shared" si="9"/>
        <v>0</v>
      </c>
      <c r="N23" s="438">
        <f t="shared" si="11"/>
        <v>0</v>
      </c>
      <c r="O23" s="438">
        <f t="shared" si="7"/>
        <v>0</v>
      </c>
      <c r="P23" s="2"/>
      <c r="Q23" s="4"/>
      <c r="R23" s="2"/>
      <c r="S23" s="2"/>
    </row>
    <row r="24" spans="1:19" s="421" customFormat="1">
      <c r="A24" s="461">
        <f t="shared" si="1"/>
        <v>15</v>
      </c>
      <c r="B24" s="465" t="s">
        <v>1039</v>
      </c>
      <c r="C24" s="437">
        <f t="shared" si="2"/>
        <v>0</v>
      </c>
      <c r="D24" s="437">
        <f t="shared" si="3"/>
        <v>0</v>
      </c>
      <c r="E24" s="437">
        <f t="shared" si="4"/>
        <v>0</v>
      </c>
      <c r="F24" s="437">
        <f t="shared" si="5"/>
        <v>0</v>
      </c>
      <c r="G24" s="461"/>
      <c r="H24" s="455">
        <v>0</v>
      </c>
      <c r="I24" s="456">
        <f t="shared" si="8"/>
        <v>0</v>
      </c>
      <c r="J24" s="438">
        <f t="shared" si="10"/>
        <v>0</v>
      </c>
      <c r="K24" s="438">
        <f t="shared" si="6"/>
        <v>0</v>
      </c>
      <c r="L24" s="455">
        <v>0</v>
      </c>
      <c r="M24" s="456">
        <f t="shared" si="9"/>
        <v>0</v>
      </c>
      <c r="N24" s="438">
        <f t="shared" si="11"/>
        <v>0</v>
      </c>
      <c r="O24" s="438">
        <f t="shared" si="7"/>
        <v>0</v>
      </c>
      <c r="P24" s="2"/>
      <c r="Q24" s="4"/>
      <c r="R24" s="2"/>
      <c r="S24" s="2"/>
    </row>
    <row r="25" spans="1:19" s="421" customFormat="1">
      <c r="A25" s="461">
        <f t="shared" si="1"/>
        <v>16</v>
      </c>
      <c r="B25" s="465" t="s">
        <v>1039</v>
      </c>
      <c r="C25" s="437">
        <f t="shared" si="2"/>
        <v>0</v>
      </c>
      <c r="D25" s="437">
        <f t="shared" si="3"/>
        <v>0</v>
      </c>
      <c r="E25" s="437">
        <f t="shared" si="4"/>
        <v>0</v>
      </c>
      <c r="F25" s="437">
        <f t="shared" si="5"/>
        <v>0</v>
      </c>
      <c r="G25" s="461"/>
      <c r="H25" s="455">
        <v>0</v>
      </c>
      <c r="I25" s="456">
        <f t="shared" si="8"/>
        <v>0</v>
      </c>
      <c r="J25" s="438">
        <f t="shared" si="10"/>
        <v>0</v>
      </c>
      <c r="K25" s="438">
        <f t="shared" si="6"/>
        <v>0</v>
      </c>
      <c r="L25" s="455">
        <v>0</v>
      </c>
      <c r="M25" s="456">
        <f t="shared" si="9"/>
        <v>0</v>
      </c>
      <c r="N25" s="438">
        <f t="shared" si="11"/>
        <v>0</v>
      </c>
      <c r="O25" s="438">
        <f t="shared" si="7"/>
        <v>0</v>
      </c>
      <c r="P25" s="2"/>
      <c r="Q25" s="4"/>
      <c r="R25" s="2"/>
      <c r="S25" s="2"/>
    </row>
    <row r="26" spans="1:19" s="421" customFormat="1">
      <c r="A26" s="461">
        <f t="shared" si="1"/>
        <v>17</v>
      </c>
      <c r="B26" s="465" t="s">
        <v>1039</v>
      </c>
      <c r="C26" s="437">
        <f t="shared" si="2"/>
        <v>0</v>
      </c>
      <c r="D26" s="437">
        <f t="shared" si="3"/>
        <v>0</v>
      </c>
      <c r="E26" s="437">
        <f t="shared" si="4"/>
        <v>0</v>
      </c>
      <c r="F26" s="437">
        <f t="shared" si="5"/>
        <v>0</v>
      </c>
      <c r="G26" s="461"/>
      <c r="H26" s="455">
        <v>0</v>
      </c>
      <c r="I26" s="456">
        <f t="shared" si="8"/>
        <v>0</v>
      </c>
      <c r="J26" s="438">
        <f t="shared" si="10"/>
        <v>0</v>
      </c>
      <c r="K26" s="438">
        <f t="shared" si="6"/>
        <v>0</v>
      </c>
      <c r="L26" s="455">
        <v>0</v>
      </c>
      <c r="M26" s="456">
        <f t="shared" si="9"/>
        <v>0</v>
      </c>
      <c r="N26" s="438">
        <f t="shared" si="11"/>
        <v>0</v>
      </c>
      <c r="O26" s="438">
        <f t="shared" si="7"/>
        <v>0</v>
      </c>
      <c r="P26" s="2"/>
      <c r="Q26" s="4"/>
      <c r="R26" s="2"/>
      <c r="S26" s="2"/>
    </row>
    <row r="27" spans="1:19" s="421" customFormat="1">
      <c r="A27" s="461">
        <f t="shared" si="1"/>
        <v>18</v>
      </c>
      <c r="B27" s="465" t="s">
        <v>1039</v>
      </c>
      <c r="C27" s="437">
        <f t="shared" si="2"/>
        <v>0</v>
      </c>
      <c r="D27" s="437">
        <f t="shared" si="3"/>
        <v>0</v>
      </c>
      <c r="E27" s="437">
        <f t="shared" si="4"/>
        <v>0</v>
      </c>
      <c r="F27" s="437">
        <f t="shared" si="5"/>
        <v>0</v>
      </c>
      <c r="G27" s="461"/>
      <c r="H27" s="455">
        <v>0</v>
      </c>
      <c r="I27" s="456">
        <f t="shared" si="8"/>
        <v>0</v>
      </c>
      <c r="J27" s="438">
        <f t="shared" si="10"/>
        <v>0</v>
      </c>
      <c r="K27" s="438">
        <f t="shared" si="6"/>
        <v>0</v>
      </c>
      <c r="L27" s="455">
        <v>0</v>
      </c>
      <c r="M27" s="456">
        <f t="shared" si="9"/>
        <v>0</v>
      </c>
      <c r="N27" s="438">
        <f t="shared" si="11"/>
        <v>0</v>
      </c>
      <c r="O27" s="438">
        <f t="shared" si="7"/>
        <v>0</v>
      </c>
      <c r="P27" s="2"/>
      <c r="Q27" s="4"/>
      <c r="R27" s="2"/>
      <c r="S27" s="2"/>
    </row>
    <row r="28" spans="1:19" s="421" customFormat="1">
      <c r="A28" s="461">
        <f t="shared" si="1"/>
        <v>19</v>
      </c>
      <c r="B28" s="465" t="s">
        <v>1039</v>
      </c>
      <c r="C28" s="437">
        <f t="shared" si="2"/>
        <v>0</v>
      </c>
      <c r="D28" s="437">
        <f t="shared" si="3"/>
        <v>0</v>
      </c>
      <c r="E28" s="437">
        <f t="shared" si="4"/>
        <v>0</v>
      </c>
      <c r="F28" s="437">
        <f t="shared" si="5"/>
        <v>0</v>
      </c>
      <c r="G28" s="461"/>
      <c r="H28" s="455">
        <v>0</v>
      </c>
      <c r="I28" s="456">
        <f t="shared" si="8"/>
        <v>0</v>
      </c>
      <c r="J28" s="438">
        <f t="shared" si="10"/>
        <v>0</v>
      </c>
      <c r="K28" s="438">
        <f t="shared" si="6"/>
        <v>0</v>
      </c>
      <c r="L28" s="455">
        <v>0</v>
      </c>
      <c r="M28" s="456">
        <f t="shared" si="9"/>
        <v>0</v>
      </c>
      <c r="N28" s="438">
        <f t="shared" si="11"/>
        <v>0</v>
      </c>
      <c r="O28" s="438">
        <f t="shared" si="7"/>
        <v>0</v>
      </c>
      <c r="P28" s="2"/>
      <c r="Q28" s="4"/>
      <c r="R28" s="2"/>
      <c r="S28" s="2"/>
    </row>
    <row r="29" spans="1:19" s="421" customFormat="1">
      <c r="A29" s="461">
        <f t="shared" si="1"/>
        <v>20</v>
      </c>
      <c r="B29" s="465" t="s">
        <v>1039</v>
      </c>
      <c r="C29" s="437">
        <f t="shared" si="2"/>
        <v>0</v>
      </c>
      <c r="D29" s="437">
        <f t="shared" si="3"/>
        <v>0</v>
      </c>
      <c r="E29" s="437">
        <f t="shared" si="4"/>
        <v>0</v>
      </c>
      <c r="F29" s="437">
        <f t="shared" si="5"/>
        <v>0</v>
      </c>
      <c r="G29" s="461"/>
      <c r="H29" s="455">
        <v>0</v>
      </c>
      <c r="I29" s="456">
        <f t="shared" si="8"/>
        <v>0</v>
      </c>
      <c r="J29" s="438">
        <f t="shared" si="10"/>
        <v>0</v>
      </c>
      <c r="K29" s="438">
        <f t="shared" si="6"/>
        <v>0</v>
      </c>
      <c r="L29" s="455">
        <v>0</v>
      </c>
      <c r="M29" s="456">
        <f t="shared" si="9"/>
        <v>0</v>
      </c>
      <c r="N29" s="438">
        <f t="shared" si="11"/>
        <v>0</v>
      </c>
      <c r="O29" s="438">
        <f t="shared" si="7"/>
        <v>0</v>
      </c>
      <c r="P29" s="2"/>
      <c r="Q29" s="4"/>
      <c r="R29" s="2"/>
      <c r="S29" s="2"/>
    </row>
    <row r="30" spans="1:19" s="421" customFormat="1">
      <c r="A30" s="461">
        <f t="shared" si="1"/>
        <v>21</v>
      </c>
      <c r="B30" s="465" t="s">
        <v>1039</v>
      </c>
      <c r="C30" s="437">
        <f t="shared" si="2"/>
        <v>0</v>
      </c>
      <c r="D30" s="437">
        <f t="shared" si="3"/>
        <v>0</v>
      </c>
      <c r="E30" s="437">
        <f t="shared" si="4"/>
        <v>0</v>
      </c>
      <c r="F30" s="437">
        <f t="shared" si="5"/>
        <v>0</v>
      </c>
      <c r="G30" s="461"/>
      <c r="H30" s="455">
        <v>0</v>
      </c>
      <c r="I30" s="456">
        <f t="shared" si="8"/>
        <v>0</v>
      </c>
      <c r="J30" s="438">
        <f t="shared" si="10"/>
        <v>0</v>
      </c>
      <c r="K30" s="438">
        <f t="shared" si="6"/>
        <v>0</v>
      </c>
      <c r="L30" s="455">
        <v>0</v>
      </c>
      <c r="M30" s="456">
        <f t="shared" si="9"/>
        <v>0</v>
      </c>
      <c r="N30" s="438">
        <f t="shared" si="11"/>
        <v>0</v>
      </c>
      <c r="O30" s="438">
        <f t="shared" si="7"/>
        <v>0</v>
      </c>
      <c r="P30" s="2"/>
      <c r="Q30" s="4"/>
      <c r="R30" s="2"/>
      <c r="S30" s="2"/>
    </row>
    <row r="31" spans="1:19" s="421" customFormat="1">
      <c r="A31" s="461">
        <f t="shared" si="1"/>
        <v>22</v>
      </c>
      <c r="B31" s="465" t="s">
        <v>1039</v>
      </c>
      <c r="C31" s="437">
        <f t="shared" si="2"/>
        <v>0</v>
      </c>
      <c r="D31" s="437">
        <f t="shared" si="3"/>
        <v>0</v>
      </c>
      <c r="E31" s="437">
        <f t="shared" si="4"/>
        <v>0</v>
      </c>
      <c r="F31" s="437">
        <f t="shared" si="5"/>
        <v>0</v>
      </c>
      <c r="G31" s="461"/>
      <c r="H31" s="455">
        <v>0</v>
      </c>
      <c r="I31" s="456">
        <f t="shared" si="8"/>
        <v>0</v>
      </c>
      <c r="J31" s="438">
        <f t="shared" si="10"/>
        <v>0</v>
      </c>
      <c r="K31" s="438">
        <f t="shared" si="6"/>
        <v>0</v>
      </c>
      <c r="L31" s="455">
        <v>0</v>
      </c>
      <c r="M31" s="456">
        <f t="shared" si="9"/>
        <v>0</v>
      </c>
      <c r="N31" s="438">
        <f t="shared" si="11"/>
        <v>0</v>
      </c>
      <c r="O31" s="438">
        <f t="shared" si="7"/>
        <v>0</v>
      </c>
      <c r="P31" s="2"/>
      <c r="Q31" s="4"/>
      <c r="R31" s="2"/>
      <c r="S31" s="2"/>
    </row>
    <row r="32" spans="1:19" s="421" customFormat="1">
      <c r="A32" s="461">
        <f t="shared" si="1"/>
        <v>23</v>
      </c>
      <c r="B32" s="465" t="s">
        <v>1039</v>
      </c>
      <c r="C32" s="437">
        <f t="shared" si="2"/>
        <v>0</v>
      </c>
      <c r="D32" s="437">
        <f t="shared" si="3"/>
        <v>0</v>
      </c>
      <c r="E32" s="437">
        <f t="shared" si="4"/>
        <v>0</v>
      </c>
      <c r="F32" s="437">
        <f t="shared" si="5"/>
        <v>0</v>
      </c>
      <c r="G32" s="461"/>
      <c r="H32" s="455">
        <v>0</v>
      </c>
      <c r="I32" s="456">
        <f t="shared" si="8"/>
        <v>0</v>
      </c>
      <c r="J32" s="438">
        <f t="shared" si="10"/>
        <v>0</v>
      </c>
      <c r="K32" s="438">
        <f t="shared" si="6"/>
        <v>0</v>
      </c>
      <c r="L32" s="455">
        <v>0</v>
      </c>
      <c r="M32" s="456">
        <f t="shared" si="9"/>
        <v>0</v>
      </c>
      <c r="N32" s="438">
        <f t="shared" si="11"/>
        <v>0</v>
      </c>
      <c r="O32" s="438">
        <f t="shared" si="7"/>
        <v>0</v>
      </c>
      <c r="P32" s="2"/>
      <c r="Q32" s="4"/>
      <c r="R32" s="2"/>
      <c r="S32" s="2"/>
    </row>
    <row r="33" spans="1:19" s="421" customFormat="1">
      <c r="A33" s="461">
        <f t="shared" si="1"/>
        <v>24</v>
      </c>
      <c r="B33" s="465" t="s">
        <v>1039</v>
      </c>
      <c r="C33" s="437">
        <f t="shared" si="2"/>
        <v>0</v>
      </c>
      <c r="D33" s="437">
        <f t="shared" si="3"/>
        <v>0</v>
      </c>
      <c r="E33" s="437">
        <f t="shared" si="4"/>
        <v>0</v>
      </c>
      <c r="F33" s="437">
        <f t="shared" si="5"/>
        <v>0</v>
      </c>
      <c r="G33" s="461"/>
      <c r="H33" s="455">
        <v>0</v>
      </c>
      <c r="I33" s="456">
        <f t="shared" si="8"/>
        <v>0</v>
      </c>
      <c r="J33" s="438">
        <f t="shared" si="10"/>
        <v>0</v>
      </c>
      <c r="K33" s="438">
        <f t="shared" si="6"/>
        <v>0</v>
      </c>
      <c r="L33" s="455">
        <v>0</v>
      </c>
      <c r="M33" s="456">
        <f t="shared" si="9"/>
        <v>0</v>
      </c>
      <c r="N33" s="438">
        <f t="shared" si="11"/>
        <v>0</v>
      </c>
      <c r="O33" s="438">
        <f t="shared" si="7"/>
        <v>0</v>
      </c>
      <c r="P33" s="2"/>
      <c r="Q33" s="4"/>
      <c r="R33" s="2"/>
      <c r="S33" s="2"/>
    </row>
    <row r="34" spans="1:19" s="421" customFormat="1">
      <c r="A34" s="461">
        <f t="shared" si="1"/>
        <v>25</v>
      </c>
      <c r="B34" s="465" t="s">
        <v>1039</v>
      </c>
      <c r="C34" s="437">
        <f t="shared" si="2"/>
        <v>0</v>
      </c>
      <c r="D34" s="437">
        <f t="shared" si="3"/>
        <v>0</v>
      </c>
      <c r="E34" s="437">
        <f t="shared" si="4"/>
        <v>0</v>
      </c>
      <c r="F34" s="437">
        <f t="shared" si="5"/>
        <v>0</v>
      </c>
      <c r="G34" s="461"/>
      <c r="H34" s="455">
        <v>0</v>
      </c>
      <c r="I34" s="456">
        <f t="shared" si="8"/>
        <v>0</v>
      </c>
      <c r="J34" s="438">
        <f t="shared" si="10"/>
        <v>0</v>
      </c>
      <c r="K34" s="438">
        <f t="shared" si="6"/>
        <v>0</v>
      </c>
      <c r="L34" s="455">
        <v>0</v>
      </c>
      <c r="M34" s="456">
        <f t="shared" si="9"/>
        <v>0</v>
      </c>
      <c r="N34" s="438">
        <f t="shared" si="11"/>
        <v>0</v>
      </c>
      <c r="O34" s="438">
        <f t="shared" si="7"/>
        <v>0</v>
      </c>
      <c r="P34" s="2"/>
      <c r="Q34" s="4"/>
      <c r="R34" s="2"/>
      <c r="S34" s="2"/>
    </row>
    <row r="35" spans="1:19" s="421" customFormat="1">
      <c r="A35" s="461">
        <f t="shared" si="1"/>
        <v>26</v>
      </c>
      <c r="B35" s="465" t="s">
        <v>1039</v>
      </c>
      <c r="C35" s="437">
        <f t="shared" si="2"/>
        <v>0</v>
      </c>
      <c r="D35" s="437">
        <f t="shared" si="3"/>
        <v>0</v>
      </c>
      <c r="E35" s="437">
        <f t="shared" si="4"/>
        <v>0</v>
      </c>
      <c r="F35" s="437">
        <f t="shared" si="5"/>
        <v>0</v>
      </c>
      <c r="G35" s="461"/>
      <c r="H35" s="455">
        <v>0</v>
      </c>
      <c r="I35" s="456">
        <f t="shared" si="8"/>
        <v>0</v>
      </c>
      <c r="J35" s="438">
        <f t="shared" si="10"/>
        <v>0</v>
      </c>
      <c r="K35" s="438">
        <f t="shared" si="6"/>
        <v>0</v>
      </c>
      <c r="L35" s="455">
        <v>0</v>
      </c>
      <c r="M35" s="456">
        <f t="shared" si="9"/>
        <v>0</v>
      </c>
      <c r="N35" s="438">
        <f t="shared" si="11"/>
        <v>0</v>
      </c>
      <c r="O35" s="438">
        <f t="shared" si="7"/>
        <v>0</v>
      </c>
      <c r="P35" s="2"/>
      <c r="Q35" s="4"/>
      <c r="R35" s="2"/>
      <c r="S35" s="2"/>
    </row>
    <row r="36" spans="1:19" s="421" customFormat="1">
      <c r="A36" s="461">
        <f t="shared" si="1"/>
        <v>27</v>
      </c>
      <c r="B36" s="465" t="s">
        <v>1039</v>
      </c>
      <c r="C36" s="437">
        <f t="shared" si="2"/>
        <v>0</v>
      </c>
      <c r="D36" s="437">
        <f t="shared" si="3"/>
        <v>0</v>
      </c>
      <c r="E36" s="437">
        <f t="shared" si="4"/>
        <v>0</v>
      </c>
      <c r="F36" s="437">
        <f t="shared" si="5"/>
        <v>0</v>
      </c>
      <c r="G36" s="461"/>
      <c r="H36" s="455">
        <v>0</v>
      </c>
      <c r="I36" s="456">
        <f t="shared" si="8"/>
        <v>0</v>
      </c>
      <c r="J36" s="438">
        <f t="shared" si="10"/>
        <v>0</v>
      </c>
      <c r="K36" s="438">
        <f t="shared" si="6"/>
        <v>0</v>
      </c>
      <c r="L36" s="455">
        <v>0</v>
      </c>
      <c r="M36" s="456">
        <f t="shared" si="9"/>
        <v>0</v>
      </c>
      <c r="N36" s="438">
        <f t="shared" si="11"/>
        <v>0</v>
      </c>
      <c r="O36" s="438">
        <f t="shared" si="7"/>
        <v>0</v>
      </c>
      <c r="P36" s="2"/>
      <c r="Q36" s="4"/>
      <c r="R36" s="2"/>
      <c r="S36" s="2"/>
    </row>
    <row r="37" spans="1:19" s="421" customFormat="1">
      <c r="A37" s="461">
        <f t="shared" si="1"/>
        <v>28</v>
      </c>
      <c r="B37" s="465" t="s">
        <v>1039</v>
      </c>
      <c r="C37" s="437">
        <f t="shared" si="2"/>
        <v>0</v>
      </c>
      <c r="D37" s="437">
        <f t="shared" si="3"/>
        <v>0</v>
      </c>
      <c r="E37" s="437">
        <f t="shared" si="4"/>
        <v>0</v>
      </c>
      <c r="F37" s="437">
        <f t="shared" si="5"/>
        <v>0</v>
      </c>
      <c r="G37" s="461"/>
      <c r="H37" s="455">
        <v>0</v>
      </c>
      <c r="I37" s="456">
        <f t="shared" si="8"/>
        <v>0</v>
      </c>
      <c r="J37" s="438">
        <f t="shared" si="10"/>
        <v>0</v>
      </c>
      <c r="K37" s="438">
        <f t="shared" si="6"/>
        <v>0</v>
      </c>
      <c r="L37" s="455">
        <v>0</v>
      </c>
      <c r="M37" s="456">
        <f t="shared" si="9"/>
        <v>0</v>
      </c>
      <c r="N37" s="438">
        <f t="shared" si="11"/>
        <v>0</v>
      </c>
      <c r="O37" s="438">
        <f t="shared" si="7"/>
        <v>0</v>
      </c>
      <c r="P37" s="2"/>
      <c r="Q37" s="4"/>
      <c r="R37" s="2"/>
      <c r="S37" s="2"/>
    </row>
    <row r="38" spans="1:19" s="421" customFormat="1">
      <c r="A38" s="461">
        <f t="shared" si="1"/>
        <v>29</v>
      </c>
      <c r="B38" s="465" t="s">
        <v>1039</v>
      </c>
      <c r="C38" s="437">
        <f t="shared" si="2"/>
        <v>0</v>
      </c>
      <c r="D38" s="437">
        <f t="shared" si="3"/>
        <v>0</v>
      </c>
      <c r="E38" s="437">
        <f t="shared" si="4"/>
        <v>0</v>
      </c>
      <c r="F38" s="437">
        <f t="shared" si="5"/>
        <v>0</v>
      </c>
      <c r="G38" s="461"/>
      <c r="H38" s="455">
        <v>0</v>
      </c>
      <c r="I38" s="456">
        <f t="shared" si="8"/>
        <v>0</v>
      </c>
      <c r="J38" s="438">
        <f t="shared" si="10"/>
        <v>0</v>
      </c>
      <c r="K38" s="438">
        <f t="shared" si="6"/>
        <v>0</v>
      </c>
      <c r="L38" s="455">
        <v>0</v>
      </c>
      <c r="M38" s="456">
        <f t="shared" si="9"/>
        <v>0</v>
      </c>
      <c r="N38" s="438">
        <f t="shared" si="11"/>
        <v>0</v>
      </c>
      <c r="O38" s="438">
        <f t="shared" si="7"/>
        <v>0</v>
      </c>
      <c r="P38" s="2"/>
      <c r="Q38" s="4"/>
      <c r="R38" s="2"/>
      <c r="S38" s="2"/>
    </row>
    <row r="39" spans="1:19" s="421" customFormat="1">
      <c r="A39" s="461">
        <f t="shared" si="1"/>
        <v>30</v>
      </c>
      <c r="B39" s="465" t="s">
        <v>1039</v>
      </c>
      <c r="C39" s="437">
        <f t="shared" si="2"/>
        <v>0</v>
      </c>
      <c r="D39" s="437">
        <f t="shared" si="3"/>
        <v>0</v>
      </c>
      <c r="E39" s="437">
        <f t="shared" si="4"/>
        <v>0</v>
      </c>
      <c r="F39" s="437">
        <f t="shared" si="5"/>
        <v>0</v>
      </c>
      <c r="G39" s="461"/>
      <c r="H39" s="455">
        <v>0</v>
      </c>
      <c r="I39" s="456">
        <f t="shared" si="8"/>
        <v>0</v>
      </c>
      <c r="J39" s="438">
        <f t="shared" si="10"/>
        <v>0</v>
      </c>
      <c r="K39" s="438">
        <f t="shared" si="6"/>
        <v>0</v>
      </c>
      <c r="L39" s="455">
        <v>0</v>
      </c>
      <c r="M39" s="456">
        <f t="shared" si="9"/>
        <v>0</v>
      </c>
      <c r="N39" s="438">
        <f t="shared" si="11"/>
        <v>0</v>
      </c>
      <c r="O39" s="438">
        <f t="shared" si="7"/>
        <v>0</v>
      </c>
      <c r="P39" s="2"/>
      <c r="Q39" s="4"/>
      <c r="R39" s="2"/>
      <c r="S39" s="2"/>
    </row>
    <row r="40" spans="1:19" s="421" customFormat="1">
      <c r="A40" s="461">
        <f t="shared" si="1"/>
        <v>31</v>
      </c>
      <c r="B40" s="465" t="s">
        <v>1039</v>
      </c>
      <c r="C40" s="437">
        <f t="shared" si="2"/>
        <v>0</v>
      </c>
      <c r="D40" s="437">
        <f t="shared" si="3"/>
        <v>0</v>
      </c>
      <c r="E40" s="437">
        <f t="shared" si="4"/>
        <v>0</v>
      </c>
      <c r="F40" s="437">
        <f t="shared" si="5"/>
        <v>0</v>
      </c>
      <c r="G40" s="461"/>
      <c r="H40" s="455">
        <v>0</v>
      </c>
      <c r="I40" s="456">
        <f t="shared" si="8"/>
        <v>0</v>
      </c>
      <c r="J40" s="438">
        <f t="shared" si="10"/>
        <v>0</v>
      </c>
      <c r="K40" s="438">
        <f t="shared" si="6"/>
        <v>0</v>
      </c>
      <c r="L40" s="455">
        <v>0</v>
      </c>
      <c r="M40" s="456">
        <f t="shared" si="9"/>
        <v>0</v>
      </c>
      <c r="N40" s="438">
        <f t="shared" si="11"/>
        <v>0</v>
      </c>
      <c r="O40" s="438">
        <f t="shared" si="7"/>
        <v>0</v>
      </c>
      <c r="P40" s="2"/>
      <c r="Q40" s="4"/>
      <c r="R40" s="2"/>
      <c r="S40" s="2"/>
    </row>
    <row r="41" spans="1:19" s="421" customFormat="1">
      <c r="A41" s="461">
        <f t="shared" si="1"/>
        <v>32</v>
      </c>
      <c r="B41" s="465" t="s">
        <v>1039</v>
      </c>
      <c r="C41" s="437">
        <f t="shared" si="2"/>
        <v>0</v>
      </c>
      <c r="D41" s="437">
        <f t="shared" si="3"/>
        <v>0</v>
      </c>
      <c r="E41" s="437">
        <f t="shared" si="4"/>
        <v>0</v>
      </c>
      <c r="F41" s="437">
        <f t="shared" si="5"/>
        <v>0</v>
      </c>
      <c r="G41" s="461"/>
      <c r="H41" s="455">
        <v>0</v>
      </c>
      <c r="I41" s="456">
        <f t="shared" si="8"/>
        <v>0</v>
      </c>
      <c r="J41" s="438">
        <f t="shared" si="10"/>
        <v>0</v>
      </c>
      <c r="K41" s="438">
        <f t="shared" si="6"/>
        <v>0</v>
      </c>
      <c r="L41" s="455">
        <v>0</v>
      </c>
      <c r="M41" s="456">
        <f t="shared" si="9"/>
        <v>0</v>
      </c>
      <c r="N41" s="438">
        <f t="shared" si="11"/>
        <v>0</v>
      </c>
      <c r="O41" s="438">
        <f t="shared" si="7"/>
        <v>0</v>
      </c>
      <c r="P41" s="2"/>
      <c r="Q41" s="4"/>
      <c r="R41" s="2"/>
      <c r="S41" s="2"/>
    </row>
    <row r="42" spans="1:19" s="421" customFormat="1">
      <c r="A42" s="448"/>
      <c r="B42" s="461"/>
      <c r="G42" s="461"/>
      <c r="H42" s="440"/>
      <c r="I42" s="441"/>
      <c r="J42" s="441"/>
      <c r="K42" s="441"/>
      <c r="L42" s="442"/>
      <c r="M42" s="441"/>
      <c r="N42" s="443"/>
      <c r="O42" s="443"/>
      <c r="P42" s="2"/>
      <c r="Q42" s="4"/>
      <c r="R42" s="2"/>
      <c r="S42" s="2"/>
    </row>
    <row r="43" spans="1:19" s="421" customFormat="1">
      <c r="A43" s="464" t="s">
        <v>191</v>
      </c>
      <c r="B43" s="461"/>
      <c r="G43" s="461"/>
      <c r="H43" s="445"/>
      <c r="I43" s="445"/>
      <c r="J43" s="445"/>
      <c r="K43" s="445"/>
      <c r="L43" s="446"/>
      <c r="M43" s="445"/>
      <c r="N43" s="447"/>
      <c r="O43" s="447"/>
      <c r="P43" s="2"/>
      <c r="Q43" s="4"/>
      <c r="R43" s="2"/>
      <c r="S43" s="2"/>
    </row>
    <row r="44" spans="1:19" s="421" customFormat="1">
      <c r="A44" s="448" t="s">
        <v>84</v>
      </c>
      <c r="B44" s="462" t="s">
        <v>790</v>
      </c>
      <c r="G44" s="461"/>
      <c r="H44" s="445"/>
      <c r="I44" s="445"/>
      <c r="J44" s="445"/>
      <c r="K44" s="445"/>
      <c r="L44" s="446"/>
      <c r="M44" s="445"/>
      <c r="N44" s="447"/>
      <c r="O44" s="447"/>
      <c r="P44" s="2"/>
      <c r="Q44" s="4"/>
      <c r="R44" s="2"/>
      <c r="S44" s="2"/>
    </row>
    <row r="45" spans="1:19" s="20" customFormat="1" ht="15" customHeight="1">
      <c r="A45" s="448" t="s">
        <v>85</v>
      </c>
      <c r="B45" s="462" t="s">
        <v>791</v>
      </c>
      <c r="C45" s="56"/>
      <c r="D45" s="56"/>
      <c r="E45" s="56"/>
      <c r="F45" s="56"/>
      <c r="G45" s="459"/>
      <c r="H45" s="2"/>
      <c r="I45" s="9"/>
      <c r="P45" s="2"/>
      <c r="Q45" s="4"/>
      <c r="R45" s="2"/>
      <c r="S45" s="2"/>
    </row>
    <row r="46" spans="1:19" s="20" customFormat="1" ht="29.25" customHeight="1">
      <c r="A46" s="54"/>
      <c r="B46" s="55"/>
      <c r="C46" s="56"/>
      <c r="D46" s="56"/>
      <c r="E46" s="56"/>
      <c r="F46" s="56"/>
      <c r="G46" s="459"/>
      <c r="H46" s="2"/>
      <c r="I46" s="9"/>
      <c r="P46" s="2"/>
      <c r="Q46" s="4"/>
      <c r="R46" s="2"/>
      <c r="S46" s="2"/>
    </row>
    <row r="47" spans="1:19" ht="15" customHeight="1">
      <c r="A47" s="54"/>
      <c r="B47" s="55"/>
      <c r="C47" s="56"/>
      <c r="D47" s="56"/>
      <c r="E47" s="56"/>
      <c r="F47" s="56"/>
      <c r="G47" s="459"/>
      <c r="I47" s="9"/>
    </row>
    <row r="48" spans="1:19" ht="15" customHeight="1">
      <c r="A48" s="54"/>
      <c r="B48" s="55"/>
      <c r="C48" s="56"/>
      <c r="D48" s="56"/>
      <c r="E48" s="56"/>
      <c r="F48" s="56"/>
      <c r="G48" s="459"/>
      <c r="I48" s="9"/>
    </row>
    <row r="49" spans="1:9" ht="15" customHeight="1">
      <c r="A49" s="54"/>
      <c r="B49" s="55"/>
      <c r="C49" s="56"/>
      <c r="D49" s="56"/>
      <c r="E49" s="56"/>
      <c r="F49" s="56"/>
      <c r="G49" s="459"/>
      <c r="I49" s="9"/>
    </row>
    <row r="50" spans="1:9" ht="15" customHeight="1">
      <c r="A50" s="54"/>
      <c r="B50" s="55"/>
      <c r="C50" s="56"/>
      <c r="D50" s="56"/>
      <c r="E50" s="56"/>
      <c r="F50" s="56"/>
      <c r="G50" s="459"/>
      <c r="I50" s="9"/>
    </row>
    <row r="51" spans="1:9" ht="15" customHeight="1">
      <c r="A51" s="54"/>
      <c r="B51" s="55"/>
      <c r="C51" s="56"/>
      <c r="D51" s="56"/>
      <c r="E51" s="56"/>
      <c r="F51" s="56"/>
      <c r="G51" s="459"/>
      <c r="I51" s="9"/>
    </row>
    <row r="52" spans="1:9" ht="15" customHeight="1">
      <c r="A52" s="54"/>
      <c r="B52" s="55"/>
      <c r="C52" s="56"/>
      <c r="D52" s="56"/>
      <c r="E52" s="56"/>
      <c r="F52" s="56"/>
      <c r="G52" s="459"/>
      <c r="I52" s="9"/>
    </row>
    <row r="53" spans="1:9">
      <c r="A53" s="54"/>
      <c r="B53" s="55"/>
      <c r="C53" s="56"/>
      <c r="D53" s="56"/>
      <c r="E53" s="56"/>
      <c r="F53" s="56"/>
      <c r="G53" s="459"/>
      <c r="I53" s="9"/>
    </row>
    <row r="54" spans="1:9">
      <c r="A54" s="54"/>
      <c r="B54" s="55"/>
      <c r="C54" s="56"/>
      <c r="D54" s="56"/>
      <c r="E54" s="56"/>
      <c r="F54" s="56"/>
      <c r="G54" s="459"/>
      <c r="I54" s="9"/>
    </row>
    <row r="55" spans="1:9">
      <c r="A55" s="54"/>
      <c r="B55" s="55"/>
      <c r="C55" s="56"/>
      <c r="D55" s="56"/>
      <c r="E55" s="56"/>
      <c r="F55" s="56"/>
      <c r="G55" s="459"/>
      <c r="I55" s="9"/>
    </row>
    <row r="56" spans="1:9">
      <c r="A56" s="54"/>
      <c r="B56" s="55"/>
      <c r="C56" s="56"/>
      <c r="D56" s="56"/>
      <c r="E56" s="56"/>
      <c r="F56" s="56"/>
      <c r="G56" s="459"/>
      <c r="I56" s="9"/>
    </row>
    <row r="57" spans="1:9">
      <c r="A57" s="54"/>
      <c r="B57" s="55"/>
      <c r="C57" s="56"/>
      <c r="D57" s="56"/>
      <c r="E57" s="56"/>
      <c r="F57" s="56"/>
      <c r="G57" s="459"/>
      <c r="I57" s="9"/>
    </row>
    <row r="58" spans="1:9">
      <c r="A58" s="54"/>
      <c r="B58" s="55"/>
      <c r="C58" s="56"/>
      <c r="D58" s="56"/>
      <c r="E58" s="56"/>
      <c r="F58" s="56"/>
      <c r="G58" s="459"/>
      <c r="I58" s="9"/>
    </row>
    <row r="59" spans="1:9">
      <c r="A59" s="54"/>
      <c r="B59" s="55"/>
      <c r="C59" s="56"/>
      <c r="D59" s="56"/>
      <c r="E59" s="56"/>
      <c r="F59" s="56"/>
      <c r="G59" s="459"/>
      <c r="I59" s="9"/>
    </row>
    <row r="60" spans="1:9">
      <c r="A60" s="54"/>
      <c r="B60" s="55"/>
      <c r="C60" s="56"/>
      <c r="D60" s="56"/>
      <c r="E60" s="56"/>
      <c r="F60" s="56"/>
      <c r="G60" s="459"/>
      <c r="I60" s="9"/>
    </row>
    <row r="61" spans="1:9">
      <c r="A61" s="54"/>
      <c r="B61" s="55"/>
      <c r="C61" s="56"/>
      <c r="D61" s="56"/>
      <c r="E61" s="56"/>
      <c r="F61" s="56"/>
      <c r="G61" s="459"/>
      <c r="I61" s="9"/>
    </row>
    <row r="62" spans="1:9">
      <c r="A62" s="54"/>
      <c r="B62" s="55"/>
      <c r="C62" s="56"/>
      <c r="D62" s="56"/>
      <c r="E62" s="56"/>
      <c r="F62" s="56"/>
      <c r="G62" s="459"/>
      <c r="I62" s="9"/>
    </row>
    <row r="63" spans="1:9">
      <c r="A63" s="54"/>
      <c r="B63" s="55"/>
      <c r="C63" s="56"/>
      <c r="D63" s="56"/>
      <c r="E63" s="56"/>
      <c r="F63" s="56"/>
      <c r="G63" s="459"/>
      <c r="I63" s="9"/>
    </row>
    <row r="86" spans="1:17">
      <c r="J86" s="3"/>
    </row>
    <row r="87" spans="1:17">
      <c r="J87" s="6"/>
      <c r="K87" s="7"/>
      <c r="L87" s="8"/>
    </row>
    <row r="88" spans="1:17">
      <c r="J88" s="6"/>
      <c r="K88" s="7"/>
    </row>
    <row r="91" spans="1:17" ht="102" customHeight="1"/>
    <row r="92" spans="1:17" s="20" customFormat="1">
      <c r="A92" s="1"/>
      <c r="B92" s="33"/>
      <c r="C92" s="2"/>
      <c r="D92" s="2"/>
      <c r="E92" s="2"/>
      <c r="F92" s="2"/>
      <c r="G92" s="33"/>
      <c r="H92" s="2"/>
      <c r="I92" s="2"/>
      <c r="Q92" s="19"/>
    </row>
    <row r="93" spans="1:17" s="20" customFormat="1" ht="63.75" customHeight="1">
      <c r="A93" s="1"/>
      <c r="B93" s="33"/>
      <c r="C93" s="2"/>
      <c r="D93" s="2"/>
      <c r="E93" s="2"/>
      <c r="F93" s="2"/>
      <c r="G93" s="33"/>
      <c r="H93" s="2"/>
      <c r="I93" s="2"/>
      <c r="Q93" s="19"/>
    </row>
    <row r="109" spans="1:17" s="20" customFormat="1">
      <c r="A109" s="1"/>
      <c r="B109" s="33"/>
      <c r="C109" s="2"/>
      <c r="D109" s="2"/>
      <c r="E109" s="2"/>
      <c r="F109" s="2"/>
      <c r="G109" s="33"/>
      <c r="H109" s="2"/>
      <c r="I109" s="2"/>
      <c r="J109" s="2"/>
      <c r="Q109" s="19"/>
    </row>
    <row r="110" spans="1:17" s="20" customFormat="1">
      <c r="A110" s="1"/>
      <c r="B110" s="33"/>
      <c r="C110" s="2"/>
      <c r="D110" s="2"/>
      <c r="E110" s="2"/>
      <c r="F110" s="2"/>
      <c r="G110" s="33"/>
      <c r="H110" s="2"/>
      <c r="I110" s="2"/>
      <c r="J110" s="7"/>
      <c r="K110" s="7"/>
      <c r="L110" s="7"/>
      <c r="Q110" s="19"/>
    </row>
    <row r="111" spans="1:17" s="20" customFormat="1">
      <c r="A111" s="1"/>
      <c r="B111" s="33"/>
      <c r="C111" s="2"/>
      <c r="D111" s="2"/>
      <c r="E111" s="2"/>
      <c r="F111" s="2"/>
      <c r="G111" s="33"/>
      <c r="H111" s="2"/>
      <c r="I111" s="2"/>
      <c r="J111" s="7"/>
      <c r="L111" s="7"/>
      <c r="Q111" s="19"/>
    </row>
    <row r="112" spans="1:17" s="20" customFormat="1" ht="82.5" customHeight="1">
      <c r="A112" s="1"/>
      <c r="B112" s="33"/>
      <c r="C112" s="2"/>
      <c r="D112" s="2"/>
      <c r="E112" s="2"/>
      <c r="F112" s="2"/>
      <c r="G112" s="33"/>
      <c r="H112" s="2"/>
      <c r="I112" s="2"/>
      <c r="J112" s="36"/>
      <c r="K112" s="36"/>
      <c r="L112" s="36"/>
      <c r="M112" s="40"/>
      <c r="Q112" s="19"/>
    </row>
    <row r="113" spans="1:17" s="20" customFormat="1">
      <c r="A113" s="1"/>
      <c r="B113" s="33"/>
      <c r="C113" s="2"/>
      <c r="D113" s="2"/>
      <c r="E113" s="2"/>
      <c r="F113" s="2"/>
      <c r="G113" s="33"/>
      <c r="H113" s="2"/>
      <c r="I113" s="2"/>
      <c r="J113" s="41"/>
      <c r="K113" s="41"/>
      <c r="L113" s="41"/>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M119" s="40"/>
      <c r="Q119" s="19"/>
    </row>
    <row r="120" spans="1:17" s="20" customFormat="1">
      <c r="A120" s="1"/>
      <c r="B120" s="33"/>
      <c r="C120" s="2"/>
      <c r="D120" s="2"/>
      <c r="E120" s="2"/>
      <c r="F120" s="2"/>
      <c r="G120" s="33"/>
      <c r="H120" s="2"/>
      <c r="I120" s="2"/>
      <c r="J120" s="9"/>
      <c r="K120" s="9"/>
      <c r="M120" s="40"/>
      <c r="Q120" s="19"/>
    </row>
    <row r="122" spans="1:17" ht="15" customHeight="1">
      <c r="J122" s="410"/>
      <c r="K122" s="410"/>
    </row>
    <row r="123" spans="1:17" ht="15" customHeight="1">
      <c r="J123" s="410"/>
      <c r="K123" s="410"/>
      <c r="L123" s="8"/>
    </row>
    <row r="124" spans="1:17" ht="30.75" customHeight="1">
      <c r="J124" s="57"/>
      <c r="K124" s="57"/>
    </row>
    <row r="125" spans="1:17">
      <c r="J125" s="57"/>
      <c r="K125" s="57"/>
    </row>
    <row r="126" spans="1:17">
      <c r="J126" s="58"/>
      <c r="K126" s="58"/>
      <c r="L126" s="58"/>
      <c r="M126" s="58"/>
    </row>
    <row r="127" spans="1:17">
      <c r="J127" s="7"/>
      <c r="K127" s="7"/>
    </row>
    <row r="128" spans="1:17" ht="30.75" customHeight="1">
      <c r="J128" s="411"/>
      <c r="K128" s="411"/>
      <c r="L128" s="411"/>
      <c r="M128" s="411"/>
      <c r="N128" s="411"/>
    </row>
    <row r="129" spans="10:14" ht="15" customHeight="1">
      <c r="J129" s="411"/>
      <c r="K129" s="411"/>
    </row>
    <row r="130" spans="10:14" ht="82.5" customHeight="1">
      <c r="J130" s="411"/>
      <c r="K130" s="411"/>
      <c r="L130" s="411"/>
      <c r="M130" s="411"/>
      <c r="N130" s="411"/>
    </row>
    <row r="131" spans="10:14" ht="15" customHeight="1">
      <c r="J131" s="61"/>
      <c r="K131" s="61"/>
    </row>
    <row r="132" spans="10:14">
      <c r="J132" s="61"/>
      <c r="K132" s="61"/>
    </row>
    <row r="133" spans="10:14" ht="69.75" customHeight="1">
      <c r="J133" s="61"/>
      <c r="K133" s="61"/>
    </row>
  </sheetData>
  <mergeCells count="4">
    <mergeCell ref="C13:F13"/>
    <mergeCell ref="A1:O1"/>
    <mergeCell ref="A2:O2"/>
    <mergeCell ref="A3:O3"/>
  </mergeCells>
  <pageMargins left="0.75" right="0.75" top="1" bottom="1" header="0.5" footer="0.5"/>
  <pageSetup scale="42" fitToHeight="2" orientation="portrait" r:id="rId1"/>
  <headerFooter alignWithMargins="0"/>
  <rowBreaks count="1" manualBreakCount="1">
    <brk id="4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TU-TrueUp</vt:lpstr>
      <vt:lpstr>Proj Att-H</vt:lpstr>
      <vt:lpstr>P1-Trans Plant</vt:lpstr>
      <vt:lpstr>P2-Exp. &amp; Rev. Credits</vt:lpstr>
      <vt:lpstr>P3-Divisor</vt:lpstr>
      <vt:lpstr>P4-IncentPlant</vt:lpstr>
      <vt:lpstr>P5-ADIT</vt:lpstr>
      <vt:lpstr>Schedule 1</vt:lpstr>
      <vt:lpstr>'A1-RevCred'!Print_Area</vt:lpstr>
      <vt:lpstr>'A2-A&amp;G'!Print_Area</vt:lpstr>
      <vt:lpstr>'A3-ADIT'!Print_Area</vt:lpstr>
      <vt:lpstr>'A4-Rate Base'!Print_Area</vt:lpstr>
      <vt:lpstr>'A6-Divisor'!Print_Area</vt:lpstr>
      <vt:lpstr>'A7-IncentPlant'!Print_Area</vt:lpstr>
      <vt:lpstr>'Act Att-H'!Print_Area</vt:lpstr>
      <vt:lpstr>'P1-Trans Plant'!Print_Area</vt:lpstr>
      <vt:lpstr>'P3-Divisor'!Print_Area</vt:lpstr>
      <vt:lpstr>'P4-IncentPlant'!Print_Area</vt:lpstr>
      <vt:lpstr>'P5-ADIT'!Print_Area</vt:lpstr>
      <vt:lpstr>'Proj Att-H'!Print_Area</vt:lpstr>
      <vt:lpstr>'Schedule 1'!Print_Area</vt:lpstr>
      <vt:lpstr>'Table of Contents'!Print_Area</vt:lpstr>
      <vt:lpstr>'TU-TrueUp'!Print_Area</vt:lpstr>
      <vt:lpstr>'P1-Trans Plant'!Print_Titles</vt:lpstr>
      <vt:lpstr>'TU-TrueUp'!Print_Titles</vt:lpstr>
      <vt:lpstr>'TU-TrueUp'!TU</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Welbig, Jacki</cp:lastModifiedBy>
  <cp:lastPrinted>2018-12-21T04:24:48Z</cp:lastPrinted>
  <dcterms:created xsi:type="dcterms:W3CDTF">2008-03-20T17:17:47Z</dcterms:created>
  <dcterms:modified xsi:type="dcterms:W3CDTF">2019-09-27T16:45:22Z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