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2 Workfront\349000_22_FERC updates (March)\BHP\"/>
    </mc:Choice>
  </mc:AlternateContent>
  <xr:revisionPtr revIDLastSave="0" documentId="8_{433B361B-96EB-49C3-8CE5-6D235FE26C1A}" xr6:coauthVersionLast="47" xr6:coauthVersionMax="47" xr10:uidLastSave="{00000000-0000-0000-0000-000000000000}"/>
  <bookViews>
    <workbookView xWindow="375" yWindow="345" windowWidth="23010" windowHeight="12960" tabRatio="893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37" l="1"/>
  <c r="P28" i="37"/>
  <c r="O28" i="37"/>
  <c r="N28" i="37"/>
  <c r="M28" i="37"/>
  <c r="L28" i="37"/>
  <c r="K28" i="37"/>
  <c r="J28" i="37"/>
  <c r="I28" i="37"/>
  <c r="H28" i="37"/>
  <c r="G28" i="37"/>
  <c r="F28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F26" i="37"/>
  <c r="V41" i="37"/>
  <c r="W38" i="37"/>
  <c r="X38" i="37"/>
  <c r="O18" i="37"/>
  <c r="N18" i="37"/>
  <c r="M18" i="37"/>
  <c r="L18" i="37"/>
  <c r="K18" i="37"/>
  <c r="K22" i="37"/>
  <c r="J18" i="37"/>
  <c r="J22" i="37"/>
  <c r="I18" i="37"/>
  <c r="I22" i="37"/>
  <c r="H18" i="37"/>
  <c r="G18" i="37"/>
  <c r="F18" i="37"/>
  <c r="P18" i="37"/>
  <c r="Q18" i="37"/>
  <c r="E98" i="35"/>
  <c r="E95" i="35"/>
  <c r="D11" i="3"/>
  <c r="D17" i="3"/>
  <c r="W145" i="37"/>
  <c r="X145" i="37"/>
  <c r="P38" i="37"/>
  <c r="W144" i="37"/>
  <c r="X144" i="37"/>
  <c r="P27" i="37"/>
  <c r="P37" i="37"/>
  <c r="W143" i="37"/>
  <c r="X143" i="37"/>
  <c r="W133" i="37"/>
  <c r="X133" i="37"/>
  <c r="W132" i="37"/>
  <c r="X132" i="37"/>
  <c r="O26" i="37"/>
  <c r="O36" i="37"/>
  <c r="W124" i="37"/>
  <c r="X124" i="37"/>
  <c r="N38" i="37"/>
  <c r="W123" i="37"/>
  <c r="X123" i="37"/>
  <c r="N27" i="37"/>
  <c r="N37" i="37"/>
  <c r="W60" i="37"/>
  <c r="X60" i="37"/>
  <c r="H27" i="37"/>
  <c r="H37" i="37"/>
  <c r="W59" i="37"/>
  <c r="X59" i="37"/>
  <c r="W50" i="37"/>
  <c r="X50" i="37"/>
  <c r="G38" i="37"/>
  <c r="V159" i="37"/>
  <c r="W153" i="37"/>
  <c r="X153" i="37"/>
  <c r="V148" i="37"/>
  <c r="W142" i="37"/>
  <c r="V137" i="37"/>
  <c r="W134" i="37"/>
  <c r="X134" i="37"/>
  <c r="O38" i="37"/>
  <c r="V127" i="37"/>
  <c r="W122" i="37"/>
  <c r="X122" i="37"/>
  <c r="N26" i="37"/>
  <c r="V117" i="37"/>
  <c r="W114" i="37"/>
  <c r="X114" i="37"/>
  <c r="M38" i="37"/>
  <c r="V107" i="37"/>
  <c r="W102" i="37"/>
  <c r="X102" i="37"/>
  <c r="L26" i="37"/>
  <c r="L36" i="37"/>
  <c r="V97" i="37"/>
  <c r="W92" i="37"/>
  <c r="X92" i="37"/>
  <c r="K26" i="37"/>
  <c r="K32" i="37"/>
  <c r="K36" i="37"/>
  <c r="V86" i="37"/>
  <c r="W83" i="37"/>
  <c r="X83" i="37"/>
  <c r="V75" i="37"/>
  <c r="W69" i="37"/>
  <c r="V64" i="37"/>
  <c r="W58" i="37"/>
  <c r="V53" i="37"/>
  <c r="W49" i="37"/>
  <c r="X49" i="37"/>
  <c r="G27" i="37"/>
  <c r="G37" i="37"/>
  <c r="J184" i="35"/>
  <c r="E77" i="35"/>
  <c r="F56" i="37"/>
  <c r="G51" i="37"/>
  <c r="E101" i="35"/>
  <c r="U28" i="37"/>
  <c r="G58" i="37"/>
  <c r="J40" i="37"/>
  <c r="H40" i="37"/>
  <c r="G40" i="37"/>
  <c r="E38" i="37"/>
  <c r="R29" i="37"/>
  <c r="H196" i="35"/>
  <c r="J196" i="35"/>
  <c r="J22" i="24"/>
  <c r="J21" i="24"/>
  <c r="J20" i="24"/>
  <c r="J19" i="24"/>
  <c r="J18" i="24"/>
  <c r="J17" i="24"/>
  <c r="J16" i="24"/>
  <c r="J15" i="24"/>
  <c r="J14" i="24"/>
  <c r="J13" i="24"/>
  <c r="J12" i="24"/>
  <c r="J11" i="24"/>
  <c r="J24" i="24"/>
  <c r="I24" i="24"/>
  <c r="H24" i="24"/>
  <c r="G24" i="24"/>
  <c r="F24" i="24"/>
  <c r="E24" i="24"/>
  <c r="D24" i="24"/>
  <c r="E41" i="37"/>
  <c r="E40" i="37"/>
  <c r="E39" i="37"/>
  <c r="E35" i="37"/>
  <c r="I44" i="24"/>
  <c r="H44" i="24"/>
  <c r="G44" i="24"/>
  <c r="F44" i="24"/>
  <c r="E44" i="24"/>
  <c r="D44" i="24"/>
  <c r="R19" i="37"/>
  <c r="G64" i="37"/>
  <c r="G65" i="37"/>
  <c r="N39" i="37"/>
  <c r="J39" i="37"/>
  <c r="O39" i="37"/>
  <c r="P40" i="37"/>
  <c r="O40" i="37"/>
  <c r="M40" i="37"/>
  <c r="I40" i="37"/>
  <c r="F40" i="37"/>
  <c r="J139" i="35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D20" i="3"/>
  <c r="D22" i="3"/>
  <c r="N52" i="31"/>
  <c r="H31" i="35"/>
  <c r="R20" i="37"/>
  <c r="E20" i="35"/>
  <c r="E40" i="35"/>
  <c r="H11" i="3"/>
  <c r="H14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B22" i="3"/>
  <c r="G12" i="3"/>
  <c r="H12" i="3"/>
  <c r="G13" i="3"/>
  <c r="H13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R21" i="37"/>
  <c r="E21" i="35"/>
  <c r="C25" i="37"/>
  <c r="C35" i="37"/>
  <c r="C28" i="37"/>
  <c r="C38" i="37"/>
  <c r="C30" i="37"/>
  <c r="C40" i="37"/>
  <c r="C31" i="37"/>
  <c r="C41" i="37"/>
  <c r="R3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49" i="35"/>
  <c r="E53" i="35"/>
  <c r="J53" i="35"/>
  <c r="G62" i="37"/>
  <c r="E57" i="35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H90" i="35"/>
  <c r="J90" i="35"/>
  <c r="J84" i="35"/>
  <c r="J200" i="35"/>
  <c r="E146" i="35"/>
  <c r="G52" i="37"/>
  <c r="E47" i="35"/>
  <c r="G53" i="37"/>
  <c r="E48" i="35"/>
  <c r="G55" i="37"/>
  <c r="E50" i="35"/>
  <c r="P39" i="37"/>
  <c r="Q39" i="37"/>
  <c r="I39" i="37"/>
  <c r="M39" i="37"/>
  <c r="K39" i="37"/>
  <c r="H39" i="37"/>
  <c r="G39" i="37"/>
  <c r="L39" i="37"/>
  <c r="F39" i="37"/>
  <c r="R30" i="37"/>
  <c r="R40" i="37"/>
  <c r="E30" i="35"/>
  <c r="R15" i="37"/>
  <c r="F65" i="37"/>
  <c r="A19" i="37"/>
  <c r="G22" i="37"/>
  <c r="F22" i="37"/>
  <c r="E37" i="37"/>
  <c r="M22" i="37"/>
  <c r="N22" i="37"/>
  <c r="O22" i="37"/>
  <c r="E22" i="37"/>
  <c r="E36" i="37"/>
  <c r="H22" i="37"/>
  <c r="L22" i="37"/>
  <c r="P22" i="37"/>
  <c r="R16" i="37"/>
  <c r="Q22" i="37"/>
  <c r="R17" i="37"/>
  <c r="E17" i="35"/>
  <c r="J146" i="35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N40" i="37"/>
  <c r="E32" i="37"/>
  <c r="E19" i="35"/>
  <c r="K40" i="37"/>
  <c r="D27" i="3"/>
  <c r="A18" i="35"/>
  <c r="E31" i="35"/>
  <c r="E41" i="35"/>
  <c r="R41" i="37"/>
  <c r="J21" i="35"/>
  <c r="J31" i="35"/>
  <c r="A20" i="37"/>
  <c r="L40" i="37"/>
  <c r="E135" i="35"/>
  <c r="Q40" i="37"/>
  <c r="J41" i="35"/>
  <c r="A19" i="35"/>
  <c r="A21" i="37"/>
  <c r="A20" i="35"/>
  <c r="D22" i="37"/>
  <c r="A22" i="37"/>
  <c r="A23" i="37"/>
  <c r="A24" i="37"/>
  <c r="A25" i="37"/>
  <c r="D35" i="37"/>
  <c r="A26" i="37"/>
  <c r="A21" i="35"/>
  <c r="D22" i="35"/>
  <c r="A22" i="35"/>
  <c r="A23" i="35"/>
  <c r="A24" i="35"/>
  <c r="A25" i="35"/>
  <c r="D36" i="37"/>
  <c r="A27" i="37"/>
  <c r="A26" i="35"/>
  <c r="D35" i="35"/>
  <c r="A28" i="37"/>
  <c r="D37" i="37"/>
  <c r="A29" i="37"/>
  <c r="D38" i="37"/>
  <c r="A27" i="35"/>
  <c r="D36" i="35"/>
  <c r="E154" i="35"/>
  <c r="E164" i="35"/>
  <c r="A28" i="35"/>
  <c r="D37" i="35"/>
  <c r="A30" i="37"/>
  <c r="D39" i="37"/>
  <c r="A29" i="35"/>
  <c r="D38" i="35"/>
  <c r="A31" i="37"/>
  <c r="D40" i="37"/>
  <c r="A32" i="37"/>
  <c r="A33" i="37"/>
  <c r="A34" i="37"/>
  <c r="A35" i="37"/>
  <c r="D41" i="37"/>
  <c r="D32" i="37"/>
  <c r="A30" i="35"/>
  <c r="D39" i="35"/>
  <c r="A36" i="37"/>
  <c r="A37" i="37"/>
  <c r="A38" i="37"/>
  <c r="A39" i="37"/>
  <c r="A40" i="37"/>
  <c r="A41" i="37"/>
  <c r="A42" i="37"/>
  <c r="A48" i="37"/>
  <c r="A49" i="37"/>
  <c r="A50" i="37"/>
  <c r="A31" i="35"/>
  <c r="D40" i="35"/>
  <c r="A51" i="37"/>
  <c r="A52" i="37"/>
  <c r="A53" i="37"/>
  <c r="A54" i="37"/>
  <c r="A55" i="37"/>
  <c r="A56" i="37"/>
  <c r="A57" i="37"/>
  <c r="A58" i="37"/>
  <c r="A59" i="37"/>
  <c r="A60" i="37"/>
  <c r="A61" i="37"/>
  <c r="A32" i="35"/>
  <c r="A33" i="35"/>
  <c r="A34" i="35"/>
  <c r="A35" i="35"/>
  <c r="D41" i="35"/>
  <c r="D32" i="35"/>
  <c r="D42" i="37"/>
  <c r="A36" i="35"/>
  <c r="A37" i="35"/>
  <c r="A38" i="35"/>
  <c r="A39" i="35"/>
  <c r="A40" i="35"/>
  <c r="A41" i="35"/>
  <c r="A42" i="35"/>
  <c r="D56" i="37"/>
  <c r="A62" i="37"/>
  <c r="A63" i="37"/>
  <c r="A64" i="37"/>
  <c r="A65" i="37"/>
  <c r="D65" i="37"/>
  <c r="D42" i="35"/>
  <c r="A43" i="35"/>
  <c r="A44" i="35"/>
  <c r="A45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76" i="35"/>
  <c r="D62" i="35"/>
  <c r="D60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A147" i="35"/>
  <c r="A148" i="35"/>
  <c r="A149" i="35"/>
  <c r="C151" i="35"/>
  <c r="C149" i="35"/>
  <c r="C143" i="35"/>
  <c r="A150" i="35"/>
  <c r="A151" i="35"/>
  <c r="A152" i="35"/>
  <c r="A153" i="35"/>
  <c r="A154" i="35"/>
  <c r="C139" i="35"/>
  <c r="C141" i="35"/>
  <c r="A155" i="35"/>
  <c r="A156" i="35"/>
  <c r="C156" i="35"/>
  <c r="A157" i="35"/>
  <c r="C158" i="35"/>
  <c r="A158" i="35"/>
  <c r="C159" i="35"/>
  <c r="A159" i="35"/>
  <c r="A160" i="35"/>
  <c r="A161" i="35"/>
  <c r="A162" i="35"/>
  <c r="A163" i="35"/>
  <c r="A164" i="35"/>
  <c r="C161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A194" i="35"/>
  <c r="A195" i="35"/>
  <c r="A196" i="35"/>
  <c r="D198" i="35"/>
  <c r="A197" i="35"/>
  <c r="A198" i="35"/>
  <c r="A199" i="35"/>
  <c r="C113" i="35"/>
  <c r="C199" i="35"/>
  <c r="C107" i="35"/>
  <c r="N53" i="31"/>
  <c r="N54" i="31"/>
  <c r="J199" i="35"/>
  <c r="E106" i="35"/>
  <c r="E85" i="35"/>
  <c r="E56" i="35"/>
  <c r="E60" i="35"/>
  <c r="E42" i="37"/>
  <c r="J151" i="35"/>
  <c r="J147" i="35"/>
  <c r="E15" i="35"/>
  <c r="E16" i="35"/>
  <c r="E88" i="35"/>
  <c r="J135" i="35"/>
  <c r="J138" i="35"/>
  <c r="J140" i="35"/>
  <c r="J143" i="35"/>
  <c r="J141" i="35"/>
  <c r="J44" i="24"/>
  <c r="D28" i="3"/>
  <c r="D30" i="3"/>
  <c r="G22" i="41"/>
  <c r="R18" i="37"/>
  <c r="J38" i="37"/>
  <c r="W154" i="37"/>
  <c r="X154" i="37"/>
  <c r="Q26" i="37"/>
  <c r="X142" i="37"/>
  <c r="P35" i="37"/>
  <c r="P42" i="37"/>
  <c r="W148" i="37"/>
  <c r="X148" i="37"/>
  <c r="O27" i="37"/>
  <c r="O37" i="37"/>
  <c r="W131" i="37"/>
  <c r="W121" i="37"/>
  <c r="W111" i="37"/>
  <c r="W112" i="37"/>
  <c r="X112" i="37"/>
  <c r="M26" i="37"/>
  <c r="M32" i="37"/>
  <c r="W113" i="37"/>
  <c r="X113" i="37"/>
  <c r="M27" i="37"/>
  <c r="M37" i="37"/>
  <c r="W103" i="37"/>
  <c r="X103" i="37"/>
  <c r="L27" i="37"/>
  <c r="L37" i="37"/>
  <c r="W104" i="37"/>
  <c r="X104" i="37"/>
  <c r="L38" i="37"/>
  <c r="L42" i="37"/>
  <c r="W101" i="37"/>
  <c r="W93" i="37"/>
  <c r="X93" i="37"/>
  <c r="K27" i="37"/>
  <c r="K37" i="37"/>
  <c r="W94" i="37"/>
  <c r="X94" i="37"/>
  <c r="K38" i="37"/>
  <c r="K42" i="37"/>
  <c r="W70" i="37"/>
  <c r="X70" i="37"/>
  <c r="I26" i="37"/>
  <c r="I36" i="37"/>
  <c r="W71" i="37"/>
  <c r="X71" i="37"/>
  <c r="I27" i="37"/>
  <c r="I37" i="37"/>
  <c r="W72" i="37"/>
  <c r="X72" i="37"/>
  <c r="I38" i="37"/>
  <c r="W61" i="37"/>
  <c r="X61" i="37"/>
  <c r="H38" i="37"/>
  <c r="H42" i="37"/>
  <c r="W48" i="37"/>
  <c r="X48" i="37"/>
  <c r="G26" i="37"/>
  <c r="G36" i="37"/>
  <c r="W91" i="37"/>
  <c r="W80" i="37"/>
  <c r="W81" i="37"/>
  <c r="X81" i="37"/>
  <c r="J26" i="37"/>
  <c r="J36" i="37"/>
  <c r="W82" i="37"/>
  <c r="X82" i="37"/>
  <c r="J27" i="37"/>
  <c r="J37" i="37"/>
  <c r="W75" i="37"/>
  <c r="X69" i="37"/>
  <c r="X58" i="37"/>
  <c r="H35" i="37"/>
  <c r="W64" i="37"/>
  <c r="W47" i="37"/>
  <c r="W35" i="37"/>
  <c r="W36" i="37"/>
  <c r="X36" i="37"/>
  <c r="F32" i="37"/>
  <c r="F36" i="37"/>
  <c r="W37" i="37"/>
  <c r="X37" i="37"/>
  <c r="F27" i="37"/>
  <c r="P26" i="37"/>
  <c r="N36" i="37"/>
  <c r="H26" i="37"/>
  <c r="R39" i="37"/>
  <c r="E29" i="35"/>
  <c r="E45" i="41"/>
  <c r="G23" i="41"/>
  <c r="D31" i="3"/>
  <c r="D32" i="3"/>
  <c r="D33" i="3"/>
  <c r="D34" i="3"/>
  <c r="R22" i="37"/>
  <c r="E18" i="35"/>
  <c r="X64" i="37"/>
  <c r="X131" i="37"/>
  <c r="W137" i="37"/>
  <c r="X121" i="37"/>
  <c r="W127" i="37"/>
  <c r="W117" i="37"/>
  <c r="X111" i="37"/>
  <c r="W107" i="37"/>
  <c r="X101" i="37"/>
  <c r="F37" i="37"/>
  <c r="W97" i="37"/>
  <c r="X91" i="37"/>
  <c r="X80" i="37"/>
  <c r="W86" i="37"/>
  <c r="X75" i="37"/>
  <c r="W53" i="37"/>
  <c r="X47" i="37"/>
  <c r="X35" i="37"/>
  <c r="W41" i="37"/>
  <c r="P36" i="37"/>
  <c r="P32" i="37"/>
  <c r="H36" i="37"/>
  <c r="E39" i="35"/>
  <c r="G24" i="41"/>
  <c r="E89" i="35"/>
  <c r="J89" i="35"/>
  <c r="J91" i="35"/>
  <c r="E22" i="35"/>
  <c r="X137" i="37"/>
  <c r="X127" i="37"/>
  <c r="X117" i="37"/>
  <c r="X107" i="37"/>
  <c r="X97" i="37"/>
  <c r="X86" i="37"/>
  <c r="I32" i="37"/>
  <c r="I35" i="37"/>
  <c r="X53" i="37"/>
  <c r="X41" i="37"/>
  <c r="F35" i="37"/>
  <c r="E91" i="35"/>
  <c r="O35" i="37"/>
  <c r="O32" i="37"/>
  <c r="N35" i="37"/>
  <c r="N42" i="37"/>
  <c r="N32" i="37"/>
  <c r="M35" i="37"/>
  <c r="M42" i="37"/>
  <c r="L35" i="37"/>
  <c r="L32" i="37"/>
  <c r="K35" i="37"/>
  <c r="J35" i="37"/>
  <c r="J42" i="37"/>
  <c r="J32" i="37"/>
  <c r="G35" i="37"/>
  <c r="G42" i="37"/>
  <c r="G32" i="37"/>
  <c r="O42" i="37"/>
  <c r="W156" i="37"/>
  <c r="X156" i="37"/>
  <c r="W155" i="37"/>
  <c r="X155" i="37"/>
  <c r="Q27" i="37"/>
  <c r="Q37" i="37"/>
  <c r="E46" i="35"/>
  <c r="E56" i="37"/>
  <c r="M36" i="37"/>
  <c r="H32" i="37"/>
  <c r="F38" i="37"/>
  <c r="E59" i="35"/>
  <c r="G56" i="37"/>
  <c r="E115" i="35"/>
  <c r="E51" i="35"/>
  <c r="H58" i="35"/>
  <c r="J58" i="35"/>
  <c r="H88" i="35"/>
  <c r="J88" i="35"/>
  <c r="F172" i="35"/>
  <c r="H172" i="35"/>
  <c r="H175" i="35"/>
  <c r="J175" i="35"/>
  <c r="G179" i="35"/>
  <c r="H16" i="35"/>
  <c r="J16" i="35"/>
  <c r="H76" i="35"/>
  <c r="H77" i="35"/>
  <c r="J77" i="35"/>
  <c r="H83" i="35"/>
  <c r="J83" i="35"/>
  <c r="J76" i="35"/>
  <c r="H18" i="35"/>
  <c r="H95" i="35"/>
  <c r="H96" i="35"/>
  <c r="J96" i="35"/>
  <c r="J95" i="35"/>
  <c r="J18" i="35"/>
  <c r="H28" i="35"/>
  <c r="H19" i="35"/>
  <c r="J19" i="35"/>
  <c r="H29" i="35"/>
  <c r="J29" i="35"/>
  <c r="H78" i="35"/>
  <c r="J39" i="35"/>
  <c r="J78" i="35"/>
  <c r="H89" i="35"/>
  <c r="H82" i="35"/>
  <c r="J82" i="35"/>
  <c r="H80" i="35"/>
  <c r="J80" i="35"/>
  <c r="H81" i="35"/>
  <c r="J81" i="35"/>
  <c r="J85" i="35"/>
  <c r="J56" i="35"/>
  <c r="G13" i="41"/>
  <c r="H13" i="41"/>
  <c r="E23" i="41"/>
  <c r="F23" i="41"/>
  <c r="H23" i="41"/>
  <c r="F15" i="41"/>
  <c r="I42" i="37"/>
  <c r="F42" i="37"/>
  <c r="X159" i="37"/>
  <c r="Q36" i="37"/>
  <c r="R26" i="37"/>
  <c r="R28" i="37"/>
  <c r="Q38" i="37"/>
  <c r="R27" i="37"/>
  <c r="W159" i="37"/>
  <c r="G12" i="41"/>
  <c r="H12" i="41"/>
  <c r="G15" i="41"/>
  <c r="G14" i="41"/>
  <c r="H14" i="41"/>
  <c r="E24" i="41"/>
  <c r="F24" i="41"/>
  <c r="H24" i="41"/>
  <c r="E27" i="35"/>
  <c r="R37" i="37"/>
  <c r="E26" i="35"/>
  <c r="R36" i="37"/>
  <c r="R38" i="37"/>
  <c r="E28" i="35"/>
  <c r="Q32" i="37"/>
  <c r="Q35" i="37"/>
  <c r="Q42" i="37"/>
  <c r="R25" i="37"/>
  <c r="E22" i="41"/>
  <c r="E25" i="41"/>
  <c r="E43" i="41"/>
  <c r="H15" i="41"/>
  <c r="E38" i="35"/>
  <c r="J28" i="35"/>
  <c r="J38" i="35"/>
  <c r="E36" i="35"/>
  <c r="J154" i="35"/>
  <c r="R35" i="37"/>
  <c r="R42" i="37"/>
  <c r="R32" i="37"/>
  <c r="E25" i="35"/>
  <c r="J164" i="35"/>
  <c r="E37" i="35"/>
  <c r="E35" i="35"/>
  <c r="E32" i="35"/>
  <c r="E42" i="35"/>
  <c r="J159" i="35"/>
  <c r="J161" i="35"/>
  <c r="H26" i="35"/>
  <c r="J26" i="35"/>
  <c r="J156" i="35"/>
  <c r="J158" i="35"/>
  <c r="E179" i="35"/>
  <c r="J165" i="35"/>
  <c r="E180" i="35"/>
  <c r="J168" i="35"/>
  <c r="J36" i="35"/>
  <c r="E181" i="35"/>
  <c r="F179" i="35"/>
  <c r="F180" i="35"/>
  <c r="H179" i="35"/>
  <c r="J181" i="35"/>
  <c r="F181" i="35"/>
  <c r="H20" i="35"/>
  <c r="H57" i="35"/>
  <c r="J57" i="35"/>
  <c r="H30" i="35"/>
  <c r="J30" i="35"/>
  <c r="J32" i="35"/>
  <c r="J20" i="35"/>
  <c r="J40" i="35"/>
  <c r="J42" i="35"/>
  <c r="H42" i="35"/>
  <c r="J22" i="35"/>
  <c r="H22" i="35"/>
  <c r="H98" i="35"/>
  <c r="H59" i="35"/>
  <c r="J59" i="35"/>
  <c r="J60" i="35"/>
  <c r="H46" i="35"/>
  <c r="J46" i="35"/>
  <c r="H47" i="35"/>
  <c r="J47" i="35"/>
  <c r="H49" i="35"/>
  <c r="H48" i="35"/>
  <c r="J48" i="35"/>
  <c r="H100" i="35"/>
  <c r="J100" i="35"/>
  <c r="J98" i="35"/>
  <c r="J101" i="35"/>
  <c r="H50" i="35"/>
  <c r="J50" i="35"/>
  <c r="J49" i="35"/>
  <c r="J51" i="35"/>
  <c r="J62" i="35"/>
  <c r="J112" i="35"/>
  <c r="J110" i="35"/>
  <c r="J115" i="35"/>
  <c r="D22" i="41"/>
  <c r="J119" i="35"/>
  <c r="M52" i="31"/>
  <c r="M54" i="31"/>
  <c r="D25" i="41"/>
  <c r="E42" i="41"/>
  <c r="F22" i="41"/>
  <c r="H22" i="41"/>
  <c r="F25" i="41"/>
  <c r="E44" i="41"/>
  <c r="E46" i="41"/>
  <c r="H25" i="41"/>
  <c r="F28" i="41"/>
  <c r="F29" i="41"/>
  <c r="F30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<sst xmlns="http://schemas.openxmlformats.org/spreadsheetml/2006/main" count="834" uniqueCount="484">
  <si>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</si>
  <si>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</si>
  <si>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</si>
  <si>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</si>
  <si>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</si>
  <si>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</si>
  <si>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</si>
  <si>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</si>
  <si>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</si>
  <si>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</si>
  <si>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</si>
  <si>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</si>
  <si>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</si>
  <si>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</si>
  <si>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</si>
  <si>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</si>
  <si>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</si>
  <si>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</si>
  <si>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</si>
  <si>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</si>
  <si>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</si>
  <si>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</si>
  <si>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</si>
  <si>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</si>
  <si>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</si>
  <si>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</si>
  <si>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</si>
  <si>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</si>
  <si>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</si>
  <si>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</si>
  <si>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</si>
  <si>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</si>
  <si>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</si>
  <si>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</si>
  <si>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</si>
  <si>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</si>
  <si>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</si>
  <si>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</si>
  <si>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</si>
  <si>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</si>
  <si>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</si>
  <si>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</si>
  <si>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</si>
  <si>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</si>
  <si>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</si>
  <si>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</si>
  <si>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</si>
  <si>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</si>
  <si>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</si>
  <si>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</si>
  <si>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</si>
  <si>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</si>
  <si>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</si>
  <si>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</si>
  <si>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</si>
  <si>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</si>
  <si>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</si>
  <si>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</si>
  <si>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</si>
  <si>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</si>
  <si>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</si>
  <si>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</si>
  <si>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</si>
  <si>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</si>
  <si>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</si>
  <si>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</si>
  <si>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</si>
  <si>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</si>
  <si>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</si>
  <si>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</si>
  <si>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</si>
  <si>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</si>
  <si>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</si>
  <si>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</si>
  <si>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</si>
  <si>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</si>
  <si>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</si>
  <si>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</si>
  <si>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</si>
  <si>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</si>
  <si>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</si>
  <si>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</si>
  <si>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</si>
  <si>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</si>
  <si>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</si>
  <si>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</si>
  <si>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</si>
  <si>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</si>
  <si>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</si>
  <si>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</si>
  <si>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</si>
  <si>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</si>
  <si>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</si>
  <si>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</si>
  <si>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</si>
  <si>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</si>
  <si>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</si>
  <si>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</si>
  <si>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</si>
  <si>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</si>
  <si>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</si>
  <si>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</si>
  <si>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</si>
  <si>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</si>
  <si>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</si>
  <si>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</si>
  <si>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</si>
  <si>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</si>
  <si>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</si>
  <si>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</si>
  <si>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</si>
  <si>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</si>
  <si>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</si>
  <si>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</si>
  <si>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</si>
  <si>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</si>
  <si>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</si>
  <si>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</si>
  <si>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</si>
  <si>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</si>
  <si>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</si>
  <si>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</si>
  <si>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</si>
  <si>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</si>
  <si>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</si>
  <si>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</si>
  <si>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</si>
  <si>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</si>
  <si>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</si>
  <si>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</si>
  <si>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</si>
  <si>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</si>
  <si>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</si>
  <si>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</si>
  <si>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</si>
  <si>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</si>
  <si>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</si>
  <si>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</si>
  <si>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</si>
  <si>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</si>
  <si>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</si>
  <si>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</si>
  <si>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</si>
  <si>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</si>
  <si>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</si>
  <si>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</si>
  <si>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</si>
  <si>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</si>
  <si>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</si>
  <si>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</si>
  <si>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</si>
  <si>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</si>
  <si>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</si>
  <si>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</si>
  <si>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</si>
  <si>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</si>
  <si>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</si>
  <si>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</si>
  <si>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</si>
  <si>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</si>
  <si>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</si>
  <si>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</si>
  <si>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</si>
  <si>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</si>
  <si>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</si>
  <si>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</si>
  <si>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</si>
  <si>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</si>
  <si>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</si>
  <si>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</si>
  <si>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</si>
  <si>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</si>
  <si>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</si>
  <si>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</si>
  <si>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</si>
  <si>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</si>
  <si>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</si>
  <si>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</si>
  <si>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</si>
  <si>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</si>
  <si>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</si>
  <si>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</si>
  <si>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</si>
  <si>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</si>
  <si>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</si>
  <si>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</si>
  <si>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</si>
  <si>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</si>
  <si>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</si>
  <si>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</si>
  <si>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</si>
  <si>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</si>
  <si>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</si>
  <si>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</si>
  <si>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</si>
  <si>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</si>
  <si>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</si>
  <si>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</si>
  <si>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</si>
  <si>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</si>
  <si>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</si>
  <si>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</si>
  <si>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</si>
  <si>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</si>
  <si>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</si>
  <si>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</si>
  <si>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</si>
  <si>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</si>
  <si>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</si>
  <si>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</si>
  <si>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</si>
  <si>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</si>
  <si>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</si>
  <si>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</si>
  <si>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</si>
  <si>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</si>
  <si>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</si>
  <si>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</si>
  <si>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</si>
  <si>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</si>
  <si>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</si>
  <si>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</si>
  <si>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</si>
  <si>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</si>
  <si>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</si>
  <si>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</si>
  <si>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</si>
  <si>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</si>
  <si>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</si>
  <si>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</si>
  <si>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</si>
  <si>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</si>
  <si>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</si>
  <si>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</si>
  <si>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</si>
  <si>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</si>
  <si>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</si>
  <si>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</si>
  <si>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</si>
  <si>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</si>
  <si>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</si>
  <si>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</si>
  <si>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</si>
  <si>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</si>
  <si>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</si>
  <si>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</si>
  <si>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</si>
  <si>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</si>
  <si>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</si>
  <si>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</si>
  <si>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</si>
  <si>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</si>
  <si>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</si>
  <si>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</si>
  <si>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</si>
  <si>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</si>
  <si>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</si>
  <si>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</si>
  <si>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</si>
  <si>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</si>
  <si>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</si>
  <si>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</si>
  <si>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</si>
  <si>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</si>
  <si>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</si>
  <si>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</si>
  <si>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</si>
  <si>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</si>
  <si>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</si>
  <si>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</si>
  <si>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</si>
  <si>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</si>
  <si>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</si>
  <si>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</si>
  <si>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</si>
  <si>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</si>
  <si>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</si>
  <si>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</si>
  <si>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</si>
  <si>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</si>
  <si>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</si>
  <si>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</si>
  <si>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</si>
  <si>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</si>
  <si>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</si>
  <si>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</si>
  <si>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</si>
  <si>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</si>
  <si>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</si>
  <si>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</si>
  <si>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</si>
  <si>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</si>
  <si>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</si>
  <si>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</si>
  <si>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</si>
  <si>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</si>
  <si>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</si>
  <si>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</si>
  <si>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</si>
  <si>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</si>
  <si>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</si>
  <si>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</si>
  <si>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</si>
  <si>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</si>
  <si>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</si>
  <si>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</si>
  <si>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</si>
  <si>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</si>
  <si>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</si>
  <si>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</si>
  <si>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</si>
  <si>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</si>
  <si>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</si>
  <si>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</si>
  <si>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</si>
  <si>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</si>
  <si>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</si>
  <si>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</si>
  <si>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</si>
  <si>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</si>
  <si>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</si>
  <si>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</si>
  <si>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</si>
  <si>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</si>
  <si>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</si>
  <si>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</si>
  <si>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</si>
  <si>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</si>
  <si>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</si>
  <si>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</si>
  <si>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</si>
  <si>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</si>
  <si>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</si>
  <si>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</si>
  <si>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</si>
  <si>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</si>
  <si>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</si>
  <si>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</si>
  <si>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</si>
  <si>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</si>
  <si>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</si>
  <si>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</si>
  <si>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</si>
  <si>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</si>
  <si>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</si>
  <si>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</si>
  <si>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</si>
  <si>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</si>
  <si>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</si>
  <si>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</si>
  <si>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</si>
  <si>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</si>
  <si>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</si>
  <si>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</si>
  <si>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</si>
  <si>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</si>
  <si>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</si>
  <si>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</si>
  <si>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</si>
  <si>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</si>
  <si>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</si>
  <si>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</si>
  <si>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</si>
  <si>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</si>
  <si>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</si>
  <si>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</si>
  <si>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</si>
  <si>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</si>
  <si>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</si>
  <si>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</si>
  <si>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</si>
  <si>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</si>
  <si>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</si>
  <si>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</si>
  <si>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</si>
  <si>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</si>
  <si>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</si>
  <si>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</si>
  <si>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</si>
  <si>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</si>
  <si>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</si>
  <si>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</si>
  <si>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</si>
  <si>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</si>
  <si>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</si>
  <si>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</si>
  <si>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</si>
  <si>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</si>
  <si>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</si>
  <si>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</si>
  <si>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</si>
  <si>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</si>
  <si>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</si>
  <si>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</si>
  <si>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</si>
  <si>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</si>
  <si>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</si>
  <si>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</si>
  <si>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</si>
  <si>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</si>
  <si>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</si>
  <si>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</si>
  <si>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</si>
  <si>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</si>
  <si>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</si>
  <si>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</si>
  <si>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</si>
  <si>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</si>
  <si>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</si>
  <si>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</si>
  <si>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</si>
  <si>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</si>
  <si>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</si>
  <si>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</si>
  <si>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</si>
  <si>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</si>
  <si>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</si>
  <si>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</si>
  <si>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</si>
  <si>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</si>
  <si>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</si>
  <si>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</si>
  <si>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</si>
  <si>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</si>
  <si>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</si>
  <si>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</si>
  <si>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</si>
  <si>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</si>
  <si>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</si>
  <si>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</si>
  <si>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</si>
  <si>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</si>
  <si>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</si>
  <si>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</si>
  <si>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</si>
  <si>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</si>
  <si>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</si>
  <si>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</si>
  <si>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</si>
  <si>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</si>
  <si>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</si>
  <si>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</si>
  <si>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</si>
  <si>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</si>
  <si>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</si>
  <si>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</si>
  <si>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</si>
  <si>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</si>
  <si>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</si>
  <si>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 xml:space="preserve">Horizon Point Campus </t>
  </si>
  <si>
    <t>Sum of act_cost</t>
  </si>
  <si>
    <t>Sum of allo_res</t>
  </si>
  <si>
    <t>Accumulated Depreciation Variance</t>
  </si>
  <si>
    <t>ADIT Impact</t>
  </si>
  <si>
    <t>EDFIT Impact</t>
  </si>
  <si>
    <t>Rate Base</t>
  </si>
  <si>
    <t>Book</t>
  </si>
  <si>
    <t>Tax</t>
  </si>
  <si>
    <t>Gross</t>
  </si>
  <si>
    <t>Depreciation</t>
  </si>
  <si>
    <t>DTL</t>
  </si>
  <si>
    <t>End of Period</t>
  </si>
  <si>
    <t>Average Rate Base</t>
  </si>
  <si>
    <t>For Yr.:</t>
  </si>
  <si>
    <t>Property Tax</t>
  </si>
  <si>
    <t>(See Workpaper 7 2019 Actual Load Data)</t>
  </si>
  <si>
    <t>PowerPlant Accum Depr 1201 Report</t>
  </si>
  <si>
    <t>% of Total</t>
  </si>
  <si>
    <t>RWIP from Balance Sheet (Acct 108001)</t>
  </si>
  <si>
    <t xml:space="preserve">Production </t>
  </si>
  <si>
    <t>Distribution</t>
  </si>
  <si>
    <t>general and Intang</t>
  </si>
  <si>
    <t>Reference: See Workpaper 13 in Supplemental Supporting Schedule</t>
  </si>
  <si>
    <t>Date: May 31, 2021</t>
  </si>
  <si>
    <r>
      <t>2020 Actual Load Data</t>
    </r>
    <r>
      <rPr>
        <b/>
        <vertAlign val="superscript"/>
        <sz val="12"/>
        <rFont val="Arial"/>
        <family val="2"/>
      </rPr>
      <t>1</t>
    </r>
  </si>
  <si>
    <r>
      <t>2020 Projected Load Data</t>
    </r>
    <r>
      <rPr>
        <b/>
        <vertAlign val="superscript"/>
        <sz val="12"/>
        <rFont val="Arial"/>
        <family val="2"/>
      </rPr>
      <t>2</t>
    </r>
  </si>
  <si>
    <t>O&amp;M - Acct 561 (2019)</t>
  </si>
  <si>
    <t>Actual Expenses (2020)</t>
  </si>
  <si>
    <t>TRUE UP OF RATES FOR CALENDAR YEAR 2020</t>
  </si>
  <si>
    <t>Amount based on actual calendar year 2020</t>
  </si>
  <si>
    <t>Horizon Point Facility Costs 2020 True-Up for Shared Service Rent Revenues</t>
  </si>
  <si>
    <t>Actual 2020 Load</t>
  </si>
  <si>
    <t>12/31/19 &amp; 12/31/20 average balance</t>
  </si>
  <si>
    <t>Effective August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</si>
</sst>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  <numFmt numFmtId="207" formatCode="0.000"/>
    <numFmt numFmtId="208" formatCode="_(* #,##0.00000_);_(* \(#,##0.00000\);_(* &quot;-&quot;??_);_(@_)"/>
    <numFmt numFmtId="213" formatCode="&quot;$&quot;#,##0.00000"/>
  </numFmts>
  <fonts count="103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2"/>
      <name val="Arial MT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44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6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6" fillId="0" borderId="0"/>
    <xf numFmtId="0" fontId="64" fillId="0" borderId="0"/>
    <xf numFmtId="0" fontId="6" fillId="0" borderId="0"/>
    <xf numFmtId="0" fontId="9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57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2" applyFont="1" applyFill="1" applyAlignment="1">
      <alignment horizontal="left"/>
    </xf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43" fontId="6" fillId="0" borderId="0" xfId="171" applyNumberFormat="1" applyFont="1" applyFill="1"/>
    <xf numFmtId="173" fontId="6" fillId="0" borderId="0" xfId="171" applyNumberFormat="1" applyFont="1" applyFill="1"/>
    <xf numFmtId="173" fontId="6" fillId="0" borderId="3" xfId="171" applyNumberFormat="1" applyFont="1" applyFill="1" applyBorder="1"/>
    <xf numFmtId="4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9" applyNumberFormat="1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7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0" fillId="0" borderId="0" xfId="0" applyNumberFormat="1" applyFill="1"/>
    <xf numFmtId="1" fontId="6" fillId="0" borderId="25" xfId="169" applyNumberFormat="1" applyFill="1" applyBorder="1" applyAlignment="1">
      <alignment horizontal="center"/>
    </xf>
    <xf numFmtId="173" fontId="1" fillId="0" borderId="0" xfId="105" applyNumberFormat="1" applyFont="1" applyFill="1" applyAlignment="1"/>
    <xf numFmtId="173" fontId="0" fillId="0" borderId="0" xfId="105" applyNumberFormat="1" applyFont="1" applyFill="1" applyAlignment="1"/>
    <xf numFmtId="44" fontId="0" fillId="0" borderId="0" xfId="112" applyFont="1" applyFill="1"/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0" xfId="180" applyNumberFormat="1" applyFont="1" applyFill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178" fontId="0" fillId="0" borderId="0" xfId="105" applyNumberFormat="1" applyFont="1" applyFill="1" applyAlignment="1"/>
    <xf numFmtId="178" fontId="2" fillId="0" borderId="0" xfId="105" applyNumberFormat="1" applyFont="1" applyFill="1" applyAlignment="1"/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2" fontId="0" fillId="0" borderId="26" xfId="0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7" fontId="0" fillId="0" borderId="0" xfId="0" applyNumberFormat="1" applyBorder="1"/>
    <xf numFmtId="44" fontId="10" fillId="0" borderId="0" xfId="112" applyFont="1" applyFill="1"/>
    <xf numFmtId="173" fontId="3" fillId="0" borderId="4" xfId="105" applyNumberFormat="1" applyFont="1" applyFill="1" applyBorder="1" applyAlignment="1"/>
    <xf numFmtId="22" fontId="98" fillId="0" borderId="0" xfId="0" applyNumberFormat="1" applyFont="1" applyFill="1"/>
    <xf numFmtId="172" fontId="98" fillId="0" borderId="0" xfId="0" applyFont="1" applyFill="1"/>
    <xf numFmtId="172" fontId="98" fillId="0" borderId="44" xfId="0" applyFont="1" applyFill="1" applyBorder="1"/>
    <xf numFmtId="0" fontId="99" fillId="0" borderId="33" xfId="160" applyFont="1" applyFill="1" applyBorder="1"/>
    <xf numFmtId="0" fontId="43" fillId="0" borderId="0" xfId="160" applyFont="1" applyFill="1" applyAlignment="1">
      <alignment horizontal="center"/>
    </xf>
    <xf numFmtId="0" fontId="43" fillId="0" borderId="0" xfId="160" applyFont="1" applyFill="1"/>
    <xf numFmtId="0" fontId="99" fillId="0" borderId="0" xfId="160" applyFont="1" applyFill="1"/>
    <xf numFmtId="0" fontId="99" fillId="0" borderId="38" xfId="160" applyFont="1" applyFill="1" applyBorder="1"/>
    <xf numFmtId="0" fontId="43" fillId="0" borderId="33" xfId="160" applyFont="1" applyFill="1" applyBorder="1"/>
    <xf numFmtId="0" fontId="43" fillId="0" borderId="38" xfId="160" applyFont="1" applyFill="1" applyBorder="1" applyAlignment="1">
      <alignment horizontal="center" wrapText="1"/>
    </xf>
    <xf numFmtId="0" fontId="100" fillId="0" borderId="0" xfId="160" applyFont="1" applyFill="1" applyAlignment="1">
      <alignment horizontal="center" wrapText="1"/>
    </xf>
    <xf numFmtId="0" fontId="99" fillId="0" borderId="0" xfId="160" applyFont="1" applyFill="1" applyAlignment="1">
      <alignment horizontal="right"/>
    </xf>
    <xf numFmtId="174" fontId="99" fillId="0" borderId="33" xfId="114" applyNumberFormat="1" applyFont="1" applyFill="1" applyBorder="1"/>
    <xf numFmtId="174" fontId="99" fillId="0" borderId="0" xfId="160" applyNumberFormat="1" applyFont="1" applyFill="1"/>
    <xf numFmtId="174" fontId="99" fillId="0" borderId="0" xfId="114" applyNumberFormat="1" applyFont="1" applyFill="1"/>
    <xf numFmtId="174" fontId="99" fillId="0" borderId="38" xfId="160" applyNumberFormat="1" applyFont="1" applyFill="1" applyBorder="1"/>
    <xf numFmtId="172" fontId="99" fillId="0" borderId="0" xfId="0" applyFont="1" applyFill="1"/>
    <xf numFmtId="172" fontId="101" fillId="0" borderId="25" xfId="0" applyFont="1" applyFill="1" applyBorder="1" applyAlignment="1">
      <alignment horizontal="center" wrapText="1"/>
    </xf>
    <xf numFmtId="172" fontId="101" fillId="0" borderId="9" xfId="0" applyFont="1" applyFill="1" applyBorder="1" applyAlignment="1">
      <alignment horizontal="center" wrapText="1"/>
    </xf>
    <xf numFmtId="184" fontId="43" fillId="0" borderId="4" xfId="159" applyNumberFormat="1" applyFont="1" applyFill="1" applyBorder="1" applyAlignment="1">
      <alignment horizontal="center"/>
    </xf>
    <xf numFmtId="43" fontId="99" fillId="0" borderId="4" xfId="0" applyNumberFormat="1" applyFont="1" applyFill="1" applyBorder="1"/>
    <xf numFmtId="173" fontId="43" fillId="0" borderId="0" xfId="107" applyNumberFormat="1" applyFont="1" applyFill="1"/>
    <xf numFmtId="207" fontId="99" fillId="0" borderId="0" xfId="0" applyNumberFormat="1" applyFont="1" applyFill="1"/>
    <xf numFmtId="43" fontId="99" fillId="0" borderId="0" xfId="108" applyFont="1" applyFill="1"/>
    <xf numFmtId="173" fontId="43" fillId="0" borderId="4" xfId="107" applyNumberFormat="1" applyFont="1" applyFill="1" applyBorder="1"/>
    <xf numFmtId="173" fontId="99" fillId="0" borderId="0" xfId="0" applyNumberFormat="1" applyFont="1" applyFill="1"/>
    <xf numFmtId="43" fontId="99" fillId="0" borderId="0" xfId="0" applyNumberFormat="1" applyFont="1" applyFill="1"/>
    <xf numFmtId="172" fontId="101" fillId="0" borderId="0" xfId="0" applyFont="1" applyFill="1"/>
    <xf numFmtId="0" fontId="43" fillId="0" borderId="39" xfId="165" applyFont="1" applyFill="1" applyBorder="1"/>
    <xf numFmtId="43" fontId="43" fillId="0" borderId="0" xfId="165" applyNumberFormat="1" applyFont="1" applyFill="1"/>
    <xf numFmtId="208" fontId="99" fillId="0" borderId="0" xfId="108" applyNumberFormat="1" applyFont="1" applyFill="1"/>
    <xf numFmtId="0" fontId="6" fillId="0" borderId="40" xfId="169" applyFill="1" applyBorder="1" applyAlignment="1">
      <alignment horizontal="center"/>
    </xf>
    <xf numFmtId="0" fontId="6" fillId="0" borderId="38" xfId="169" applyFill="1" applyBorder="1" applyAlignment="1">
      <alignment horizontal="center"/>
    </xf>
    <xf numFmtId="0" fontId="6" fillId="0" borderId="41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172" fontId="95" fillId="0" borderId="0" xfId="0" applyFont="1" applyFill="1" applyAlignment="1"/>
    <xf numFmtId="3" fontId="3" fillId="30" borderId="0" xfId="0" applyNumberFormat="1" applyFont="1" applyFill="1" applyAlignment="1"/>
    <xf numFmtId="3" fontId="3" fillId="30" borderId="0" xfId="163" applyNumberFormat="1" applyFont="1" applyFill="1" applyAlignment="1"/>
    <xf numFmtId="3" fontId="3" fillId="30" borderId="6" xfId="0" applyNumberFormat="1" applyFont="1" applyFill="1" applyBorder="1" applyAlignment="1"/>
    <xf numFmtId="3" fontId="3" fillId="30" borderId="3" xfId="0" applyNumberFormat="1" applyFont="1" applyFill="1" applyBorder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42" fontId="6" fillId="31" borderId="0" xfId="171" applyNumberFormat="1" applyFill="1"/>
    <xf numFmtId="42" fontId="6" fillId="31" borderId="3" xfId="171" applyNumberFormat="1" applyFill="1" applyBorder="1"/>
    <xf numFmtId="213" fontId="2" fillId="0" borderId="0" xfId="0" applyNumberFormat="1" applyFont="1" applyFill="1" applyAlignment="1"/>
    <xf numFmtId="1" fontId="6" fillId="0" borderId="0" xfId="169" applyNumberFormat="1" applyFill="1"/>
    <xf numFmtId="174" fontId="102" fillId="0" borderId="0" xfId="112" applyNumberFormat="1" applyFont="1" applyFill="1" applyAlignment="1"/>
    <xf numFmtId="174" fontId="0" fillId="0" borderId="0" xfId="0" applyNumberFormat="1" applyFill="1" applyAlignment="1"/>
    <xf numFmtId="174" fontId="102" fillId="0" borderId="0" xfId="112" applyNumberFormat="1" applyFont="1" applyFill="1" applyAlignment="1">
      <alignment horizontal="center"/>
    </xf>
    <xf numFmtId="174" fontId="102" fillId="0" borderId="0" xfId="112" applyNumberFormat="1" applyFont="1" applyFill="1" applyBorder="1" applyAlignment="1"/>
    <xf numFmtId="174" fontId="1" fillId="0" borderId="0" xfId="0" applyNumberFormat="1" applyFont="1" applyFill="1" applyAlignment="1"/>
    <xf numFmtId="174" fontId="3" fillId="0" borderId="0" xfId="112" applyNumberFormat="1" applyFont="1" applyFill="1" applyAlignment="1"/>
    <xf numFmtId="174" fontId="3" fillId="0" borderId="0" xfId="112" applyNumberFormat="1" applyFont="1" applyFill="1" applyAlignment="1">
      <alignment horizontal="center"/>
    </xf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94" fillId="0" borderId="32" xfId="160" applyFont="1" applyFill="1" applyBorder="1" applyAlignment="1">
      <alignment horizontal="center"/>
    </xf>
    <xf numFmtId="0" fontId="94" fillId="0" borderId="20" xfId="160" applyFont="1" applyFill="1" applyBorder="1" applyAlignment="1">
      <alignment horizontal="center"/>
    </xf>
    <xf numFmtId="0" fontId="94" fillId="0" borderId="40" xfId="160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172" fontId="0" fillId="0" borderId="26" xfId="0" applyBorder="1" applyAlignment="1">
      <alignment horizontal="center"/>
    </xf>
    <xf numFmtId="172" fontId="0" fillId="0" borderId="6" xfId="0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3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4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46"/>
  <sheetViews>
    <sheetView tabSelected="1" zoomScaleNormal="100" workbookViewId="0">
      <selection activeCell="M8" sqref="M8"/>
    </sheetView>
  </sheetViews>
  <sheetFormatPr defaultColWidth="7.109375" defaultRowHeight="12.75"/>
  <cols>
    <col min="1" max="1" width="3.77734375" style="103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77734375" style="8" bestFit="1" customWidth="1"/>
    <col min="8" max="8" width="9.5546875" style="8" bestFit="1" customWidth="1"/>
    <col min="9" max="9" width="7.109375" style="8" customWidth="1"/>
    <col min="10" max="10" width="8.777343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4" t="s">
        <v>473</v>
      </c>
    </row>
    <row r="2" spans="1:11">
      <c r="G2" s="7"/>
    </row>
    <row r="3" spans="1:11" ht="15" customHeight="1">
      <c r="A3" s="339" t="s">
        <v>360</v>
      </c>
      <c r="B3" s="339"/>
      <c r="C3" s="339"/>
      <c r="D3" s="339"/>
      <c r="E3" s="339"/>
      <c r="F3" s="339"/>
      <c r="G3" s="339"/>
      <c r="H3" s="339"/>
    </row>
    <row r="4" spans="1:11" ht="15" customHeight="1">
      <c r="A4" s="339" t="s">
        <v>77</v>
      </c>
      <c r="B4" s="339"/>
      <c r="C4" s="339"/>
      <c r="D4" s="339"/>
      <c r="E4" s="339"/>
      <c r="F4" s="339"/>
      <c r="G4" s="339"/>
      <c r="H4" s="339"/>
    </row>
    <row r="6" spans="1:11">
      <c r="A6" s="90" t="s">
        <v>70</v>
      </c>
    </row>
    <row r="8" spans="1:11">
      <c r="A8" s="103">
        <v>1</v>
      </c>
      <c r="B8" s="7" t="s">
        <v>114</v>
      </c>
      <c r="D8" s="7"/>
      <c r="G8" s="7"/>
      <c r="H8" s="106">
        <v>631954</v>
      </c>
      <c r="I8" s="7" t="s">
        <v>479</v>
      </c>
    </row>
    <row r="9" spans="1:11">
      <c r="G9" s="7"/>
      <c r="H9" s="7"/>
    </row>
    <row r="10" spans="1:11" ht="39" thickBot="1">
      <c r="D10" s="107" t="str">
        <f>+B20</f>
        <v>Entity</v>
      </c>
      <c r="E10" s="108"/>
      <c r="F10" s="65" t="s">
        <v>164</v>
      </c>
      <c r="G10" s="109" t="s">
        <v>254</v>
      </c>
      <c r="H10" s="65" t="s">
        <v>362</v>
      </c>
    </row>
    <row r="11" spans="1:11">
      <c r="D11" s="103"/>
      <c r="F11" s="110"/>
      <c r="G11" s="111"/>
      <c r="H11" s="112"/>
    </row>
    <row r="12" spans="1:11">
      <c r="A12" s="103">
        <v>2</v>
      </c>
      <c r="D12" s="8" t="s">
        <v>363</v>
      </c>
      <c r="F12" s="113">
        <f>+L22</f>
        <v>27.544904426518194</v>
      </c>
      <c r="G12" s="114">
        <f>+F12/F$15</f>
        <v>0.58216377631951322</v>
      </c>
      <c r="H12" s="106">
        <f>+H$8*G12</f>
        <v>367900.72710022167</v>
      </c>
      <c r="J12" s="115"/>
      <c r="K12" s="116"/>
    </row>
    <row r="13" spans="1:11">
      <c r="A13" s="103">
        <v>3</v>
      </c>
      <c r="D13" s="8" t="s">
        <v>364</v>
      </c>
      <c r="F13" s="117">
        <f>+L23</f>
        <v>17.513458891071373</v>
      </c>
      <c r="G13" s="114">
        <f>+F13/F$15</f>
        <v>0.37014836597606776</v>
      </c>
      <c r="H13" s="106">
        <f>+H$8*G13</f>
        <v>233916.74047203994</v>
      </c>
      <c r="J13" s="118"/>
      <c r="K13" s="116"/>
    </row>
    <row r="14" spans="1:11" ht="13.5" thickBot="1">
      <c r="A14" s="103">
        <v>4</v>
      </c>
      <c r="D14" s="119" t="s">
        <v>365</v>
      </c>
      <c r="E14" s="119"/>
      <c r="F14" s="120">
        <f>+L24</f>
        <v>2.2563366808530065</v>
      </c>
      <c r="G14" s="121">
        <f>+F14/F$15</f>
        <v>4.7687857704419072E-2</v>
      </c>
      <c r="H14" s="122">
        <f>+H$8*G14</f>
        <v>30136.53242773845</v>
      </c>
      <c r="J14" s="118"/>
      <c r="K14" s="116"/>
    </row>
    <row r="15" spans="1:11">
      <c r="A15" s="103">
        <v>5</v>
      </c>
      <c r="D15" s="8" t="s">
        <v>198</v>
      </c>
      <c r="F15" s="117">
        <f>SUM(F12:F14)</f>
        <v>47.31469999844257</v>
      </c>
      <c r="G15" s="123">
        <f>+F15/F$15</f>
        <v>1</v>
      </c>
      <c r="H15" s="124">
        <f>SUM(H12:H14)</f>
        <v>631954</v>
      </c>
      <c r="J15" s="115"/>
    </row>
    <row r="16" spans="1:11">
      <c r="G16" s="7"/>
      <c r="H16" s="7"/>
    </row>
    <row r="17" spans="1:18">
      <c r="G17" s="7"/>
      <c r="H17" s="7"/>
    </row>
    <row r="18" spans="1:18">
      <c r="A18" s="90" t="s">
        <v>366</v>
      </c>
      <c r="E18" s="90" t="s">
        <v>478</v>
      </c>
      <c r="G18" s="7"/>
      <c r="H18" s="7"/>
    </row>
    <row r="19" spans="1:18">
      <c r="G19" s="7"/>
      <c r="H19" s="7"/>
    </row>
    <row r="20" spans="1:18" ht="39" thickBot="1">
      <c r="B20" s="108" t="s">
        <v>367</v>
      </c>
      <c r="C20" s="108"/>
      <c r="D20" s="125" t="s">
        <v>165</v>
      </c>
      <c r="E20" s="125" t="s">
        <v>167</v>
      </c>
      <c r="F20" s="125" t="s">
        <v>368</v>
      </c>
      <c r="G20" s="65" t="s">
        <v>481</v>
      </c>
      <c r="H20" s="65" t="s">
        <v>309</v>
      </c>
    </row>
    <row r="21" spans="1:18">
      <c r="G21" s="7"/>
      <c r="H21" s="7"/>
      <c r="M21" s="126" t="s">
        <v>392</v>
      </c>
      <c r="N21" s="127"/>
      <c r="O21" s="127"/>
      <c r="P21" s="128"/>
    </row>
    <row r="22" spans="1:18">
      <c r="A22" s="103">
        <v>6</v>
      </c>
      <c r="B22" s="8" t="str">
        <f>+D12</f>
        <v>Black Hills</v>
      </c>
      <c r="D22" s="55">
        <f>'True-Up'!J115</f>
        <v>25922570.923555098</v>
      </c>
      <c r="E22" s="129">
        <f>-H12</f>
        <v>-367900.72710022167</v>
      </c>
      <c r="F22" s="129">
        <f>+E22+D22</f>
        <v>25554670.196454875</v>
      </c>
      <c r="G22" s="6">
        <f>+'WP7 CU AC LOADS'!J24*1000</f>
        <v>927750</v>
      </c>
      <c r="H22" s="66">
        <f>+F22/G22</f>
        <v>27.544780594400297</v>
      </c>
      <c r="J22" s="130" t="s">
        <v>119</v>
      </c>
      <c r="L22" s="91">
        <v>27.544904426518194</v>
      </c>
      <c r="M22" s="131" t="s">
        <v>393</v>
      </c>
      <c r="N22" s="132"/>
      <c r="O22" s="132"/>
      <c r="P22" s="133"/>
      <c r="R22" s="138"/>
    </row>
    <row r="23" spans="1:18">
      <c r="A23" s="103">
        <v>7</v>
      </c>
      <c r="B23" s="8" t="str">
        <f>+D13</f>
        <v>Basin Electric</v>
      </c>
      <c r="D23" s="328">
        <v>16482130</v>
      </c>
      <c r="E23" s="129">
        <f>-H13</f>
        <v>-233916.74047203994</v>
      </c>
      <c r="F23" s="129">
        <f>+E23+D23</f>
        <v>16248213.259527961</v>
      </c>
      <c r="G23" s="67">
        <f>+G22</f>
        <v>927750</v>
      </c>
      <c r="H23" s="66">
        <f>+F23/G23</f>
        <v>17.513568590167569</v>
      </c>
      <c r="J23" s="130" t="s">
        <v>119</v>
      </c>
      <c r="L23" s="91">
        <v>17.513458891071373</v>
      </c>
      <c r="M23" s="131" t="s">
        <v>394</v>
      </c>
      <c r="N23" s="132"/>
      <c r="O23" s="132"/>
      <c r="P23" s="133"/>
      <c r="R23" s="138"/>
    </row>
    <row r="24" spans="1:18" ht="13.5" thickBot="1">
      <c r="A24" s="103">
        <v>8</v>
      </c>
      <c r="B24" s="108" t="str">
        <f>+D14</f>
        <v>PRECorp</v>
      </c>
      <c r="C24" s="108"/>
      <c r="D24" s="329">
        <v>2123466</v>
      </c>
      <c r="E24" s="134">
        <f>-H14</f>
        <v>-30136.53242773845</v>
      </c>
      <c r="F24" s="134">
        <f>+E24+D24</f>
        <v>2093329.4675722616</v>
      </c>
      <c r="G24" s="68">
        <f>+G23</f>
        <v>927750</v>
      </c>
      <c r="H24" s="69">
        <f>+F24/G24</f>
        <v>2.2563508138747093</v>
      </c>
      <c r="J24" s="130" t="s">
        <v>119</v>
      </c>
      <c r="L24" s="91">
        <v>2.2563366808530065</v>
      </c>
      <c r="M24" s="135" t="s">
        <v>395</v>
      </c>
      <c r="N24" s="136"/>
      <c r="O24" s="136"/>
      <c r="P24" s="137"/>
      <c r="R24" s="138"/>
    </row>
    <row r="25" spans="1:18">
      <c r="A25" s="103">
        <v>9</v>
      </c>
      <c r="B25" s="8" t="s">
        <v>198</v>
      </c>
      <c r="D25" s="129">
        <f>SUM(D22:D24)</f>
        <v>44528166.923555098</v>
      </c>
      <c r="E25" s="129">
        <f>SUM(E22:E24)</f>
        <v>-631954</v>
      </c>
      <c r="F25" s="129">
        <f>SUM(F22:F24)</f>
        <v>43896212.923555098</v>
      </c>
      <c r="H25" s="138">
        <f>SUM(H22:H24)</f>
        <v>47.314699998442578</v>
      </c>
    </row>
    <row r="26" spans="1:18">
      <c r="F26" s="129"/>
      <c r="G26" s="139"/>
      <c r="H26" s="138"/>
    </row>
    <row r="27" spans="1:18">
      <c r="A27" s="90" t="s">
        <v>369</v>
      </c>
    </row>
    <row r="28" spans="1:18">
      <c r="A28" s="103">
        <v>10</v>
      </c>
      <c r="D28" s="8" t="s">
        <v>370</v>
      </c>
      <c r="F28" s="140">
        <f>+H25</f>
        <v>47.314699998442578</v>
      </c>
      <c r="G28" s="141" t="s">
        <v>371</v>
      </c>
    </row>
    <row r="29" spans="1:18">
      <c r="A29" s="103">
        <f t="shared" ref="A29:A34" si="0">+A28+1</f>
        <v>11</v>
      </c>
      <c r="D29" s="8" t="s">
        <v>372</v>
      </c>
      <c r="F29" s="113">
        <f>ROUND(F28/12,2)</f>
        <v>3.94</v>
      </c>
      <c r="G29" s="141" t="s">
        <v>373</v>
      </c>
    </row>
    <row r="30" spans="1:18">
      <c r="A30" s="103">
        <f t="shared" si="0"/>
        <v>12</v>
      </c>
      <c r="D30" s="8" t="s">
        <v>374</v>
      </c>
      <c r="F30" s="113">
        <f>ROUND(F28/52,2)</f>
        <v>0.91</v>
      </c>
      <c r="G30" s="141" t="s">
        <v>375</v>
      </c>
    </row>
    <row r="31" spans="1:18">
      <c r="A31" s="103">
        <f t="shared" si="0"/>
        <v>13</v>
      </c>
      <c r="D31" s="8" t="s">
        <v>376</v>
      </c>
      <c r="E31" s="8" t="s">
        <v>377</v>
      </c>
      <c r="F31" s="142">
        <f>+F30/6</f>
        <v>0.15166666666666667</v>
      </c>
      <c r="G31" s="141" t="s">
        <v>378</v>
      </c>
    </row>
    <row r="32" spans="1:18">
      <c r="A32" s="103">
        <f t="shared" si="0"/>
        <v>14</v>
      </c>
      <c r="D32" s="8" t="s">
        <v>379</v>
      </c>
      <c r="E32" s="8" t="s">
        <v>380</v>
      </c>
      <c r="F32" s="142">
        <f>+F30/7</f>
        <v>0.13</v>
      </c>
      <c r="G32" s="141" t="s">
        <v>378</v>
      </c>
    </row>
    <row r="33" spans="1:7">
      <c r="A33" s="103">
        <f t="shared" si="0"/>
        <v>15</v>
      </c>
      <c r="D33" s="8" t="s">
        <v>381</v>
      </c>
      <c r="E33" s="8" t="s">
        <v>382</v>
      </c>
      <c r="F33" s="143">
        <f>+F31/16</f>
        <v>9.479166666666667E-3</v>
      </c>
      <c r="G33" s="141" t="s">
        <v>383</v>
      </c>
    </row>
    <row r="34" spans="1:7">
      <c r="A34" s="103">
        <f t="shared" si="0"/>
        <v>16</v>
      </c>
      <c r="D34" s="8" t="s">
        <v>384</v>
      </c>
      <c r="E34" s="8" t="s">
        <v>385</v>
      </c>
      <c r="F34" s="143">
        <f>+F32/24</f>
        <v>5.4166666666666669E-3</v>
      </c>
      <c r="G34" s="141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9">
        <f>+D25</f>
        <v>44528166.923555098</v>
      </c>
    </row>
    <row r="43" spans="1:7">
      <c r="B43" s="7" t="s">
        <v>361</v>
      </c>
      <c r="E43" s="129">
        <f>+E25</f>
        <v>-631954</v>
      </c>
    </row>
    <row r="44" spans="1:7">
      <c r="B44" s="8" t="str">
        <f>+F20</f>
        <v>Net Revenue Requirements</v>
      </c>
      <c r="E44" s="129">
        <f>+F25</f>
        <v>43896212.923555098</v>
      </c>
    </row>
    <row r="45" spans="1:7">
      <c r="B45" s="8" t="str">
        <f>+G20</f>
        <v>Actual 2020 Load</v>
      </c>
      <c r="E45" s="139">
        <f>+G22</f>
        <v>927750</v>
      </c>
    </row>
    <row r="46" spans="1:7">
      <c r="B46" s="8" t="str">
        <f>+H20</f>
        <v>Annual Rate</v>
      </c>
      <c r="E46" s="140">
        <f>+E44/E45</f>
        <v>47.314699998442578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237"/>
  <sheetViews>
    <sheetView showGridLines="0" view="pageBreakPreview" zoomScale="85" zoomScaleNormal="90" zoomScaleSheetLayoutView="85" workbookViewId="0"/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21875" style="76" customWidth="1"/>
    <col min="6" max="6" width="7.777343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4.109375" style="76" customWidth="1"/>
    <col min="11" max="11" width="0.1093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06" t="s">
        <v>418</v>
      </c>
      <c r="J1" s="207">
        <v>44347</v>
      </c>
    </row>
    <row r="2" spans="1:40" ht="15.75">
      <c r="A2" s="3"/>
      <c r="B2" s="3"/>
      <c r="C2" s="3"/>
      <c r="D2" s="48"/>
      <c r="E2" s="3"/>
      <c r="F2" s="3"/>
      <c r="G2" s="3"/>
      <c r="I2" s="173" t="s">
        <v>166</v>
      </c>
      <c r="J2" s="75">
        <v>2020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</row>
    <row r="4" spans="1:40" ht="15" customHeight="1">
      <c r="A4" s="340" t="s">
        <v>321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</row>
    <row r="5" spans="1:40" ht="15.75">
      <c r="A5" s="341" t="s">
        <v>195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</row>
    <row r="7" spans="1:40" ht="15" customHeight="1">
      <c r="A7" s="342" t="s">
        <v>320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</row>
    <row r="8" spans="1:40">
      <c r="A8" s="9"/>
      <c r="B8" s="3"/>
      <c r="C8" s="75"/>
      <c r="D8" s="75"/>
      <c r="E8" s="177"/>
      <c r="F8" s="75"/>
      <c r="G8" s="75"/>
      <c r="H8" s="75"/>
      <c r="I8" s="75"/>
      <c r="J8" s="75"/>
      <c r="K8" s="75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</row>
    <row r="9" spans="1:40">
      <c r="A9" s="3"/>
      <c r="B9" s="3"/>
      <c r="C9" s="178" t="s">
        <v>201</v>
      </c>
      <c r="D9" s="178" t="s">
        <v>202</v>
      </c>
      <c r="E9" s="178" t="s">
        <v>203</v>
      </c>
      <c r="F9" s="1" t="s">
        <v>194</v>
      </c>
      <c r="G9" s="1"/>
      <c r="H9" s="209" t="s">
        <v>204</v>
      </c>
      <c r="I9" s="1"/>
      <c r="J9" s="210" t="s">
        <v>205</v>
      </c>
      <c r="K9" s="1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0" ht="15.75">
      <c r="A10" s="3"/>
      <c r="B10" s="3"/>
      <c r="C10" s="97"/>
      <c r="D10" s="176" t="s">
        <v>206</v>
      </c>
      <c r="E10" s="1"/>
      <c r="F10" s="1"/>
      <c r="G10" s="211" t="s">
        <v>93</v>
      </c>
      <c r="H10" s="9"/>
      <c r="I10" s="1"/>
      <c r="J10" s="175" t="s">
        <v>207</v>
      </c>
      <c r="K10" s="1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0" ht="15.75">
      <c r="A11" s="9" t="s">
        <v>196</v>
      </c>
      <c r="B11" s="3"/>
      <c r="C11" s="97"/>
      <c r="D11" s="179" t="s">
        <v>208</v>
      </c>
      <c r="E11" s="175" t="s">
        <v>209</v>
      </c>
      <c r="F11" s="180"/>
      <c r="G11" s="212" t="s">
        <v>83</v>
      </c>
      <c r="H11" s="213"/>
      <c r="I11" s="180"/>
      <c r="J11" s="9" t="s">
        <v>210</v>
      </c>
      <c r="K11" s="1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</row>
    <row r="12" spans="1:40" ht="16.5" thickBot="1">
      <c r="A12" s="182" t="s">
        <v>197</v>
      </c>
      <c r="B12" s="3"/>
      <c r="C12" s="183" t="s">
        <v>211</v>
      </c>
      <c r="D12" s="1"/>
      <c r="E12" s="1"/>
      <c r="F12" s="1"/>
      <c r="G12" s="1"/>
      <c r="H12" s="1"/>
      <c r="I12" s="1"/>
      <c r="J12" s="1"/>
      <c r="K12" s="1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617874185.02307701</v>
      </c>
      <c r="F15" s="1"/>
      <c r="G15" s="1" t="s">
        <v>214</v>
      </c>
      <c r="H15" s="214" t="s">
        <v>194</v>
      </c>
      <c r="I15" s="1"/>
      <c r="J15" s="1" t="s">
        <v>194</v>
      </c>
      <c r="K15" s="1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236128490.06384617</v>
      </c>
      <c r="F16" s="1"/>
      <c r="G16" s="1" t="s">
        <v>200</v>
      </c>
      <c r="H16" s="214">
        <f>+J143</f>
        <v>0.84609599999999996</v>
      </c>
      <c r="I16" s="1"/>
      <c r="J16" s="1">
        <f>+H16*E16</f>
        <v>199787370.92905998</v>
      </c>
      <c r="K16" s="1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450207960.45538461</v>
      </c>
      <c r="F17" s="1"/>
      <c r="G17" s="1" t="s">
        <v>214</v>
      </c>
      <c r="H17" s="215"/>
      <c r="I17" s="1"/>
      <c r="J17" s="1"/>
      <c r="K17" s="1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53069013.24000001</v>
      </c>
      <c r="F18" s="1"/>
      <c r="G18" s="1" t="s">
        <v>218</v>
      </c>
      <c r="H18" s="214">
        <f>J175</f>
        <v>0.11500586957360617</v>
      </c>
      <c r="I18" s="1"/>
      <c r="J18" s="1">
        <f>+H18*E18</f>
        <v>6103248.0150794201</v>
      </c>
      <c r="K18" s="1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1">
        <f>+'WP6 Rate Base'!R19</f>
        <v>26159751.769230768</v>
      </c>
      <c r="F19" s="1"/>
      <c r="G19" s="1" t="s">
        <v>218</v>
      </c>
      <c r="H19" s="214">
        <f>+H18</f>
        <v>0.11500586957360617</v>
      </c>
      <c r="I19" s="1"/>
      <c r="J19" s="1">
        <f>+H19*E19</f>
        <v>3008525.000050067</v>
      </c>
      <c r="K19" s="1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7320202.325384615</v>
      </c>
      <c r="F20" s="1"/>
      <c r="G20" s="1" t="s">
        <v>131</v>
      </c>
      <c r="H20" s="214">
        <f>+J181</f>
        <v>0.32825383525594476</v>
      </c>
      <c r="I20" s="1"/>
      <c r="J20" s="1">
        <f>+H20*E20</f>
        <v>2402884.488156985</v>
      </c>
      <c r="K20" s="1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14">
        <v>0</v>
      </c>
      <c r="I21" s="1"/>
      <c r="J21" s="4">
        <f>+H21*E21</f>
        <v>0</v>
      </c>
      <c r="K21" s="1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1390759602.8769233</v>
      </c>
      <c r="F22" s="1"/>
      <c r="G22" s="1" t="s">
        <v>221</v>
      </c>
      <c r="H22" s="216">
        <f>IF(E22&gt;0,+J22/E22,0)</f>
        <v>0.15193282001810188</v>
      </c>
      <c r="I22" s="1"/>
      <c r="J22" s="1">
        <f>SUM(J15:J21)</f>
        <v>211302028.43234643</v>
      </c>
      <c r="K22" s="1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6"/>
      <c r="I23" s="1"/>
      <c r="J23" s="1"/>
      <c r="K23" s="1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216134648.60535628</v>
      </c>
      <c r="F25" s="1"/>
      <c r="G25" s="1" t="str">
        <f>+G15</f>
        <v>NA</v>
      </c>
      <c r="H25" s="214" t="str">
        <f>+H15</f>
        <v xml:space="preserve"> </v>
      </c>
      <c r="I25" s="1"/>
      <c r="J25" s="1" t="s">
        <v>194</v>
      </c>
      <c r="K25" s="1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48257755.002535231</v>
      </c>
      <c r="F26" s="1"/>
      <c r="G26" s="1" t="s">
        <v>80</v>
      </c>
      <c r="H26" s="214">
        <f>+J161</f>
        <v>0.82734099999999999</v>
      </c>
      <c r="I26" s="1"/>
      <c r="J26" s="1">
        <f>+H26*E26</f>
        <v>39925619.281552501</v>
      </c>
      <c r="K26" s="1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153829433.57435185</v>
      </c>
      <c r="F27" s="1"/>
      <c r="G27" s="1" t="s">
        <v>214</v>
      </c>
      <c r="H27" s="214"/>
      <c r="I27" s="1"/>
      <c r="J27" s="1"/>
      <c r="K27" s="1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26504308.95837247</v>
      </c>
      <c r="F28" s="1"/>
      <c r="G28" s="1" t="str">
        <f>+G18</f>
        <v>W/S</v>
      </c>
      <c r="H28" s="214">
        <f>+H18</f>
        <v>0.11500586957360617</v>
      </c>
      <c r="I28" s="1"/>
      <c r="J28" s="1">
        <f>+H28*E28</f>
        <v>3048151.0992051461</v>
      </c>
      <c r="K28" s="1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1">
        <f>+'WP6 Rate Base'!R29</f>
        <v>4965064.615384615</v>
      </c>
      <c r="F29" s="1"/>
      <c r="G29" s="1" t="str">
        <f>+G19</f>
        <v>W/S</v>
      </c>
      <c r="H29" s="214">
        <f>+H28</f>
        <v>0.11500586957360617</v>
      </c>
      <c r="I29" s="1"/>
      <c r="J29" s="1">
        <f>+H29*E29</f>
        <v>571011.57358145015</v>
      </c>
      <c r="K29" s="1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1">
        <f>+'WP6 Rate Base'!R30</f>
        <v>3203301.6010182444</v>
      </c>
      <c r="F30" s="1"/>
      <c r="G30" s="1" t="str">
        <f>+G20</f>
        <v>T&amp;D</v>
      </c>
      <c r="H30" s="214">
        <f>+H20</f>
        <v>0.32825383525594476</v>
      </c>
      <c r="I30" s="1"/>
      <c r="J30" s="1">
        <f>+H30*E30</f>
        <v>1051496.0360157469</v>
      </c>
      <c r="K30" s="1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14">
        <f>+H21</f>
        <v>0</v>
      </c>
      <c r="I31" s="1"/>
      <c r="J31" s="4">
        <f>+H31*E31</f>
        <v>0</v>
      </c>
      <c r="K31" s="1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452894512.35701871</v>
      </c>
      <c r="F32" s="1"/>
      <c r="G32" s="1"/>
      <c r="H32" s="1"/>
      <c r="I32" s="1"/>
      <c r="J32" s="1">
        <f>SUM(J25:J31)</f>
        <v>44596277.990354843</v>
      </c>
      <c r="K32" s="1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6"/>
      <c r="I33" s="1"/>
      <c r="J33" s="3"/>
      <c r="K33" s="1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401739536.41772074</v>
      </c>
      <c r="F35" s="1"/>
      <c r="G35" s="1" t="s">
        <v>91</v>
      </c>
      <c r="H35" s="216"/>
      <c r="I35" s="1"/>
      <c r="J35" s="1" t="s">
        <v>194</v>
      </c>
      <c r="K35" s="1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187870735.06131095</v>
      </c>
      <c r="F36" s="1"/>
      <c r="G36" s="1" t="s">
        <v>91</v>
      </c>
      <c r="H36" s="214"/>
      <c r="I36" s="1"/>
      <c r="J36" s="1">
        <f>J16-J26</f>
        <v>159861751.64750749</v>
      </c>
      <c r="K36" s="1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296378526.88103276</v>
      </c>
      <c r="F37" s="1"/>
      <c r="G37" s="1" t="s">
        <v>91</v>
      </c>
      <c r="H37" s="216"/>
      <c r="I37" s="1"/>
      <c r="J37" s="1"/>
      <c r="K37" s="1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26564704.28162754</v>
      </c>
      <c r="F38" s="1"/>
      <c r="G38" s="1" t="s">
        <v>91</v>
      </c>
      <c r="H38" s="216"/>
      <c r="I38" s="1"/>
      <c r="J38" s="1">
        <f>J18-J28</f>
        <v>3055096.915874274</v>
      </c>
      <c r="K38" s="1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21194687.153846152</v>
      </c>
      <c r="F39" s="1"/>
      <c r="G39" s="1" t="s">
        <v>91</v>
      </c>
      <c r="H39" s="216"/>
      <c r="I39" s="1"/>
      <c r="J39" s="1">
        <f>J19-J29</f>
        <v>2437513.4264686168</v>
      </c>
      <c r="K39" s="1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4116900.7243663706</v>
      </c>
      <c r="F40" s="1"/>
      <c r="G40" s="1" t="s">
        <v>91</v>
      </c>
      <c r="H40" s="216"/>
      <c r="I40" s="1"/>
      <c r="J40" s="1">
        <f>J20-J30</f>
        <v>1351388.4521412381</v>
      </c>
      <c r="K40" s="1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6"/>
      <c r="I41" s="1"/>
      <c r="J41" s="4">
        <f>J21-J31</f>
        <v>0</v>
      </c>
      <c r="K41" s="1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937865090.51990461</v>
      </c>
      <c r="F42" s="1"/>
      <c r="G42" s="1" t="s">
        <v>224</v>
      </c>
      <c r="H42" s="216">
        <f>IF(E42&gt;0,+J42/E42,0)</f>
        <v>0.17775024587979751</v>
      </c>
      <c r="I42" s="1"/>
      <c r="J42" s="1">
        <f>SUM(J35:J41)</f>
        <v>166705750.4419916</v>
      </c>
      <c r="K42" s="1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17" t="s">
        <v>290</v>
      </c>
      <c r="I45" s="1"/>
      <c r="J45" s="19">
        <v>0</v>
      </c>
      <c r="K45" s="1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-134419241.33857176</v>
      </c>
      <c r="F46" s="1"/>
      <c r="G46" s="1" t="s">
        <v>226</v>
      </c>
      <c r="H46" s="214">
        <f>+H42</f>
        <v>0.17775024587979751</v>
      </c>
      <c r="I46" s="1"/>
      <c r="J46" s="19">
        <f>E46*H46</f>
        <v>-23893053.198906973</v>
      </c>
      <c r="K46" s="1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-16859954</v>
      </c>
      <c r="F47" s="1"/>
      <c r="G47" s="1" t="str">
        <f>+G46</f>
        <v>NP</v>
      </c>
      <c r="H47" s="214">
        <f>H42</f>
        <v>0.17775024587979751</v>
      </c>
      <c r="I47" s="1"/>
      <c r="J47" s="19">
        <f>E47*H47</f>
        <v>-2996860.9690220756</v>
      </c>
      <c r="K47" s="1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36328040.5</v>
      </c>
      <c r="F48" s="1"/>
      <c r="G48" s="1" t="str">
        <f>+G47</f>
        <v>NP</v>
      </c>
      <c r="H48" s="214">
        <f>+H47</f>
        <v>0.17775024587979751</v>
      </c>
      <c r="I48" s="1"/>
      <c r="J48" s="19">
        <f>E48*H48</f>
        <v>6457318.1312062424</v>
      </c>
      <c r="K48" s="1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14">
        <f>+H47</f>
        <v>0.17775024587979751</v>
      </c>
      <c r="I49" s="1"/>
      <c r="J49" s="47">
        <f>E49*H49</f>
        <v>0</v>
      </c>
      <c r="K49" s="1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423</v>
      </c>
      <c r="E50" s="218">
        <f>+'WP6 Rate Base'!G55</f>
        <v>-95632729.978960708</v>
      </c>
      <c r="F50" s="1"/>
      <c r="G50" s="1" t="str">
        <f>+G49</f>
        <v>NP</v>
      </c>
      <c r="H50" s="214">
        <f>+H49</f>
        <v>0.17775024587979751</v>
      </c>
      <c r="I50" s="1"/>
      <c r="J50" s="218">
        <f>+H50*E50</f>
        <v>-16998741.267916549</v>
      </c>
      <c r="K50" s="1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-210583884.81753248</v>
      </c>
      <c r="F51" s="1"/>
      <c r="G51" s="1"/>
      <c r="H51" s="1"/>
      <c r="I51" s="1"/>
      <c r="J51" s="19">
        <f>SUM(J45:J50)</f>
        <v>-37431337.304639354</v>
      </c>
      <c r="K51" s="1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6"/>
      <c r="I52" s="1"/>
      <c r="J52" s="3"/>
      <c r="K52" s="1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14">
        <v>0</v>
      </c>
      <c r="I53" s="1"/>
      <c r="J53" s="1">
        <f>+H53*E53</f>
        <v>0</v>
      </c>
      <c r="K53" s="1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4206639.8087499999</v>
      </c>
      <c r="F56" s="1"/>
      <c r="G56" s="1" t="s">
        <v>91</v>
      </c>
      <c r="H56" s="216"/>
      <c r="I56" s="1"/>
      <c r="J56" s="1">
        <f>+J85/8</f>
        <v>696506.08826455672</v>
      </c>
      <c r="K56" s="75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5735480.5</v>
      </c>
      <c r="F57" s="1"/>
      <c r="G57" s="1" t="s">
        <v>131</v>
      </c>
      <c r="H57" s="214">
        <f>+J181</f>
        <v>0.32825383525594476</v>
      </c>
      <c r="I57" s="1"/>
      <c r="J57" s="1">
        <f>+H57*E57</f>
        <v>1882693.4711606838</v>
      </c>
      <c r="K57" s="1" t="s">
        <v>194</v>
      </c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24067</v>
      </c>
      <c r="F58" s="1"/>
      <c r="G58" s="1" t="s">
        <v>200</v>
      </c>
      <c r="H58" s="214">
        <f>+J143</f>
        <v>0.84609599999999996</v>
      </c>
      <c r="I58" s="1"/>
      <c r="J58" s="1">
        <f>+H58*E58</f>
        <v>20362.992431999999</v>
      </c>
      <c r="K58" s="1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424</v>
      </c>
      <c r="E59" s="219">
        <f>+'WP6 Rate Base'!G64</f>
        <v>3150170</v>
      </c>
      <c r="F59" s="1"/>
      <c r="G59" s="1" t="s">
        <v>231</v>
      </c>
      <c r="H59" s="214">
        <f>+H22</f>
        <v>0.15193282001810188</v>
      </c>
      <c r="I59" s="1"/>
      <c r="J59" s="4">
        <f>+H59*E59</f>
        <v>478614.21163642401</v>
      </c>
      <c r="K59" s="1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13116357.30875</v>
      </c>
      <c r="F60" s="75"/>
      <c r="G60" s="75"/>
      <c r="H60" s="75"/>
      <c r="I60" s="75"/>
      <c r="J60" s="1">
        <f>SUM(J56:J59)</f>
        <v>3078176.7634936646</v>
      </c>
      <c r="K60" s="75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</row>
    <row r="61" spans="1:40" ht="15.75" thickBot="1">
      <c r="A61" s="9">
        <f t="shared" si="0"/>
        <v>47</v>
      </c>
      <c r="B61" s="3"/>
      <c r="C61" s="3"/>
      <c r="D61" s="1"/>
      <c r="E61" s="220"/>
      <c r="F61" s="1"/>
      <c r="G61" s="1"/>
      <c r="H61" s="1"/>
      <c r="I61" s="1"/>
      <c r="J61" s="221"/>
      <c r="K61" s="1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22"/>
      <c r="F62" s="1"/>
      <c r="G62" s="1"/>
      <c r="H62" s="216"/>
      <c r="I62" s="1"/>
      <c r="J62" s="223">
        <f>+J60+J53+J51+J42</f>
        <v>132352589.90084592</v>
      </c>
      <c r="K62" s="1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</row>
    <row r="63" spans="1:40" ht="15.75" thickTop="1">
      <c r="A63" s="9"/>
      <c r="B63" s="3"/>
      <c r="C63" s="97"/>
      <c r="D63" s="1"/>
      <c r="E63" s="222"/>
      <c r="F63" s="1"/>
      <c r="G63" s="1"/>
      <c r="H63" s="216"/>
      <c r="I63" s="173" t="s">
        <v>418</v>
      </c>
      <c r="J63" s="224">
        <f>J1</f>
        <v>44347</v>
      </c>
      <c r="K63" s="1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</row>
    <row r="64" spans="1:40">
      <c r="A64" s="9"/>
      <c r="B64" s="3"/>
      <c r="C64" s="97"/>
      <c r="D64" s="1"/>
      <c r="E64" s="1"/>
      <c r="F64" s="1"/>
      <c r="G64" s="1"/>
      <c r="I64" s="173" t="str">
        <f>$I$2</f>
        <v>Service Year</v>
      </c>
      <c r="J64" s="75">
        <f>$J$2</f>
        <v>2020</v>
      </c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</row>
    <row r="66" spans="1:40" ht="15.75">
      <c r="A66" s="340" t="s">
        <v>321</v>
      </c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</row>
    <row r="67" spans="1:40" ht="15.75">
      <c r="A67" s="341" t="s">
        <v>195</v>
      </c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</row>
    <row r="69" spans="1:40" ht="15.75">
      <c r="A69" s="342" t="s">
        <v>320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</row>
    <row r="70" spans="1:40">
      <c r="A70" s="9"/>
      <c r="B70" s="3"/>
      <c r="C70" s="178" t="s">
        <v>201</v>
      </c>
      <c r="D70" s="178" t="s">
        <v>202</v>
      </c>
      <c r="E70" s="178" t="s">
        <v>203</v>
      </c>
      <c r="F70" s="1" t="s">
        <v>194</v>
      </c>
      <c r="G70" s="1"/>
      <c r="H70" s="209" t="s">
        <v>204</v>
      </c>
      <c r="I70" s="1"/>
      <c r="J70" s="210" t="s">
        <v>205</v>
      </c>
      <c r="K70" s="1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</row>
    <row r="71" spans="1:40">
      <c r="A71" s="9"/>
      <c r="B71" s="3"/>
      <c r="C71" s="178"/>
      <c r="D71" s="2"/>
      <c r="E71" s="2"/>
      <c r="F71" s="2"/>
      <c r="G71" s="2"/>
      <c r="H71" s="2"/>
      <c r="I71" s="2"/>
      <c r="J71" s="2"/>
      <c r="K71" s="2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</row>
    <row r="72" spans="1:40" ht="15.75">
      <c r="A72" s="9" t="s">
        <v>196</v>
      </c>
      <c r="B72" s="3"/>
      <c r="C72" s="97"/>
      <c r="D72" s="176" t="s">
        <v>206</v>
      </c>
      <c r="E72" s="1"/>
      <c r="F72" s="1"/>
      <c r="G72" s="180" t="str">
        <f>+G10</f>
        <v xml:space="preserve">      Allocator</v>
      </c>
      <c r="H72" s="9"/>
      <c r="I72" s="1"/>
      <c r="J72" s="175" t="s">
        <v>207</v>
      </c>
      <c r="K72" s="1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</row>
    <row r="73" spans="1:40" ht="16.5" thickBot="1">
      <c r="A73" s="182" t="s">
        <v>197</v>
      </c>
      <c r="B73" s="3"/>
      <c r="C73" s="97"/>
      <c r="D73" s="179" t="s">
        <v>208</v>
      </c>
      <c r="E73" s="175" t="s">
        <v>209</v>
      </c>
      <c r="F73" s="180"/>
      <c r="G73" s="212" t="str">
        <f>+G11</f>
        <v xml:space="preserve">        (page 4)</v>
      </c>
      <c r="H73" s="3"/>
      <c r="I73" s="180"/>
      <c r="J73" s="9" t="s">
        <v>210</v>
      </c>
      <c r="K73" s="1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</row>
    <row r="74" spans="1:40" ht="15.75">
      <c r="A74" s="3"/>
      <c r="B74" s="3"/>
      <c r="C74" s="97"/>
      <c r="D74" s="1"/>
      <c r="E74" s="225"/>
      <c r="F74" s="226"/>
      <c r="G74" s="227"/>
      <c r="H74" s="3"/>
      <c r="I74" s="226"/>
      <c r="J74" s="225"/>
      <c r="K74" s="1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08"/>
      <c r="M75" s="208"/>
      <c r="N75" s="185"/>
      <c r="O75" s="185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322">
        <v>27933063</v>
      </c>
      <c r="F76" s="1"/>
      <c r="G76" s="1" t="s">
        <v>200</v>
      </c>
      <c r="H76" s="214">
        <f>+J143</f>
        <v>0.84609599999999996</v>
      </c>
      <c r="I76" s="1"/>
      <c r="J76" s="1">
        <f>+H76*E76</f>
        <v>23634052.872047998</v>
      </c>
      <c r="K76" s="75"/>
      <c r="L76" s="185"/>
      <c r="M76" s="208"/>
      <c r="N76" s="185"/>
      <c r="O76" s="185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322">
        <f>162681+663072+236767+287696+742738+78512-76296+84140+22919417</f>
        <v>25098727</v>
      </c>
      <c r="F77" s="1"/>
      <c r="G77" s="1" t="str">
        <f>+G76</f>
        <v>TP</v>
      </c>
      <c r="H77" s="214">
        <f>+H76</f>
        <v>0.84609599999999996</v>
      </c>
      <c r="I77" s="1"/>
      <c r="J77" s="1">
        <f t="shared" ref="J77:J84" si="3">+H77*E77</f>
        <v>21235932.519791998</v>
      </c>
      <c r="K77" s="75"/>
      <c r="L77" s="185"/>
      <c r="M77" s="208"/>
      <c r="N77" s="185"/>
      <c r="O77" s="185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208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322">
        <v>32782909</v>
      </c>
      <c r="F78" s="1"/>
      <c r="G78" s="1" t="s">
        <v>218</v>
      </c>
      <c r="H78" s="214">
        <f>+H28</f>
        <v>0.11500586957360617</v>
      </c>
      <c r="I78" s="1"/>
      <c r="J78" s="1">
        <f t="shared" si="3"/>
        <v>3770226.9566974002</v>
      </c>
      <c r="K78" s="1"/>
      <c r="L78" s="185"/>
      <c r="M78" s="208"/>
      <c r="N78" s="185"/>
      <c r="O78" s="185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322">
        <v>418548</v>
      </c>
      <c r="F79" s="1"/>
      <c r="G79" s="1" t="s">
        <v>218</v>
      </c>
      <c r="H79" s="214">
        <v>1</v>
      </c>
      <c r="I79" s="1"/>
      <c r="J79" s="1">
        <f t="shared" si="3"/>
        <v>418548</v>
      </c>
      <c r="K79" s="1"/>
      <c r="L79" s="185"/>
      <c r="M79" s="208"/>
      <c r="N79" s="185"/>
      <c r="O79" s="185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14">
        <f>H78</f>
        <v>0.11500586957360617</v>
      </c>
      <c r="I80" s="1"/>
      <c r="J80" s="1">
        <f t="shared" si="3"/>
        <v>26129.333567123322</v>
      </c>
      <c r="K80" s="1"/>
      <c r="L80" s="101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209561</v>
      </c>
      <c r="F81" s="1"/>
      <c r="G81" s="1" t="str">
        <f>+G80</f>
        <v>W/S</v>
      </c>
      <c r="H81" s="214">
        <f>+H80</f>
        <v>0.11500586957360617</v>
      </c>
      <c r="I81" s="1"/>
      <c r="J81" s="1">
        <f t="shared" si="3"/>
        <v>24100.745033714484</v>
      </c>
      <c r="K81" s="1"/>
      <c r="L81" s="185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</row>
    <row r="82" spans="1:40">
      <c r="A82" s="9">
        <f t="shared" si="4"/>
        <v>55</v>
      </c>
      <c r="B82" s="3"/>
      <c r="C82" s="97" t="s">
        <v>48</v>
      </c>
      <c r="D82" s="1"/>
      <c r="E82" s="322">
        <v>1563217.53</v>
      </c>
      <c r="F82" s="1"/>
      <c r="G82" s="1" t="str">
        <f>G78</f>
        <v>W/S</v>
      </c>
      <c r="H82" s="214">
        <f>H78</f>
        <v>0.11500586957360617</v>
      </c>
      <c r="I82" s="1"/>
      <c r="J82" s="1">
        <f t="shared" si="3"/>
        <v>179779.19137035479</v>
      </c>
      <c r="K82" s="1"/>
      <c r="L82" s="185"/>
      <c r="M82" s="101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28" t="str">
        <f>+G76</f>
        <v>TP</v>
      </c>
      <c r="H83" s="214">
        <f>+H76</f>
        <v>0.84609599999999996</v>
      </c>
      <c r="I83" s="1"/>
      <c r="J83" s="1">
        <f>+H83*E83</f>
        <v>0</v>
      </c>
      <c r="K83" s="1"/>
      <c r="L83" s="101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14">
        <f>+H31</f>
        <v>0</v>
      </c>
      <c r="I84" s="1"/>
      <c r="J84" s="4">
        <f t="shared" si="3"/>
        <v>0</v>
      </c>
      <c r="K84" s="1"/>
      <c r="L84" s="101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33653118.469999999</v>
      </c>
      <c r="F85" s="1"/>
      <c r="G85" s="1"/>
      <c r="H85" s="1"/>
      <c r="I85" s="1"/>
      <c r="J85" s="1">
        <f>+J76-J77+J78-J79-J82+J84+J83+J80-J81</f>
        <v>5572048.7061164537</v>
      </c>
      <c r="K85" s="1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5478180.9694812307</v>
      </c>
      <c r="F88" s="1"/>
      <c r="G88" s="1" t="s">
        <v>200</v>
      </c>
      <c r="H88" s="214">
        <f>+J143</f>
        <v>0.84609599999999996</v>
      </c>
      <c r="I88" s="1"/>
      <c r="J88" s="1">
        <f>+H88*E88</f>
        <v>4635067.0055541908</v>
      </c>
      <c r="K88" s="1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3943415.7764196158</v>
      </c>
      <c r="F89" s="1"/>
      <c r="G89" s="1" t="s">
        <v>218</v>
      </c>
      <c r="H89" s="214">
        <f>H78</f>
        <v>0.11500586957360617</v>
      </c>
      <c r="I89" s="1"/>
      <c r="J89" s="1">
        <f>+H89*E89</f>
        <v>453515.96045741526</v>
      </c>
      <c r="K89" s="1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14">
        <f>+H84</f>
        <v>0</v>
      </c>
      <c r="I90" s="1"/>
      <c r="J90" s="4">
        <f>+H90*E90</f>
        <v>0</v>
      </c>
      <c r="K90" s="1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9421596.745900847</v>
      </c>
      <c r="F91" s="1"/>
      <c r="G91" s="1"/>
      <c r="H91" s="1"/>
      <c r="I91" s="1"/>
      <c r="J91" s="1">
        <f>SUM(J88:J90)</f>
        <v>5088582.9660116062</v>
      </c>
      <c r="K91" s="1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322">
        <f>31979+1841620+56843</f>
        <v>1930442</v>
      </c>
      <c r="F95" s="1"/>
      <c r="G95" s="1" t="s">
        <v>218</v>
      </c>
      <c r="H95" s="229">
        <f>+J175</f>
        <v>0.11500586957360617</v>
      </c>
      <c r="I95" s="1"/>
      <c r="J95" s="1">
        <f>+H95*E95</f>
        <v>222012.16087141144</v>
      </c>
      <c r="K95" s="1"/>
      <c r="L95" s="185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29">
        <f>+H95</f>
        <v>0.11500586957360617</v>
      </c>
      <c r="I96" s="1"/>
      <c r="J96" s="1">
        <f>+H96*E96</f>
        <v>0</v>
      </c>
      <c r="K96" s="1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322">
        <f>8837840-'WP6 Rate Base'!AB28</f>
        <v>8215840</v>
      </c>
      <c r="F98" s="1"/>
      <c r="G98" s="1" t="s">
        <v>231</v>
      </c>
      <c r="H98" s="229">
        <f>+H22</f>
        <v>0.15193282001810188</v>
      </c>
      <c r="I98" s="1"/>
      <c r="J98" s="1">
        <f>+H98*E98</f>
        <v>1248255.7400175221</v>
      </c>
      <c r="K98" s="1"/>
      <c r="L98" s="185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30" t="s">
        <v>290</v>
      </c>
      <c r="I99" s="1"/>
      <c r="J99" s="1">
        <v>0</v>
      </c>
      <c r="K99" s="1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8"/>
      <c r="AN99" s="208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29">
        <f>+H98</f>
        <v>0.15193282001810188</v>
      </c>
      <c r="I100" s="1"/>
      <c r="J100" s="4">
        <f>+H100*E100</f>
        <v>0</v>
      </c>
      <c r="K100" s="1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10146282</v>
      </c>
      <c r="F101" s="1"/>
      <c r="G101" s="1"/>
      <c r="H101" s="229"/>
      <c r="I101" s="1"/>
      <c r="J101" s="1">
        <f>SUM(J95:J100)</f>
        <v>1470267.9008889336</v>
      </c>
      <c r="K101" s="1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29"/>
      <c r="I102" s="1"/>
      <c r="J102" s="1"/>
      <c r="K102" s="1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29"/>
      <c r="I103" s="1"/>
      <c r="J103" s="1"/>
      <c r="K103" s="1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31"/>
      <c r="I104" s="1"/>
      <c r="J104" s="3"/>
      <c r="K104" s="1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</row>
    <row r="105" spans="1:40">
      <c r="A105" s="9">
        <f t="shared" si="4"/>
        <v>78</v>
      </c>
      <c r="B105" s="3"/>
      <c r="C105" s="232" t="s">
        <v>286</v>
      </c>
      <c r="D105" s="1"/>
      <c r="E105" s="233">
        <f>IF(E232&gt;0,1-(((1-E233)*(1-E232))/(1-E233*E232*E234)),0)</f>
        <v>0.20999999999999996</v>
      </c>
      <c r="F105" s="1"/>
      <c r="G105" s="3"/>
      <c r="H105" s="231"/>
      <c r="I105" s="1"/>
      <c r="J105" s="3"/>
      <c r="K105" s="1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208"/>
    </row>
    <row r="106" spans="1:40">
      <c r="A106" s="9">
        <f t="shared" si="4"/>
        <v>79</v>
      </c>
      <c r="B106" s="3"/>
      <c r="C106" s="3" t="s">
        <v>287</v>
      </c>
      <c r="D106" s="1"/>
      <c r="E106" s="233">
        <f>IF(J199&gt;0,(E105/(1-E105))*(1-J196/J199),0)</f>
        <v>0.18629391106940468</v>
      </c>
      <c r="F106" s="1"/>
      <c r="G106" s="3"/>
      <c r="H106" s="231"/>
      <c r="I106" s="1"/>
      <c r="J106" s="3"/>
      <c r="K106" s="1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31"/>
      <c r="I107" s="1"/>
      <c r="J107" s="3"/>
      <c r="K107" s="1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31"/>
      <c r="I108" s="1"/>
      <c r="J108" s="3"/>
      <c r="K108" s="1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</row>
    <row r="109" spans="1:40">
      <c r="A109" s="9">
        <f t="shared" si="4"/>
        <v>82</v>
      </c>
      <c r="B109" s="3"/>
      <c r="C109" s="232"/>
      <c r="D109" s="1"/>
      <c r="E109" s="234"/>
      <c r="F109" s="1"/>
      <c r="G109" s="3"/>
      <c r="H109" s="231"/>
      <c r="I109" s="1"/>
      <c r="J109" s="3"/>
      <c r="K109" s="1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</row>
    <row r="110" spans="1:40">
      <c r="A110" s="9">
        <f t="shared" si="4"/>
        <v>83</v>
      </c>
      <c r="B110" s="3"/>
      <c r="C110" s="235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29" t="s">
        <v>194</v>
      </c>
      <c r="I110" s="1"/>
      <c r="J110" s="1">
        <f>E106*J112</f>
        <v>2165824.4825343993</v>
      </c>
      <c r="K110" s="1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</row>
    <row r="111" spans="1:40">
      <c r="A111" s="9">
        <f t="shared" si="4"/>
        <v>84</v>
      </c>
      <c r="B111" s="3"/>
      <c r="C111" s="236"/>
      <c r="D111" s="237"/>
      <c r="E111" s="1"/>
      <c r="F111" s="1"/>
      <c r="G111" s="1"/>
      <c r="H111" s="229"/>
      <c r="I111" s="1"/>
      <c r="J111" s="1"/>
      <c r="K111" s="1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</row>
    <row r="112" spans="1:40">
      <c r="A112" s="9">
        <f t="shared" si="4"/>
        <v>85</v>
      </c>
      <c r="B112" s="3"/>
      <c r="C112" s="97" t="s">
        <v>243</v>
      </c>
      <c r="D112" s="216"/>
      <c r="E112" s="1"/>
      <c r="F112" s="1"/>
      <c r="G112" s="1" t="s">
        <v>91</v>
      </c>
      <c r="H112" s="231"/>
      <c r="I112" s="1"/>
      <c r="J112" s="1">
        <f>+$J199*J62</f>
        <v>11625846.868003706</v>
      </c>
      <c r="K112" s="1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</row>
    <row r="113" spans="1:40" ht="17.25" customHeight="1">
      <c r="A113" s="9">
        <f t="shared" si="4"/>
        <v>86</v>
      </c>
      <c r="B113" s="3"/>
      <c r="C113" s="235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31"/>
      <c r="I113" s="1"/>
      <c r="J113" s="1"/>
      <c r="K113" s="1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</row>
    <row r="114" spans="1:40">
      <c r="A114" s="9">
        <f t="shared" si="4"/>
        <v>87</v>
      </c>
      <c r="B114" s="3"/>
      <c r="C114" s="97"/>
      <c r="D114" s="3"/>
      <c r="E114" s="222"/>
      <c r="F114" s="1"/>
      <c r="G114" s="1"/>
      <c r="H114" s="231"/>
      <c r="I114" s="1"/>
      <c r="J114" s="222"/>
      <c r="K114" s="1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38">
        <f>E110+E101+E91+E85</f>
        <v>53220997.215900846</v>
      </c>
      <c r="F115" s="1"/>
      <c r="G115" s="1"/>
      <c r="H115" s="1"/>
      <c r="I115" s="1"/>
      <c r="J115" s="95">
        <f>J110+J101+J91+J85+J112</f>
        <v>25922570.923555098</v>
      </c>
      <c r="K115" s="75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19">
        <v>27422030.010989904</v>
      </c>
      <c r="K117" s="1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38">
        <f>+J115-J117</f>
        <v>-1499459.0874348059</v>
      </c>
      <c r="K119" s="1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</row>
    <row r="122" spans="1:40">
      <c r="A122" s="9"/>
      <c r="B122" s="3"/>
      <c r="C122" s="3"/>
      <c r="D122" s="3"/>
      <c r="E122" s="3"/>
      <c r="F122" s="3"/>
      <c r="G122" s="3"/>
      <c r="H122" s="3"/>
      <c r="I122" s="173" t="s">
        <v>418</v>
      </c>
      <c r="J122" s="239">
        <f>J1</f>
        <v>44347</v>
      </c>
      <c r="K122" s="1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</row>
    <row r="123" spans="1:40">
      <c r="A123" s="9"/>
      <c r="B123" s="3"/>
      <c r="C123" s="3"/>
      <c r="D123" s="3"/>
      <c r="E123" s="3"/>
      <c r="F123" s="3"/>
      <c r="G123" s="3"/>
      <c r="I123" s="173" t="str">
        <f>$I$2</f>
        <v>Service Year</v>
      </c>
      <c r="J123" s="75">
        <f>$J$2</f>
        <v>2020</v>
      </c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</row>
    <row r="125" spans="1:40" ht="15.75">
      <c r="A125" s="340" t="s">
        <v>321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</row>
    <row r="126" spans="1:40" ht="15.75">
      <c r="A126" s="341" t="s">
        <v>195</v>
      </c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</row>
    <row r="128" spans="1:40" ht="15.75">
      <c r="A128" s="342" t="s">
        <v>320</v>
      </c>
      <c r="B128" s="342"/>
      <c r="C128" s="342"/>
      <c r="D128" s="342"/>
      <c r="E128" s="342"/>
      <c r="F128" s="342"/>
      <c r="G128" s="342"/>
      <c r="H128" s="342"/>
      <c r="I128" s="342"/>
      <c r="J128" s="342"/>
      <c r="K128" s="342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</row>
    <row r="130" spans="1:40" ht="15.75">
      <c r="A130" s="343" t="s">
        <v>3</v>
      </c>
      <c r="B130" s="343"/>
      <c r="C130" s="343"/>
      <c r="D130" s="343"/>
      <c r="E130" s="343"/>
      <c r="F130" s="343"/>
      <c r="G130" s="343"/>
      <c r="H130" s="343"/>
      <c r="I130" s="343"/>
      <c r="J130" s="343"/>
      <c r="K130" s="343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</row>
    <row r="131" spans="1:40" ht="15.75">
      <c r="A131" s="9"/>
      <c r="B131" s="3"/>
      <c r="C131" s="183"/>
      <c r="D131" s="75"/>
      <c r="E131" s="75"/>
      <c r="F131" s="75"/>
      <c r="G131" s="75"/>
      <c r="H131" s="75"/>
      <c r="I131" s="75"/>
      <c r="J131" s="75"/>
      <c r="K131" s="1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</row>
    <row r="132" spans="1:40" ht="15.75">
      <c r="A132" s="9" t="s">
        <v>196</v>
      </c>
      <c r="B132" s="3"/>
      <c r="C132" s="183"/>
      <c r="D132" s="75"/>
      <c r="E132" s="75"/>
      <c r="F132" s="75"/>
      <c r="G132" s="75"/>
      <c r="H132" s="75"/>
      <c r="I132" s="75"/>
      <c r="J132" s="75"/>
      <c r="K132" s="1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</row>
    <row r="133" spans="1:40" ht="15.75" thickBot="1">
      <c r="A133" s="182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236128490.06384617</v>
      </c>
      <c r="K135" s="1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322">
        <v>38023019.666455001</v>
      </c>
      <c r="K136" s="1"/>
      <c r="L136" s="185"/>
      <c r="M136" s="185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</row>
    <row r="137" spans="1:40" ht="15.75" thickBot="1">
      <c r="A137" s="9">
        <f t="shared" ref="A137:A199" si="5">+A136+1</f>
        <v>95</v>
      </c>
      <c r="B137" s="3"/>
      <c r="C137" s="240" t="s">
        <v>87</v>
      </c>
      <c r="D137" s="241"/>
      <c r="E137" s="4" t="s">
        <v>170</v>
      </c>
      <c r="F137" s="1"/>
      <c r="G137" s="1"/>
      <c r="H137" s="184"/>
      <c r="I137" s="1"/>
      <c r="J137" s="4">
        <v>0</v>
      </c>
      <c r="K137" s="1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4"/>
      <c r="I138" s="1"/>
      <c r="J138" s="1">
        <f>J135-J136-J137</f>
        <v>198105470.39739117</v>
      </c>
      <c r="K138" s="1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4"/>
      <c r="I139" s="1"/>
      <c r="J139" s="1">
        <f>+J149</f>
        <v>10927521.329999998</v>
      </c>
      <c r="K139" s="1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4"/>
      <c r="I140" s="1"/>
      <c r="J140" s="242">
        <f>SUM(J138:J139)</f>
        <v>209032991.72739118</v>
      </c>
      <c r="K140" s="1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4"/>
      <c r="I141" s="1"/>
      <c r="J141" s="222">
        <f>+J135+J149</f>
        <v>247056011.39384615</v>
      </c>
      <c r="K141" s="1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4"/>
      <c r="I142" s="1"/>
      <c r="J142" s="3"/>
      <c r="K142" s="1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7"/>
      <c r="E143" s="243"/>
      <c r="F143" s="243"/>
      <c r="G143" s="243"/>
      <c r="H143" s="210"/>
      <c r="I143" s="1" t="s">
        <v>244</v>
      </c>
      <c r="J143" s="244">
        <f>ROUND(IF(J141&gt;0,J140/J141,0),6)</f>
        <v>0.84609599999999996</v>
      </c>
      <c r="K143" s="1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450207960.45538461</v>
      </c>
      <c r="K146" s="3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439280439.12538463</v>
      </c>
      <c r="K147" s="3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</row>
    <row r="148" spans="1:40" ht="15.75" thickBot="1">
      <c r="A148" s="9">
        <f t="shared" si="5"/>
        <v>106</v>
      </c>
      <c r="B148" s="3"/>
      <c r="C148" s="240" t="s">
        <v>108</v>
      </c>
      <c r="D148" s="241"/>
      <c r="E148" s="4" t="s">
        <v>170</v>
      </c>
      <c r="F148" s="1"/>
      <c r="G148" s="1"/>
      <c r="H148" s="184"/>
      <c r="I148" s="1"/>
      <c r="J148" s="4">
        <v>0</v>
      </c>
      <c r="K148" s="3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4"/>
      <c r="I149" s="1"/>
      <c r="J149" s="322">
        <v>10927521.329999998</v>
      </c>
      <c r="K149" s="3"/>
      <c r="L149" s="185"/>
      <c r="M149" s="185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4"/>
      <c r="I150" s="1"/>
      <c r="J150" s="3"/>
      <c r="K150" s="3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7"/>
      <c r="E151" s="243"/>
      <c r="F151" s="243"/>
      <c r="G151" s="243"/>
      <c r="H151" s="210"/>
      <c r="I151" s="1" t="s">
        <v>106</v>
      </c>
      <c r="J151" s="244">
        <f>ROUND(IF(J146&gt;0,J149/J146,0),6)</f>
        <v>2.4271999999999998E-2</v>
      </c>
      <c r="K151" s="3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4"/>
      <c r="I152" s="1"/>
      <c r="J152" s="3"/>
      <c r="K152" s="3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4"/>
      <c r="I153" s="1"/>
      <c r="J153" s="1"/>
      <c r="K153" s="3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4"/>
      <c r="I154" s="1"/>
      <c r="J154" s="1">
        <f>+E26</f>
        <v>48257755.002535231</v>
      </c>
      <c r="K154" s="3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4"/>
      <c r="I155" s="1"/>
      <c r="J155" s="323">
        <v>9038707.1104743704</v>
      </c>
      <c r="K155" s="3"/>
      <c r="L155" s="185"/>
      <c r="M155" s="185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</row>
    <row r="156" spans="1:40">
      <c r="A156" s="9">
        <f t="shared" si="5"/>
        <v>114</v>
      </c>
      <c r="B156" s="3"/>
      <c r="C156" s="245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46"/>
      <c r="E156" s="242"/>
      <c r="F156" s="1"/>
      <c r="G156" s="1"/>
      <c r="H156" s="184"/>
      <c r="I156" s="1"/>
      <c r="J156" s="242">
        <f>J154-J155</f>
        <v>39219047.892060861</v>
      </c>
      <c r="K156" s="3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47"/>
      <c r="E157" s="222"/>
      <c r="F157" s="1"/>
      <c r="G157" s="1"/>
      <c r="H157" s="184"/>
      <c r="I157" s="1"/>
      <c r="J157" s="222">
        <f>+J166</f>
        <v>4092361.29</v>
      </c>
      <c r="K157" s="3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47"/>
      <c r="E158" s="222"/>
      <c r="F158" s="1"/>
      <c r="G158" s="1"/>
      <c r="H158" s="184"/>
      <c r="I158" s="1"/>
      <c r="J158" s="242">
        <f>SUM(J156:J157)</f>
        <v>43311409.18206086</v>
      </c>
      <c r="K158" s="3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47"/>
      <c r="E159" s="222"/>
      <c r="F159" s="1"/>
      <c r="G159" s="1"/>
      <c r="H159" s="184"/>
      <c r="I159" s="1"/>
      <c r="J159" s="222">
        <f>+J154+J157</f>
        <v>52350116.292535231</v>
      </c>
      <c r="K159" s="3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4"/>
      <c r="I160" s="1"/>
      <c r="J160" s="1"/>
      <c r="K160" s="3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4"/>
      <c r="I161" s="1" t="s">
        <v>79</v>
      </c>
      <c r="J161" s="244">
        <f>ROUND(IF(J159&gt;0,J158/J159,0),6)</f>
        <v>0.82734099999999999</v>
      </c>
      <c r="K161" s="3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4"/>
      <c r="I162" s="1"/>
      <c r="J162" s="1"/>
      <c r="K162" s="3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4"/>
      <c r="I163" s="1"/>
      <c r="J163" s="1"/>
      <c r="K163" s="3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4"/>
      <c r="I164" s="1"/>
      <c r="J164" s="1">
        <f>+E27</f>
        <v>153829433.57435185</v>
      </c>
      <c r="K164" s="3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4"/>
      <c r="I165" s="1"/>
      <c r="J165" s="1">
        <f>+J164-J166</f>
        <v>149737072.28435186</v>
      </c>
      <c r="K165" s="3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</row>
    <row r="166" spans="1:40">
      <c r="A166" s="9">
        <f t="shared" si="5"/>
        <v>124</v>
      </c>
      <c r="B166" s="3"/>
      <c r="C166" s="248" t="str">
        <f>"Common Use AC Facilities (line "&amp;A164&amp;" less line "&amp;A165&amp;")"</f>
        <v>Common Use AC Facilities (line 122 less line 123)</v>
      </c>
      <c r="D166" s="246"/>
      <c r="E166" s="242"/>
      <c r="F166" s="1"/>
      <c r="G166" s="1"/>
      <c r="H166" s="184"/>
      <c r="I166" s="1"/>
      <c r="J166" s="324">
        <v>4092361.29</v>
      </c>
      <c r="K166" s="3"/>
      <c r="L166" s="185"/>
      <c r="M166" s="185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4"/>
      <c r="I167" s="1"/>
      <c r="J167" s="1"/>
      <c r="K167" s="3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4"/>
      <c r="I168" s="1" t="s">
        <v>82</v>
      </c>
      <c r="J168" s="244">
        <f>ROUND(IF(J164&gt;0,J166/J164,0),6)</f>
        <v>2.6603000000000002E-2</v>
      </c>
      <c r="K168" s="3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4"/>
      <c r="I169" s="1"/>
      <c r="J169" s="1"/>
      <c r="K169" s="3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49" t="s">
        <v>247</v>
      </c>
      <c r="F171" s="249" t="s">
        <v>200</v>
      </c>
      <c r="G171" s="1"/>
      <c r="H171" s="249" t="s">
        <v>248</v>
      </c>
      <c r="I171" s="222"/>
      <c r="J171" s="250"/>
      <c r="K171" s="1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322">
        <v>1897888</v>
      </c>
      <c r="F172" s="251">
        <f>+J143</f>
        <v>0.84609599999999996</v>
      </c>
      <c r="G172" s="3"/>
      <c r="H172" s="1">
        <f>E172*F172</f>
        <v>1605795.4452479999</v>
      </c>
      <c r="I172" s="222"/>
      <c r="J172" s="252"/>
      <c r="K172" s="1"/>
      <c r="L172" s="185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322">
        <v>28241935</v>
      </c>
      <c r="F173" s="251">
        <v>0</v>
      </c>
      <c r="G173" s="251"/>
      <c r="H173" s="1">
        <f>E173*F173</f>
        <v>0</v>
      </c>
      <c r="I173" s="222"/>
      <c r="J173" s="250" t="s">
        <v>249</v>
      </c>
      <c r="K173" s="1"/>
      <c r="L173" s="185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325">
        <v>-14279209</v>
      </c>
      <c r="F174" s="251">
        <v>0</v>
      </c>
      <c r="G174" s="251"/>
      <c r="H174" s="4">
        <f>E174*F174</f>
        <v>0</v>
      </c>
      <c r="I174" s="222"/>
      <c r="J174" s="182" t="s">
        <v>250</v>
      </c>
      <c r="K174" s="1"/>
      <c r="L174" s="185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13962726</v>
      </c>
      <c r="F175" s="1"/>
      <c r="G175" s="3"/>
      <c r="H175" s="1">
        <f>SUM(H172:H174)</f>
        <v>1605795.4452479999</v>
      </c>
      <c r="I175" s="1" t="s">
        <v>92</v>
      </c>
      <c r="J175" s="214">
        <f>IF(E175&gt;0,+H175/E175,0)</f>
        <v>0.11500586957360617</v>
      </c>
      <c r="K175" s="184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</row>
    <row r="178" spans="1:40" ht="15.75" thickBot="1">
      <c r="A178" s="9">
        <f t="shared" si="5"/>
        <v>136</v>
      </c>
      <c r="B178" s="3"/>
      <c r="C178" s="97"/>
      <c r="D178" s="1"/>
      <c r="E178" s="249" t="s">
        <v>247</v>
      </c>
      <c r="F178" s="249" t="s">
        <v>254</v>
      </c>
      <c r="G178" s="219" t="s">
        <v>200</v>
      </c>
      <c r="H178" s="253" t="s">
        <v>131</v>
      </c>
      <c r="I178" s="231"/>
      <c r="J178" s="216"/>
      <c r="K178" s="3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187870735.06131095</v>
      </c>
      <c r="F179" s="89">
        <f>IF(E181&gt;0,+E179/E181,0)</f>
        <v>0.38796287330981921</v>
      </c>
      <c r="G179" s="254">
        <f>+J143</f>
        <v>0.84609599999999996</v>
      </c>
      <c r="H179" s="255">
        <f>IF(F179&gt;0,+G179*F179,0)</f>
        <v>0.32825383525594476</v>
      </c>
      <c r="I179" s="256"/>
      <c r="J179" s="9"/>
      <c r="K179" s="1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296378526.88103276</v>
      </c>
      <c r="F180" s="89">
        <f>IF(E181&gt;0,+E180/E181,0)</f>
        <v>0.61203712669018084</v>
      </c>
      <c r="G180" s="3"/>
      <c r="H180" s="229"/>
      <c r="I180" s="184"/>
      <c r="J180" s="229"/>
      <c r="K180" s="231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42">
        <f>SUM(E179:E180)</f>
        <v>484249261.94234371</v>
      </c>
      <c r="F181" s="257">
        <f>SUM(F179:F180)</f>
        <v>1</v>
      </c>
      <c r="G181" s="1"/>
      <c r="H181" s="1"/>
      <c r="I181" s="1" t="s">
        <v>132</v>
      </c>
      <c r="J181" s="258">
        <f>+H179</f>
        <v>0.32825383525594476</v>
      </c>
      <c r="K181" s="1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58"/>
      <c r="K182" s="1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</row>
    <row r="183" spans="1:40" s="261" customFormat="1" ht="15.75" thickBot="1">
      <c r="A183" s="9">
        <f t="shared" si="5"/>
        <v>141</v>
      </c>
      <c r="B183" s="259"/>
      <c r="C183" s="260" t="s">
        <v>252</v>
      </c>
      <c r="D183" s="219" t="s">
        <v>246</v>
      </c>
      <c r="E183" s="1"/>
      <c r="F183" s="1"/>
      <c r="G183" s="1"/>
      <c r="H183" s="1"/>
      <c r="I183" s="1"/>
      <c r="J183" s="249" t="s">
        <v>247</v>
      </c>
      <c r="K183" s="1"/>
    </row>
    <row r="184" spans="1:40">
      <c r="A184" s="9">
        <f t="shared" si="5"/>
        <v>142</v>
      </c>
      <c r="B184" s="259"/>
      <c r="C184" s="75" t="s">
        <v>329</v>
      </c>
      <c r="D184" s="1" t="s">
        <v>442</v>
      </c>
      <c r="E184" s="1"/>
      <c r="F184" s="1"/>
      <c r="G184" s="1"/>
      <c r="H184" s="1"/>
      <c r="I184" s="1"/>
      <c r="J184" s="326">
        <f>20222493+282461+269788</f>
        <v>20774742</v>
      </c>
      <c r="K184" s="1"/>
      <c r="L184" s="185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</row>
    <row r="185" spans="1:40">
      <c r="A185" s="9">
        <f t="shared" si="5"/>
        <v>143</v>
      </c>
      <c r="B185" s="261"/>
      <c r="C185" s="97"/>
      <c r="D185" s="1"/>
      <c r="E185" s="1"/>
      <c r="F185" s="1"/>
      <c r="G185" s="1"/>
      <c r="H185" s="1"/>
      <c r="I185" s="1"/>
      <c r="J185" s="1"/>
      <c r="K185" s="1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</row>
    <row r="186" spans="1:40">
      <c r="A186" s="9">
        <f t="shared" si="5"/>
        <v>144</v>
      </c>
      <c r="B186" s="259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</row>
    <row r="187" spans="1:40">
      <c r="A187" s="9">
        <f t="shared" si="5"/>
        <v>145</v>
      </c>
      <c r="B187" s="259"/>
      <c r="C187" s="97"/>
      <c r="D187" s="1"/>
      <c r="E187" s="1"/>
      <c r="F187" s="1"/>
      <c r="G187" s="1"/>
      <c r="H187" s="1"/>
      <c r="I187" s="1"/>
      <c r="J187" s="1"/>
      <c r="K187" s="1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</row>
    <row r="188" spans="1:40">
      <c r="A188" s="9">
        <f t="shared" si="5"/>
        <v>146</v>
      </c>
      <c r="B188" s="259"/>
      <c r="C188" s="260" t="s">
        <v>332</v>
      </c>
      <c r="D188" s="219" t="s">
        <v>246</v>
      </c>
      <c r="E188" s="1"/>
      <c r="F188" s="1"/>
      <c r="G188" s="1"/>
      <c r="H188" s="1"/>
      <c r="I188" s="1"/>
      <c r="J188" s="1"/>
      <c r="K188" s="1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</row>
    <row r="189" spans="1:40">
      <c r="A189" s="9">
        <f t="shared" si="5"/>
        <v>147</v>
      </c>
      <c r="B189" s="259"/>
      <c r="C189" s="97" t="s">
        <v>22</v>
      </c>
      <c r="D189" s="1" t="s">
        <v>333</v>
      </c>
      <c r="E189" s="75"/>
      <c r="F189" s="1"/>
      <c r="G189" s="1"/>
      <c r="H189" s="1"/>
      <c r="I189" s="1"/>
      <c r="J189" s="326">
        <v>473913964</v>
      </c>
      <c r="K189" s="1"/>
      <c r="L189" s="185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</row>
    <row r="190" spans="1:40">
      <c r="A190" s="9">
        <f t="shared" si="5"/>
        <v>148</v>
      </c>
      <c r="B190" s="259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</row>
    <row r="191" spans="1:40">
      <c r="A191" s="9">
        <f t="shared" si="5"/>
        <v>149</v>
      </c>
      <c r="B191" s="259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</row>
    <row r="192" spans="1:40" ht="15.75" thickBot="1">
      <c r="A192" s="9">
        <f t="shared" si="5"/>
        <v>150</v>
      </c>
      <c r="B192" s="259"/>
      <c r="C192" s="97" t="s">
        <v>338</v>
      </c>
      <c r="D192" s="1" t="s">
        <v>339</v>
      </c>
      <c r="E192" s="1"/>
      <c r="F192" s="1"/>
      <c r="G192" s="1"/>
      <c r="H192" s="1"/>
      <c r="I192" s="1"/>
      <c r="J192" s="327">
        <v>1420318</v>
      </c>
      <c r="K192" s="1"/>
      <c r="L192" s="185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</row>
    <row r="193" spans="1:40">
      <c r="A193" s="9">
        <f t="shared" si="5"/>
        <v>151</v>
      </c>
      <c r="B193" s="259"/>
      <c r="C193" s="262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475334282</v>
      </c>
      <c r="K193" s="1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4"/>
      <c r="I194" s="1"/>
      <c r="J194" s="1"/>
      <c r="K194" s="1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63" t="s">
        <v>247</v>
      </c>
      <c r="F195" s="182" t="s">
        <v>254</v>
      </c>
      <c r="G195" s="1"/>
      <c r="H195" s="182" t="s">
        <v>253</v>
      </c>
      <c r="I195" s="1"/>
      <c r="J195" s="182" t="s">
        <v>255</v>
      </c>
      <c r="K195" s="1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322">
        <v>339922030</v>
      </c>
      <c r="F196" s="88">
        <v>0.43</v>
      </c>
      <c r="G196" s="264"/>
      <c r="H196" s="89">
        <f>IF(E196&gt;0,+J184/E196,0)</f>
        <v>6.1116197735110019E-2</v>
      </c>
      <c r="I196" s="3"/>
      <c r="J196" s="89">
        <f>H196*F196</f>
        <v>2.6279965026097307E-2</v>
      </c>
      <c r="K196" s="265"/>
      <c r="L196" s="185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</row>
    <row r="197" spans="1:40">
      <c r="A197" s="9">
        <f t="shared" si="5"/>
        <v>155</v>
      </c>
      <c r="B197" s="3"/>
      <c r="C197" s="96" t="s">
        <v>328</v>
      </c>
      <c r="D197" s="213" t="s">
        <v>335</v>
      </c>
      <c r="E197" s="1"/>
      <c r="F197" s="88">
        <f>IF($E$199&gt;0,E197/$E$199,0)</f>
        <v>0</v>
      </c>
      <c r="G197" s="264"/>
      <c r="H197" s="89">
        <f>IF(E197&gt;0,J186/E197,0)</f>
        <v>0</v>
      </c>
      <c r="I197" s="3"/>
      <c r="J197" s="89">
        <f>H197*F197</f>
        <v>0</v>
      </c>
      <c r="K197" s="1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</row>
    <row r="198" spans="1:40" ht="15.75" thickBot="1">
      <c r="A198" s="9">
        <f t="shared" si="5"/>
        <v>156</v>
      </c>
      <c r="B198" s="3"/>
      <c r="C198" s="262" t="s">
        <v>341</v>
      </c>
      <c r="D198" s="213" t="str">
        <f>"(see above line "&amp;A193&amp;")"</f>
        <v>(see above line 151)</v>
      </c>
      <c r="E198" s="4">
        <f>+J193</f>
        <v>475334282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66">
        <f>H198*F198</f>
        <v>6.1559999999999997E-2</v>
      </c>
      <c r="K198" s="1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815256312</v>
      </c>
      <c r="F199" s="1" t="s">
        <v>194</v>
      </c>
      <c r="G199" s="1"/>
      <c r="H199" s="1"/>
      <c r="I199" s="1" t="s">
        <v>357</v>
      </c>
      <c r="J199" s="89">
        <f>SUM(J196:J198)</f>
        <v>8.7839965026097311E-2</v>
      </c>
      <c r="K199" s="265"/>
      <c r="L199" s="330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67">
        <f>J1</f>
        <v>44347</v>
      </c>
      <c r="K200" s="265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</row>
    <row r="201" spans="1:40">
      <c r="A201" s="3"/>
      <c r="B201" s="3"/>
      <c r="C201" s="3"/>
      <c r="D201" s="3"/>
      <c r="E201" s="3"/>
      <c r="F201" s="1"/>
      <c r="G201" s="1"/>
      <c r="I201" s="173" t="str">
        <f>$I$2</f>
        <v>Service Year</v>
      </c>
      <c r="J201" s="75">
        <f>$J$2</f>
        <v>2020</v>
      </c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</row>
    <row r="203" spans="1:40" ht="15.75">
      <c r="A203" s="340" t="s">
        <v>321</v>
      </c>
      <c r="B203" s="340"/>
      <c r="C203" s="340"/>
      <c r="D203" s="340"/>
      <c r="E203" s="340"/>
      <c r="F203" s="340"/>
      <c r="G203" s="340"/>
      <c r="H203" s="340"/>
      <c r="I203" s="340"/>
      <c r="J203" s="340"/>
      <c r="K203" s="340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</row>
    <row r="204" spans="1:40" ht="15.75">
      <c r="A204" s="341" t="s">
        <v>195</v>
      </c>
      <c r="B204" s="341"/>
      <c r="C204" s="341"/>
      <c r="D204" s="341"/>
      <c r="E204" s="341"/>
      <c r="F204" s="341"/>
      <c r="G204" s="341"/>
      <c r="H204" s="341"/>
      <c r="I204" s="341"/>
      <c r="J204" s="341"/>
      <c r="K204" s="341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</row>
    <row r="206" spans="1:40" ht="15.75">
      <c r="A206" s="342" t="s">
        <v>320</v>
      </c>
      <c r="B206" s="342"/>
      <c r="C206" s="342"/>
      <c r="D206" s="342"/>
      <c r="E206" s="342"/>
      <c r="F206" s="342"/>
      <c r="G206" s="342"/>
      <c r="H206" s="342"/>
      <c r="I206" s="342"/>
      <c r="J206" s="342"/>
      <c r="K206" s="342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</row>
    <row r="207" spans="1:40">
      <c r="A207" s="9"/>
      <c r="B207" s="2"/>
      <c r="C207" s="268"/>
      <c r="D207" s="9"/>
      <c r="E207" s="1"/>
      <c r="F207" s="1"/>
      <c r="G207" s="1"/>
      <c r="H207" s="1"/>
      <c r="I207" s="2"/>
      <c r="J207" s="269"/>
      <c r="K207" s="270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</row>
    <row r="212" spans="1:40" ht="15.75" thickBot="1">
      <c r="A212" s="182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71"/>
      <c r="K221" s="2"/>
      <c r="L221" s="185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71"/>
      <c r="K222" s="2"/>
      <c r="L222" s="272"/>
      <c r="M222" s="2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71"/>
      <c r="K223" s="2"/>
      <c r="L223" s="273"/>
      <c r="M223" s="2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71"/>
      <c r="K224" s="2"/>
      <c r="L224" s="208"/>
      <c r="M224" s="2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71"/>
      <c r="K225" s="2"/>
      <c r="L225" s="208"/>
      <c r="M225" s="2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71"/>
      <c r="J226" s="271"/>
      <c r="K226" s="2"/>
      <c r="L226" s="208"/>
      <c r="M226" s="2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08"/>
      <c r="M227" s="271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74"/>
      <c r="K228" s="2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</row>
    <row r="232" spans="1:40">
      <c r="A232" s="9" t="s">
        <v>194</v>
      </c>
      <c r="B232" s="2"/>
      <c r="C232" s="2" t="s">
        <v>288</v>
      </c>
      <c r="D232" s="2" t="s">
        <v>281</v>
      </c>
      <c r="E232" s="275">
        <v>0.21</v>
      </c>
      <c r="F232" s="2"/>
      <c r="G232" s="2"/>
      <c r="H232" s="2"/>
      <c r="I232" s="2"/>
      <c r="J232" s="2"/>
      <c r="K232" s="2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</row>
    <row r="233" spans="1:40">
      <c r="A233" s="9"/>
      <c r="B233" s="2"/>
      <c r="C233" s="2"/>
      <c r="D233" s="2" t="s">
        <v>282</v>
      </c>
      <c r="E233" s="275">
        <v>0</v>
      </c>
      <c r="F233" s="2" t="s">
        <v>283</v>
      </c>
      <c r="G233" s="2"/>
      <c r="H233" s="2"/>
      <c r="I233" s="2"/>
      <c r="J233" s="2"/>
      <c r="K233" s="2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</row>
    <row r="234" spans="1:40">
      <c r="A234" s="9"/>
      <c r="B234" s="2"/>
      <c r="C234" s="2"/>
      <c r="D234" s="2" t="s">
        <v>284</v>
      </c>
      <c r="E234" s="275">
        <v>0</v>
      </c>
      <c r="F234" s="2" t="s">
        <v>285</v>
      </c>
      <c r="G234" s="2"/>
      <c r="H234" s="2"/>
      <c r="I234" s="2"/>
      <c r="J234" s="2"/>
      <c r="K234" s="2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</row>
    <row r="235" spans="1:40">
      <c r="A235" s="276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77" t="s">
        <v>267</v>
      </c>
      <c r="C237" s="96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P77"/>
  <sheetViews>
    <sheetView zoomScaleNormal="100" zoomScalePageLayoutView="81" workbookViewId="0">
      <selection activeCell="M16" sqref="M16"/>
    </sheetView>
  </sheetViews>
  <sheetFormatPr defaultRowHeight="12.75"/>
  <cols>
    <col min="1" max="1" width="3.777343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777343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195">
        <f>+'True-Up'!J1</f>
        <v>44347</v>
      </c>
      <c r="P3" s="48"/>
    </row>
    <row r="4" spans="1:16">
      <c r="L4" s="82"/>
      <c r="M4" s="82"/>
      <c r="N4" s="82" t="s">
        <v>166</v>
      </c>
      <c r="O4" s="196">
        <f>+'True-Up'!J2</f>
        <v>2020</v>
      </c>
    </row>
    <row r="5" spans="1:16" ht="15.75">
      <c r="A5" s="344" t="s">
        <v>432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</row>
    <row r="6" spans="1:16">
      <c r="A6" s="158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59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-1499459.0874348059</v>
      </c>
      <c r="N52" s="71">
        <f>+'BHP Sch. 1'!D22</f>
        <v>-495397</v>
      </c>
      <c r="O52" s="197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198"/>
      <c r="L53" s="60"/>
      <c r="M53" s="199">
        <f>ROUND((1+$K$77)^18,2)</f>
        <v>1.06</v>
      </c>
      <c r="N53" s="199">
        <f>ROUND((1+$K$77)^18,2)</f>
        <v>1.06</v>
      </c>
      <c r="O53" s="197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198"/>
      <c r="L54" s="60"/>
      <c r="M54" s="200">
        <f>+M52*M53</f>
        <v>-1589426.6326808943</v>
      </c>
      <c r="N54" s="200">
        <f>+N52*N53</f>
        <v>-525120.82000000007</v>
      </c>
      <c r="O54" s="197"/>
    </row>
    <row r="55" spans="1:15">
      <c r="A55" s="56">
        <f t="shared" si="0"/>
        <v>48</v>
      </c>
      <c r="K55" s="201"/>
      <c r="O55" s="201"/>
    </row>
    <row r="56" spans="1:15">
      <c r="A56" s="56">
        <f t="shared" si="0"/>
        <v>49</v>
      </c>
      <c r="E56" s="32" t="s">
        <v>154</v>
      </c>
      <c r="F56" s="32" t="s">
        <v>176</v>
      </c>
      <c r="K56" s="201"/>
      <c r="M56" s="63"/>
      <c r="O56" s="201"/>
    </row>
    <row r="57" spans="1:15">
      <c r="A57" s="56">
        <f t="shared" si="0"/>
        <v>50</v>
      </c>
      <c r="K57" s="201"/>
      <c r="N57" s="201"/>
      <c r="O57" s="201"/>
    </row>
    <row r="58" spans="1:15">
      <c r="A58" s="56">
        <f t="shared" si="0"/>
        <v>51</v>
      </c>
      <c r="D58" s="201" t="s">
        <v>177</v>
      </c>
      <c r="E58" s="201"/>
      <c r="F58" s="201"/>
      <c r="G58" s="201"/>
      <c r="H58" s="201"/>
      <c r="I58" s="201"/>
      <c r="J58" s="201"/>
      <c r="K58" s="201"/>
    </row>
    <row r="59" spans="1:15">
      <c r="A59" s="56">
        <f t="shared" si="0"/>
        <v>52</v>
      </c>
      <c r="D59" s="201"/>
      <c r="E59" s="201"/>
      <c r="F59" s="201"/>
      <c r="G59" s="201"/>
      <c r="H59" s="201"/>
      <c r="I59" s="201"/>
      <c r="J59" s="201"/>
      <c r="K59" s="35" t="s">
        <v>11</v>
      </c>
    </row>
    <row r="60" spans="1:15">
      <c r="A60" s="56">
        <f t="shared" si="0"/>
        <v>53</v>
      </c>
      <c r="D60" s="201"/>
      <c r="E60" s="202" t="s">
        <v>187</v>
      </c>
      <c r="F60" s="35"/>
      <c r="G60" s="35"/>
      <c r="H60" s="202" t="s">
        <v>188</v>
      </c>
      <c r="I60" s="203"/>
      <c r="J60" s="201"/>
      <c r="K60" s="202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04">
        <v>4.1999999999999997E-3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04">
        <v>3.8999999999999998E-3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04">
        <v>4.1999999999999997E-3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04">
        <v>3.8999999999999998E-3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04">
        <v>4.0000000000000001E-3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04">
        <v>3.8999999999999998E-3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04">
        <v>2.8999999999999998E-3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04">
        <v>2.8999999999999998E-3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04">
        <v>2.8E-3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04">
        <v>2.8E-3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04">
        <v>2.7000000000000001E-3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04">
        <v>2.8E-3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04">
        <v>2.8E-3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04">
        <v>2.5000000000000001E-3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04">
        <v>2.8E-3</v>
      </c>
    </row>
    <row r="76" spans="1:11">
      <c r="A76" s="56">
        <f>A75+1</f>
        <v>69</v>
      </c>
      <c r="E76" s="32" t="s">
        <v>190</v>
      </c>
      <c r="H76" s="32" t="s">
        <v>186</v>
      </c>
      <c r="K76" s="204">
        <v>2.7000000000000001E-3</v>
      </c>
    </row>
    <row r="77" spans="1:11">
      <c r="A77" s="56">
        <f>A76+1</f>
        <v>70</v>
      </c>
      <c r="F77" s="32" t="s">
        <v>184</v>
      </c>
      <c r="K77" s="205">
        <f>ROUND(AVERAGE(K61:K76),6)</f>
        <v>3.238E-3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H34"/>
  <sheetViews>
    <sheetView zoomScaleNormal="100" workbookViewId="0">
      <selection activeCell="H22" sqref="H22"/>
    </sheetView>
  </sheetViews>
  <sheetFormatPr defaultColWidth="7.109375" defaultRowHeight="12.75"/>
  <cols>
    <col min="1" max="1" width="10.21875" style="5" customWidth="1"/>
    <col min="2" max="2" width="3.5546875" style="5" customWidth="1"/>
    <col min="3" max="4" width="1.77734375" style="5" customWidth="1"/>
    <col min="5" max="5" width="4" style="5" customWidth="1"/>
    <col min="6" max="6" width="24.21875" style="5" customWidth="1"/>
    <col min="7" max="7" width="1.88671875" style="5" customWidth="1"/>
    <col min="8" max="8" width="8.21875" style="186" customWidth="1"/>
    <col min="9" max="9" width="8.21875" style="5" customWidth="1"/>
    <col min="10" max="16384" width="7.109375" style="5"/>
  </cols>
  <sheetData>
    <row r="3" spans="1:8">
      <c r="F3" s="34"/>
    </row>
    <row r="4" spans="1:8">
      <c r="A4" s="345" t="s">
        <v>433</v>
      </c>
      <c r="B4" s="345"/>
      <c r="C4" s="345"/>
      <c r="D4" s="345"/>
      <c r="E4" s="345"/>
      <c r="F4" s="345"/>
      <c r="G4" s="345"/>
      <c r="H4" s="345"/>
    </row>
    <row r="5" spans="1:8">
      <c r="B5" s="187" t="s">
        <v>196</v>
      </c>
      <c r="H5" s="188" t="s">
        <v>417</v>
      </c>
    </row>
    <row r="6" spans="1:8">
      <c r="B6" s="189" t="s">
        <v>197</v>
      </c>
      <c r="D6" s="190" t="s">
        <v>342</v>
      </c>
      <c r="E6" s="190"/>
      <c r="F6" s="190"/>
      <c r="H6" s="191" t="s">
        <v>172</v>
      </c>
    </row>
    <row r="7" spans="1:8">
      <c r="B7" s="81">
        <v>1</v>
      </c>
    </row>
    <row r="8" spans="1:8">
      <c r="B8" s="81">
        <v>2</v>
      </c>
      <c r="D8" s="192" t="s">
        <v>111</v>
      </c>
      <c r="E8" s="192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92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93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194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BS159"/>
  <sheetViews>
    <sheetView topLeftCell="P107" zoomScale="85" zoomScaleNormal="85" zoomScaleSheetLayoutView="85" workbookViewId="0">
      <selection activeCell="V35" sqref="V35:V157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customWidth="1"/>
    <col min="5" max="5" width="16.109375" style="76" customWidth="1"/>
    <col min="6" max="11" width="15.88671875" style="76" customWidth="1"/>
    <col min="12" max="12" width="17.6640625" style="76" bestFit="1" customWidth="1"/>
    <col min="13" max="13" width="16.109375" style="76" bestFit="1" customWidth="1"/>
    <col min="14" max="15" width="15.88671875" style="76" customWidth="1"/>
    <col min="16" max="16" width="19.6640625" style="76" bestFit="1" customWidth="1"/>
    <col min="17" max="17" width="14.88671875" style="76" bestFit="1" customWidth="1"/>
    <col min="18" max="18" width="17.77734375" style="76" customWidth="1"/>
    <col min="19" max="19" width="15.44140625" style="76" customWidth="1"/>
    <col min="20" max="20" width="14.6640625" style="76" customWidth="1"/>
    <col min="21" max="21" width="15.33203125" style="76" customWidth="1"/>
    <col min="22" max="22" width="25.6640625" style="76" bestFit="1" customWidth="1"/>
    <col min="23" max="34" width="15.5546875" style="76" bestFit="1" customWidth="1"/>
    <col min="35" max="46" width="12" style="76" bestFit="1" customWidth="1"/>
    <col min="47" max="16384" width="8.88671875" style="76"/>
  </cols>
  <sheetData>
    <row r="2" spans="1:71" ht="15.75">
      <c r="A2" s="3"/>
      <c r="B2" s="3"/>
      <c r="C2" s="3"/>
      <c r="D2" s="48"/>
      <c r="E2" s="3"/>
      <c r="F2" s="3"/>
      <c r="G2" s="3"/>
      <c r="H2" s="3"/>
      <c r="I2" s="173" t="str">
        <f>'CU AC Rate Design - True-Up'!H1</f>
        <v>Date: May 31, 2021</v>
      </c>
      <c r="J2" s="3"/>
      <c r="K2" s="3"/>
      <c r="L2" s="3"/>
      <c r="O2" s="75"/>
      <c r="R2" s="174" t="str">
        <f>I2</f>
        <v>Date: May 31, 2021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</row>
    <row r="3" spans="1:7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71" ht="15" customHeight="1">
      <c r="A4" s="340" t="s">
        <v>321</v>
      </c>
      <c r="B4" s="340"/>
      <c r="C4" s="340"/>
      <c r="D4" s="340"/>
      <c r="E4" s="340"/>
      <c r="F4" s="340"/>
      <c r="G4" s="340"/>
      <c r="H4" s="340"/>
      <c r="I4" s="340"/>
      <c r="J4" s="340" t="s">
        <v>321</v>
      </c>
      <c r="K4" s="340"/>
      <c r="L4" s="340"/>
      <c r="M4" s="340"/>
      <c r="N4" s="340"/>
      <c r="O4" s="340"/>
      <c r="P4" s="340"/>
      <c r="Q4" s="340"/>
      <c r="R4" s="340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</row>
    <row r="5" spans="1:71" ht="15.75">
      <c r="A5" s="341" t="s">
        <v>195</v>
      </c>
      <c r="B5" s="341"/>
      <c r="C5" s="341"/>
      <c r="D5" s="341"/>
      <c r="E5" s="341"/>
      <c r="F5" s="341"/>
      <c r="G5" s="341"/>
      <c r="H5" s="341"/>
      <c r="I5" s="341"/>
      <c r="J5" s="341" t="s">
        <v>195</v>
      </c>
      <c r="K5" s="341"/>
      <c r="L5" s="341"/>
      <c r="M5" s="341"/>
      <c r="N5" s="341"/>
      <c r="O5" s="341"/>
      <c r="P5" s="341"/>
      <c r="Q5" s="341"/>
      <c r="R5" s="341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</row>
    <row r="6" spans="1:71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</row>
    <row r="7" spans="1:71" ht="15" customHeight="1">
      <c r="A7" s="342" t="s">
        <v>320</v>
      </c>
      <c r="B7" s="342"/>
      <c r="C7" s="342"/>
      <c r="D7" s="342"/>
      <c r="E7" s="342"/>
      <c r="F7" s="342"/>
      <c r="G7" s="342"/>
      <c r="H7" s="342"/>
      <c r="I7" s="342"/>
      <c r="J7" s="342" t="s">
        <v>320</v>
      </c>
      <c r="K7" s="342"/>
      <c r="L7" s="342"/>
      <c r="M7" s="342"/>
      <c r="N7" s="342"/>
      <c r="O7" s="342"/>
      <c r="P7" s="342"/>
      <c r="Q7" s="342"/>
      <c r="R7" s="342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</row>
    <row r="8" spans="1:71">
      <c r="A8" s="9"/>
      <c r="B8" s="3"/>
      <c r="C8" s="75"/>
      <c r="D8" s="75"/>
      <c r="E8" s="177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</row>
    <row r="9" spans="1:71">
      <c r="A9" s="3"/>
      <c r="B9" s="3"/>
      <c r="C9" s="178"/>
      <c r="D9" s="178"/>
      <c r="E9" s="178"/>
      <c r="F9" s="1"/>
      <c r="G9" s="1"/>
      <c r="H9" s="1"/>
      <c r="I9" s="1"/>
      <c r="J9" s="1"/>
      <c r="K9" s="1"/>
      <c r="L9" s="178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</row>
    <row r="10" spans="1:71" ht="15.75">
      <c r="A10" s="3"/>
      <c r="B10" s="3"/>
      <c r="C10" s="97"/>
      <c r="D10" s="176" t="s">
        <v>206</v>
      </c>
      <c r="E10" s="1"/>
      <c r="F10" s="1"/>
      <c r="G10" s="1"/>
      <c r="H10" s="1"/>
      <c r="I10" s="1"/>
      <c r="J10" s="1"/>
      <c r="K10" s="1"/>
      <c r="L10" s="178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1" ht="15.75">
      <c r="A11" s="9" t="s">
        <v>196</v>
      </c>
      <c r="B11" s="3"/>
      <c r="C11" s="97"/>
      <c r="D11" s="179" t="s">
        <v>208</v>
      </c>
      <c r="E11" s="175" t="s">
        <v>209</v>
      </c>
      <c r="F11" s="180"/>
      <c r="G11" s="180"/>
      <c r="H11" s="180"/>
      <c r="I11" s="180"/>
      <c r="J11" s="180"/>
      <c r="K11" s="180"/>
      <c r="L11" s="178"/>
      <c r="O11" s="93"/>
      <c r="P11" s="93"/>
      <c r="Q11" s="181"/>
      <c r="R11" s="93"/>
      <c r="S11" s="93"/>
      <c r="T11" s="93"/>
      <c r="U11" s="185" t="s">
        <v>449</v>
      </c>
      <c r="V11" s="93"/>
      <c r="W11" s="349"/>
      <c r="X11" s="349"/>
      <c r="Y11" s="349"/>
      <c r="Z11" s="349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1" ht="16.5" thickBot="1">
      <c r="A12" s="182" t="s">
        <v>197</v>
      </c>
      <c r="B12" s="3"/>
      <c r="C12" s="183" t="s">
        <v>211</v>
      </c>
      <c r="D12" s="1"/>
      <c r="E12" s="184" t="s">
        <v>26</v>
      </c>
      <c r="F12" s="184" t="s">
        <v>27</v>
      </c>
      <c r="G12" s="184" t="s">
        <v>28</v>
      </c>
      <c r="H12" s="184" t="s">
        <v>29</v>
      </c>
      <c r="I12" s="184" t="s">
        <v>30</v>
      </c>
      <c r="J12" s="184" t="s">
        <v>31</v>
      </c>
      <c r="K12" s="184" t="s">
        <v>32</v>
      </c>
      <c r="L12" s="184" t="s">
        <v>33</v>
      </c>
      <c r="M12" s="184" t="s">
        <v>145</v>
      </c>
      <c r="N12" s="184" t="s">
        <v>34</v>
      </c>
      <c r="O12" s="184" t="s">
        <v>35</v>
      </c>
      <c r="P12" s="184" t="s">
        <v>36</v>
      </c>
      <c r="Q12" s="184" t="s">
        <v>37</v>
      </c>
      <c r="R12" s="184" t="s">
        <v>38</v>
      </c>
      <c r="S12" s="93"/>
      <c r="T12" s="93"/>
      <c r="U12" s="93"/>
      <c r="V12" s="93"/>
      <c r="W12" s="350"/>
      <c r="X12" s="350"/>
      <c r="Y12" s="350"/>
      <c r="Z12" s="350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</row>
    <row r="13" spans="1:71">
      <c r="A13" s="9"/>
      <c r="B13" s="3"/>
      <c r="C13" s="97"/>
      <c r="D13" s="1"/>
      <c r="E13" s="74">
        <v>43800</v>
      </c>
      <c r="F13" s="74">
        <v>43831</v>
      </c>
      <c r="G13" s="74">
        <v>43862</v>
      </c>
      <c r="H13" s="74">
        <v>43891</v>
      </c>
      <c r="I13" s="74">
        <v>43922</v>
      </c>
      <c r="J13" s="74">
        <v>43952</v>
      </c>
      <c r="K13" s="74">
        <v>43983</v>
      </c>
      <c r="L13" s="74">
        <v>44013</v>
      </c>
      <c r="M13" s="74">
        <v>44044</v>
      </c>
      <c r="N13" s="74">
        <v>44075</v>
      </c>
      <c r="O13" s="74">
        <v>44105</v>
      </c>
      <c r="P13" s="74">
        <v>44136</v>
      </c>
      <c r="Q13" s="74">
        <v>44166</v>
      </c>
      <c r="R13" s="19" t="s">
        <v>25</v>
      </c>
      <c r="S13" s="93"/>
      <c r="T13" s="93"/>
      <c r="U13" s="93"/>
      <c r="V13" s="93"/>
      <c r="X13" s="185"/>
      <c r="Z13" s="185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71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93"/>
      <c r="T14" s="1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</row>
    <row r="15" spans="1:71">
      <c r="A15" s="9">
        <v>1</v>
      </c>
      <c r="B15" s="3"/>
      <c r="C15" s="97" t="s">
        <v>213</v>
      </c>
      <c r="D15" s="1" t="s">
        <v>73</v>
      </c>
      <c r="E15" s="19">
        <v>616237304.53999996</v>
      </c>
      <c r="F15" s="19">
        <v>617056152.54000008</v>
      </c>
      <c r="G15" s="19">
        <v>614528547.56999993</v>
      </c>
      <c r="H15" s="19">
        <v>610774827.05000007</v>
      </c>
      <c r="I15" s="19">
        <v>610033407.78999996</v>
      </c>
      <c r="J15" s="19">
        <v>608657491.66999996</v>
      </c>
      <c r="K15" s="19">
        <v>608669961.19000006</v>
      </c>
      <c r="L15" s="19">
        <v>605779928.83000004</v>
      </c>
      <c r="M15" s="19">
        <v>606177058.6400001</v>
      </c>
      <c r="N15" s="19">
        <v>606206517.09000003</v>
      </c>
      <c r="O15" s="19">
        <v>606625884.47000015</v>
      </c>
      <c r="P15" s="19">
        <v>658256377.33999991</v>
      </c>
      <c r="Q15" s="19">
        <v>663360946.57999992</v>
      </c>
      <c r="R15" s="19">
        <f t="shared" ref="R15:R21" si="0">AVERAGE(E15:Q15)</f>
        <v>617874185.02307701</v>
      </c>
      <c r="S15" s="93"/>
      <c r="T15" s="1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</row>
    <row r="16" spans="1:71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235135831.94</v>
      </c>
      <c r="F16" s="19">
        <v>235538606.77000001</v>
      </c>
      <c r="G16" s="19">
        <v>235841095.73999998</v>
      </c>
      <c r="H16" s="19">
        <v>236219400.45000002</v>
      </c>
      <c r="I16" s="19">
        <v>236620295.13</v>
      </c>
      <c r="J16" s="19">
        <v>234677363.19000003</v>
      </c>
      <c r="K16" s="19">
        <v>234788635.29000005</v>
      </c>
      <c r="L16" s="19">
        <v>237708817.61000004</v>
      </c>
      <c r="M16" s="19">
        <v>237741571.29000002</v>
      </c>
      <c r="N16" s="19">
        <v>234479703.71000004</v>
      </c>
      <c r="O16" s="19">
        <v>234474425.53999999</v>
      </c>
      <c r="P16" s="19">
        <v>235297783.08000001</v>
      </c>
      <c r="Q16" s="19">
        <v>241146841.09</v>
      </c>
      <c r="R16" s="19">
        <f t="shared" si="0"/>
        <v>236128490.06384617</v>
      </c>
      <c r="S16" s="93"/>
      <c r="T16" s="1"/>
      <c r="U16" s="284">
        <v>43831</v>
      </c>
      <c r="V16" s="285"/>
      <c r="W16" s="284">
        <v>43862</v>
      </c>
      <c r="X16" s="285"/>
      <c r="Y16" s="284">
        <v>43891</v>
      </c>
      <c r="Z16" s="285"/>
      <c r="AA16" s="284">
        <v>43922</v>
      </c>
      <c r="AB16" s="285"/>
      <c r="AC16" s="284">
        <v>43952</v>
      </c>
      <c r="AD16" s="285"/>
      <c r="AE16" s="284">
        <v>43983</v>
      </c>
      <c r="AF16" s="285"/>
      <c r="AG16" s="284">
        <v>44013</v>
      </c>
      <c r="AH16" s="285"/>
      <c r="AI16" s="284">
        <v>44044</v>
      </c>
      <c r="AJ16" s="285"/>
      <c r="AK16" s="284">
        <v>44075</v>
      </c>
      <c r="AL16" s="285"/>
      <c r="AM16" s="284">
        <v>44105</v>
      </c>
      <c r="AN16" s="285"/>
      <c r="AO16" s="284">
        <v>44136</v>
      </c>
      <c r="AP16" s="285"/>
      <c r="AQ16" s="284">
        <v>44166</v>
      </c>
      <c r="AR16" s="285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</row>
    <row r="17" spans="1:71">
      <c r="A17" s="9">
        <f t="shared" si="1"/>
        <v>3</v>
      </c>
      <c r="B17" s="3"/>
      <c r="C17" s="97" t="s">
        <v>216</v>
      </c>
      <c r="D17" s="1" t="s">
        <v>121</v>
      </c>
      <c r="E17" s="19">
        <v>431783061.49999988</v>
      </c>
      <c r="F17" s="19">
        <v>432768056.08999997</v>
      </c>
      <c r="G17" s="19">
        <v>433459577.29000002</v>
      </c>
      <c r="H17" s="19">
        <v>434956882.33999997</v>
      </c>
      <c r="I17" s="19">
        <v>439491872.01000011</v>
      </c>
      <c r="J17" s="19">
        <v>445893666.25999999</v>
      </c>
      <c r="K17" s="19">
        <v>445914558.61000007</v>
      </c>
      <c r="L17" s="19">
        <v>450068948.72999996</v>
      </c>
      <c r="M17" s="19">
        <v>457366938.97000015</v>
      </c>
      <c r="N17" s="19">
        <v>462050217.28000003</v>
      </c>
      <c r="O17" s="19">
        <v>471260194.82000005</v>
      </c>
      <c r="P17" s="19">
        <v>474658331.00000006</v>
      </c>
      <c r="Q17" s="19">
        <v>473031181.0200001</v>
      </c>
      <c r="R17" s="19">
        <f t="shared" si="0"/>
        <v>450207960.45538461</v>
      </c>
      <c r="S17" s="93"/>
      <c r="T17" s="1"/>
      <c r="U17" s="286" t="s">
        <v>450</v>
      </c>
      <c r="V17" s="286" t="s">
        <v>451</v>
      </c>
      <c r="W17" s="286" t="s">
        <v>450</v>
      </c>
      <c r="X17" s="286" t="s">
        <v>451</v>
      </c>
      <c r="Y17" s="286" t="s">
        <v>450</v>
      </c>
      <c r="Z17" s="286" t="s">
        <v>451</v>
      </c>
      <c r="AA17" s="286" t="s">
        <v>450</v>
      </c>
      <c r="AB17" s="286" t="s">
        <v>451</v>
      </c>
      <c r="AC17" s="286" t="s">
        <v>450</v>
      </c>
      <c r="AD17" s="286" t="s">
        <v>451</v>
      </c>
      <c r="AE17" s="286" t="s">
        <v>450</v>
      </c>
      <c r="AF17" s="286" t="s">
        <v>451</v>
      </c>
      <c r="AG17" s="286" t="s">
        <v>450</v>
      </c>
      <c r="AH17" s="286" t="s">
        <v>451</v>
      </c>
      <c r="AI17" s="286" t="s">
        <v>450</v>
      </c>
      <c r="AJ17" s="286" t="s">
        <v>451</v>
      </c>
      <c r="AK17" s="286" t="s">
        <v>450</v>
      </c>
      <c r="AL17" s="286" t="s">
        <v>451</v>
      </c>
      <c r="AM17" s="286" t="s">
        <v>450</v>
      </c>
      <c r="AN17" s="286" t="s">
        <v>451</v>
      </c>
      <c r="AO17" s="286" t="s">
        <v>450</v>
      </c>
      <c r="AP17" s="286" t="s">
        <v>451</v>
      </c>
      <c r="AQ17" s="286" t="s">
        <v>450</v>
      </c>
      <c r="AR17" s="286" t="s">
        <v>451</v>
      </c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</row>
    <row r="18" spans="1:71">
      <c r="A18" s="9">
        <f t="shared" si="1"/>
        <v>4</v>
      </c>
      <c r="B18" s="3"/>
      <c r="C18" s="97" t="s">
        <v>217</v>
      </c>
      <c r="D18" s="1" t="s">
        <v>407</v>
      </c>
      <c r="E18" s="19">
        <v>51072235.319999993</v>
      </c>
      <c r="F18" s="19">
        <f>126862508-U18</f>
        <v>50906875.210000008</v>
      </c>
      <c r="G18" s="19">
        <f>126912620-W18</f>
        <v>51496544.460000008</v>
      </c>
      <c r="H18" s="19">
        <f>126992791-Y18</f>
        <v>51687637.170000002</v>
      </c>
      <c r="I18" s="19">
        <f>127185462-AA18</f>
        <v>51881060.170000002</v>
      </c>
      <c r="J18" s="19">
        <f>127275777-AC18</f>
        <v>51971375.170000002</v>
      </c>
      <c r="K18" s="19">
        <f>127394288-AE18</f>
        <v>52047774.610000014</v>
      </c>
      <c r="L18" s="19">
        <f>127766060-AG18</f>
        <v>52357202.150000006</v>
      </c>
      <c r="M18" s="19">
        <f>128254935-AI18</f>
        <v>52842613.88000001</v>
      </c>
      <c r="N18" s="19">
        <f>128206927-AK18</f>
        <v>52790086.890000001</v>
      </c>
      <c r="O18" s="19">
        <f>129252456-AM18</f>
        <v>53835504.109999999</v>
      </c>
      <c r="P18" s="19">
        <f>131919448-AO18</f>
        <v>56519131.470000014</v>
      </c>
      <c r="Q18" s="19">
        <f>136018877-AQ18</f>
        <v>60489131.510000005</v>
      </c>
      <c r="R18" s="19">
        <f t="shared" si="0"/>
        <v>53069013.24000001</v>
      </c>
      <c r="S18" s="93"/>
      <c r="T18" s="1"/>
      <c r="U18" s="98">
        <v>75955632.789999992</v>
      </c>
      <c r="V18" s="98">
        <v>5203622.9246366741</v>
      </c>
      <c r="W18" s="98">
        <v>75416075.539999992</v>
      </c>
      <c r="X18" s="98">
        <v>5342007.2488529664</v>
      </c>
      <c r="Y18" s="98">
        <v>75305153.829999998</v>
      </c>
      <c r="Z18" s="98">
        <v>5955086.0532478942</v>
      </c>
      <c r="AA18" s="98">
        <v>75304401.829999998</v>
      </c>
      <c r="AB18" s="98">
        <v>6175922.855630788</v>
      </c>
      <c r="AC18" s="98">
        <v>75304401.829999998</v>
      </c>
      <c r="AD18" s="98">
        <v>6400963.5443753209</v>
      </c>
      <c r="AE18" s="98">
        <v>75346513.389999986</v>
      </c>
      <c r="AF18" s="98">
        <v>6624871.0690967562</v>
      </c>
      <c r="AG18" s="98">
        <v>75408857.849999994</v>
      </c>
      <c r="AH18" s="98">
        <v>6864227.8309219209</v>
      </c>
      <c r="AI18" s="98">
        <v>75412321.11999999</v>
      </c>
      <c r="AJ18" s="98">
        <v>7087523.6651272196</v>
      </c>
      <c r="AK18" s="98">
        <v>75416840.109999999</v>
      </c>
      <c r="AL18" s="98">
        <v>7310500.9314509891</v>
      </c>
      <c r="AM18" s="98">
        <v>75416951.890000001</v>
      </c>
      <c r="AN18" s="98">
        <v>7534146.7549655791</v>
      </c>
      <c r="AO18" s="98">
        <v>75400316.529999986</v>
      </c>
      <c r="AP18" s="98">
        <v>7713533.274054789</v>
      </c>
      <c r="AQ18" s="98">
        <v>75529745.489999995</v>
      </c>
      <c r="AR18" s="98">
        <v>7812925.4287499785</v>
      </c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</row>
    <row r="19" spans="1:71">
      <c r="A19" s="9">
        <f t="shared" si="1"/>
        <v>5</v>
      </c>
      <c r="B19" s="3"/>
      <c r="C19" s="97" t="s">
        <v>137</v>
      </c>
      <c r="D19" s="1" t="s">
        <v>443</v>
      </c>
      <c r="E19" s="19">
        <v>31833271</v>
      </c>
      <c r="F19" s="19">
        <v>30725976</v>
      </c>
      <c r="G19" s="19">
        <v>31203294</v>
      </c>
      <c r="H19" s="19">
        <v>22485327</v>
      </c>
      <c r="I19" s="19">
        <v>22560249</v>
      </c>
      <c r="J19" s="19">
        <v>22529596</v>
      </c>
      <c r="K19" s="19">
        <v>22585132</v>
      </c>
      <c r="L19" s="19">
        <v>26785794</v>
      </c>
      <c r="M19" s="19">
        <v>26891037</v>
      </c>
      <c r="N19" s="19">
        <v>25854561</v>
      </c>
      <c r="O19" s="19">
        <v>26072019</v>
      </c>
      <c r="P19" s="19">
        <v>24523995</v>
      </c>
      <c r="Q19" s="19">
        <v>26026522</v>
      </c>
      <c r="R19" s="19">
        <f>AVERAGE(E19:Q19)</f>
        <v>26159751.769230768</v>
      </c>
      <c r="S19" s="93"/>
      <c r="T19" s="1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</row>
    <row r="20" spans="1:71">
      <c r="A20" s="9">
        <f t="shared" si="1"/>
        <v>6</v>
      </c>
      <c r="B20" s="3"/>
      <c r="C20" s="97" t="s">
        <v>102</v>
      </c>
      <c r="D20" s="1" t="s">
        <v>101</v>
      </c>
      <c r="E20" s="19">
        <v>7022205.6799999997</v>
      </c>
      <c r="F20" s="19">
        <v>7769749.8300000001</v>
      </c>
      <c r="G20" s="19">
        <v>7323717.5899999999</v>
      </c>
      <c r="H20" s="19">
        <v>7335249.5700000003</v>
      </c>
      <c r="I20" s="19">
        <v>7346422.7800000003</v>
      </c>
      <c r="J20" s="19">
        <v>7405150.4100000001</v>
      </c>
      <c r="K20" s="19">
        <v>7282998.3499999996</v>
      </c>
      <c r="L20" s="19">
        <v>7282829.8400000008</v>
      </c>
      <c r="M20" s="19">
        <v>7282342.1500000004</v>
      </c>
      <c r="N20" s="19">
        <v>7277905.8000000007</v>
      </c>
      <c r="O20" s="19">
        <v>7277956.3500000006</v>
      </c>
      <c r="P20" s="19">
        <v>7278047.4200000009</v>
      </c>
      <c r="Q20" s="19">
        <v>7278054.4600000009</v>
      </c>
      <c r="R20" s="19">
        <f t="shared" si="0"/>
        <v>7320202.325384615</v>
      </c>
      <c r="S20" s="93"/>
      <c r="T20" s="1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</row>
    <row r="21" spans="1:71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93"/>
      <c r="T21" s="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</row>
    <row r="22" spans="1:71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1373083909.98</v>
      </c>
      <c r="F22" s="49">
        <f>SUM(F15:F21)</f>
        <v>1374765416.4400001</v>
      </c>
      <c r="G22" s="49">
        <f t="shared" ref="G22:R22" si="2">SUM(G15:G21)</f>
        <v>1373852776.6499999</v>
      </c>
      <c r="H22" s="49">
        <f t="shared" si="2"/>
        <v>1363459323.5800002</v>
      </c>
      <c r="I22" s="49">
        <f t="shared" si="2"/>
        <v>1367933306.8800001</v>
      </c>
      <c r="J22" s="49">
        <f t="shared" si="2"/>
        <v>1371134642.7</v>
      </c>
      <c r="K22" s="49">
        <f t="shared" si="2"/>
        <v>1371289060.0500002</v>
      </c>
      <c r="L22" s="49">
        <f t="shared" si="2"/>
        <v>1379983521.1600001</v>
      </c>
      <c r="M22" s="49">
        <f t="shared" si="2"/>
        <v>1388301561.9300003</v>
      </c>
      <c r="N22" s="49">
        <f t="shared" si="2"/>
        <v>1388658991.7700002</v>
      </c>
      <c r="O22" s="49">
        <f t="shared" si="2"/>
        <v>1399545984.29</v>
      </c>
      <c r="P22" s="49">
        <f t="shared" si="2"/>
        <v>1456533665.3100002</v>
      </c>
      <c r="Q22" s="49">
        <f t="shared" si="2"/>
        <v>1471332676.6600001</v>
      </c>
      <c r="R22" s="49">
        <f t="shared" si="2"/>
        <v>1390759602.8769233</v>
      </c>
      <c r="S22" s="93"/>
      <c r="T22" s="1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</row>
    <row r="23" spans="1:71" ht="15.75" thickBot="1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93"/>
      <c r="T23" s="1"/>
      <c r="U23" s="76" t="s">
        <v>480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</row>
    <row r="24" spans="1:71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93"/>
      <c r="T24" s="1"/>
      <c r="V24" s="346" t="s">
        <v>455</v>
      </c>
      <c r="W24" s="347"/>
      <c r="X24" s="347"/>
      <c r="Y24" s="347"/>
      <c r="Z24" s="347"/>
      <c r="AA24" s="348"/>
      <c r="AC24" s="19"/>
      <c r="AD24" s="19"/>
      <c r="AE24" s="19"/>
      <c r="AF24" s="19"/>
      <c r="AG24" s="19"/>
      <c r="AH24" s="19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</row>
    <row r="25" spans="1:71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216844325.024499</v>
      </c>
      <c r="F25" s="19">
        <f>217381291.673304-X35</f>
        <v>216920717.55439132</v>
      </c>
      <c r="G25" s="19">
        <f>216154966.584554-X47</f>
        <v>215694746.26058871</v>
      </c>
      <c r="H25" s="19">
        <f>214277596.304038-X58</f>
        <v>213618796.97700423</v>
      </c>
      <c r="I25" s="19">
        <f>214008142.855094-X69</f>
        <v>213385305.81259173</v>
      </c>
      <c r="J25" s="19">
        <f>213515149.546645-X80</f>
        <v>212952504.67539704</v>
      </c>
      <c r="K25" s="19">
        <f>214792305.689838-X91</f>
        <v>214181384.62405822</v>
      </c>
      <c r="L25" s="19">
        <f>215684726.333589-X101</f>
        <v>215057283.57422039</v>
      </c>
      <c r="M25" s="19">
        <f>216995984.881983-X111</f>
        <v>216263696.00549954</v>
      </c>
      <c r="N25" s="19">
        <f>218164682.444225-X121</f>
        <v>217370139.68340984</v>
      </c>
      <c r="O25" s="19">
        <f>219572750.276046-X131</f>
        <v>218718823.57146594</v>
      </c>
      <c r="P25" s="19">
        <f>221075282.969173-X142</f>
        <v>220183332.0404807</v>
      </c>
      <c r="Q25" s="19">
        <f>219450720.716575-X153</f>
        <v>218559376.06602514</v>
      </c>
      <c r="R25" s="19">
        <f t="shared" ref="R25:R31" si="3">AVERAGE(E25:Q25)</f>
        <v>216134648.60535628</v>
      </c>
      <c r="S25" s="93"/>
      <c r="T25" s="1"/>
      <c r="V25" s="287"/>
      <c r="W25" s="288" t="s">
        <v>456</v>
      </c>
      <c r="X25" s="288" t="s">
        <v>457</v>
      </c>
      <c r="Y25" s="289"/>
      <c r="Z25" s="290"/>
      <c r="AA25" s="291"/>
      <c r="AC25" s="19"/>
      <c r="AD25" s="19"/>
      <c r="AE25" s="19"/>
      <c r="AF25" s="19"/>
      <c r="AG25" s="19"/>
      <c r="AH25" s="19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</row>
    <row r="26" spans="1:71">
      <c r="A26" s="9">
        <f t="shared" si="1"/>
        <v>12</v>
      </c>
      <c r="B26" s="3"/>
      <c r="C26" s="97" t="s">
        <v>215</v>
      </c>
      <c r="D26" s="1" t="s">
        <v>122</v>
      </c>
      <c r="E26" s="19">
        <v>52955588.904141106</v>
      </c>
      <c r="F26" s="19">
        <f>51919649+M52-X36</f>
        <v>53411211.959103376</v>
      </c>
      <c r="G26" s="19">
        <f>51969467+M53-X48</f>
        <v>53472176.834304377</v>
      </c>
      <c r="H26" s="19">
        <f>52020223+M54-X59</f>
        <v>53485456.275402166</v>
      </c>
      <c r="I26" s="19">
        <f>53338324+M55-X70</f>
        <v>54820092.358813584</v>
      </c>
      <c r="J26" s="19">
        <f>43214936+M56-X81</f>
        <v>44749793.104769669</v>
      </c>
      <c r="K26" s="19">
        <f>43656272+M57-X92</f>
        <v>45192577.504721604</v>
      </c>
      <c r="L26" s="19">
        <f>44618042+M58-X102</f>
        <v>46160604.730480283</v>
      </c>
      <c r="M26" s="19">
        <f>45064725+M59-X112</f>
        <v>46596893.603714556</v>
      </c>
      <c r="N26" s="19">
        <f>42056954+M60-X122</f>
        <v>43599756.049030729</v>
      </c>
      <c r="O26" s="19">
        <f>42493377+M61-X132</f>
        <v>44035813.340058751</v>
      </c>
      <c r="P26" s="19">
        <f>42930536+M62-X143</f>
        <v>44476785.947856553</v>
      </c>
      <c r="Q26" s="19">
        <f>42836541+M63-X154</f>
        <v>44394064.420561269</v>
      </c>
      <c r="R26" s="19">
        <f t="shared" si="3"/>
        <v>48257755.002535231</v>
      </c>
      <c r="S26" s="93"/>
      <c r="T26" s="1"/>
      <c r="U26" s="289" t="s">
        <v>463</v>
      </c>
      <c r="V26" s="292" t="s">
        <v>458</v>
      </c>
      <c r="W26" s="289" t="s">
        <v>459</v>
      </c>
      <c r="X26" s="289" t="s">
        <v>459</v>
      </c>
      <c r="Y26" s="289" t="s">
        <v>460</v>
      </c>
      <c r="Z26" s="289" t="s">
        <v>461</v>
      </c>
      <c r="AA26" s="293" t="s">
        <v>462</v>
      </c>
      <c r="AB26" s="294" t="s">
        <v>464</v>
      </c>
      <c r="AC26" s="19"/>
      <c r="AD26" s="19"/>
      <c r="AE26" s="19"/>
      <c r="AF26" s="19"/>
      <c r="AG26" s="19"/>
      <c r="AH26" s="19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</row>
    <row r="27" spans="1:71">
      <c r="A27" s="9">
        <f t="shared" si="1"/>
        <v>13</v>
      </c>
      <c r="B27" s="3"/>
      <c r="C27" s="97" t="s">
        <v>216</v>
      </c>
      <c r="D27" s="1" t="s">
        <v>123</v>
      </c>
      <c r="E27" s="19">
        <v>149989607.09983113</v>
      </c>
      <c r="F27" s="19">
        <f>150741875-X37</f>
        <v>150422492.38138175</v>
      </c>
      <c r="G27" s="19">
        <f>151708320-X49</f>
        <v>151385314.45765832</v>
      </c>
      <c r="H27" s="19">
        <f>150337852-X60</f>
        <v>149875636.26788309</v>
      </c>
      <c r="I27" s="19">
        <f>153670002-X71</f>
        <v>153222769.62764359</v>
      </c>
      <c r="J27" s="19">
        <f>154663613-X82</f>
        <v>154256050.87261206</v>
      </c>
      <c r="K27" s="19">
        <f>152291112-X93</f>
        <v>151857959.38683981</v>
      </c>
      <c r="L27" s="19">
        <f>156382180-X103</f>
        <v>155927252.71814132</v>
      </c>
      <c r="M27" s="19">
        <f>157175875-X113</f>
        <v>156645458.98652723</v>
      </c>
      <c r="N27" s="19">
        <f>154552016-X123</f>
        <v>153989146.7761139</v>
      </c>
      <c r="O27" s="19">
        <f>159163647-X133</f>
        <v>158544653.57467556</v>
      </c>
      <c r="P27" s="19">
        <f>160084747-X144</f>
        <v>159438861.2897315</v>
      </c>
      <c r="Q27" s="19">
        <f>154856429-X155</f>
        <v>154227433.02753505</v>
      </c>
      <c r="R27" s="19">
        <f>AVERAGE(E27:Q27)</f>
        <v>153829433.57435185</v>
      </c>
      <c r="S27" s="93"/>
      <c r="T27" s="1"/>
      <c r="U27" s="295">
        <v>2019</v>
      </c>
      <c r="V27" s="296">
        <v>75402185.279999986</v>
      </c>
      <c r="W27" s="297">
        <v>2196293</v>
      </c>
      <c r="X27" s="298">
        <v>-2925378.4122543996</v>
      </c>
      <c r="Y27" s="298">
        <v>-254019.602811408</v>
      </c>
      <c r="Z27" s="297">
        <v>68354497.677188575</v>
      </c>
      <c r="AA27" s="299">
        <v>69529198.145475298</v>
      </c>
      <c r="AB27" s="298">
        <v>645000</v>
      </c>
      <c r="AC27" s="19"/>
      <c r="AD27" s="19"/>
      <c r="AE27" s="19"/>
      <c r="AF27" s="19"/>
      <c r="AG27" s="19"/>
      <c r="AH27" s="19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</row>
    <row r="28" spans="1:71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v>24290489.223024126</v>
      </c>
      <c r="F28" s="19">
        <f>22783732.1842141-V18+K52-X38</f>
        <v>25822129.151476711</v>
      </c>
      <c r="G28" s="19">
        <f>23085741.7359566-X18+K53-X50</f>
        <v>26066810.02064345</v>
      </c>
      <c r="H28" s="19">
        <f>23819982.4312454-Z18+K54-X61</f>
        <v>26245366.122445501</v>
      </c>
      <c r="I28" s="19">
        <f>24228662.2028248-AB18+K55-X72</f>
        <v>26518619.732792538</v>
      </c>
      <c r="J28" s="19">
        <f>24479413.3783372-AD18+K56-X83</f>
        <v>26633261.031010434</v>
      </c>
      <c r="K28" s="19">
        <f>24583446.8156886-AF18+K57-X94</f>
        <v>26590992.363663442</v>
      </c>
      <c r="L28" s="19">
        <f>24925011.2995455-AH18+K58-X104</f>
        <v>26773880.876545895</v>
      </c>
      <c r="M28" s="19">
        <f>25301292.7949794-AJ18+K59-X114</f>
        <v>26997740.41891152</v>
      </c>
      <c r="N28" s="19">
        <f>24691695.2809832-AL18+K60-X124</f>
        <v>26244430.494853701</v>
      </c>
      <c r="O28" s="19">
        <f>25070024.1019297-AN18+K61-X134</f>
        <v>26477019.245135877</v>
      </c>
      <c r="P28" s="19">
        <f>25275359.9804752-AP18+K62-X145</f>
        <v>26588314.012590423</v>
      </c>
      <c r="Q28" s="19">
        <f>28008960.5006091-AR18+K63-X156</f>
        <v>29306963.765748475</v>
      </c>
      <c r="R28" s="19">
        <f>AVERAGE(E28:Q28)</f>
        <v>26504308.95837247</v>
      </c>
      <c r="S28" s="93"/>
      <c r="T28" s="1"/>
      <c r="U28" s="290">
        <f>U27+1</f>
        <v>2020</v>
      </c>
      <c r="V28" s="296">
        <v>75402185.279999986</v>
      </c>
      <c r="W28" s="297">
        <v>3149827.5935714291</v>
      </c>
      <c r="X28" s="298">
        <v>-2538455.9993904</v>
      </c>
      <c r="Y28" s="298">
        <v>-125631.56803339189</v>
      </c>
      <c r="Z28" s="297">
        <v>65333058.118395172</v>
      </c>
      <c r="AA28" s="299">
        <v>66843777.897791877</v>
      </c>
      <c r="AB28" s="298">
        <v>622000</v>
      </c>
      <c r="AC28" s="19"/>
      <c r="AD28" s="19"/>
      <c r="AE28" s="19"/>
      <c r="AF28" s="19"/>
      <c r="AG28" s="19"/>
      <c r="AH28" s="19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</row>
    <row r="29" spans="1:71">
      <c r="A29" s="9">
        <f t="shared" si="1"/>
        <v>15</v>
      </c>
      <c r="B29" s="3"/>
      <c r="C29" s="97" t="s">
        <v>137</v>
      </c>
      <c r="D29" s="1" t="s">
        <v>445</v>
      </c>
      <c r="E29" s="19">
        <v>14419049</v>
      </c>
      <c r="F29" s="19">
        <v>14223228</v>
      </c>
      <c r="G29" s="19">
        <v>14488805</v>
      </c>
      <c r="H29" s="19">
        <v>724680</v>
      </c>
      <c r="I29" s="19">
        <v>1017654</v>
      </c>
      <c r="J29" s="19">
        <v>1270861</v>
      </c>
      <c r="K29" s="19">
        <v>1549328</v>
      </c>
      <c r="L29" s="19">
        <v>2943024</v>
      </c>
      <c r="M29" s="19">
        <v>3255584</v>
      </c>
      <c r="N29" s="19">
        <v>3107260</v>
      </c>
      <c r="O29" s="19">
        <v>3441111</v>
      </c>
      <c r="P29" s="19">
        <v>2132476</v>
      </c>
      <c r="Q29" s="19">
        <v>1972780</v>
      </c>
      <c r="R29" s="19">
        <f>AVERAGE(E29:Q29)</f>
        <v>4965064.615384615</v>
      </c>
      <c r="S29" s="93"/>
      <c r="T29" s="1"/>
      <c r="AB29" s="19"/>
      <c r="AC29" s="19"/>
      <c r="AD29" s="19"/>
      <c r="AE29" s="19"/>
      <c r="AF29" s="19"/>
      <c r="AG29" s="19"/>
      <c r="AH29" s="19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</row>
    <row r="30" spans="1:71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v>4484534.3035359178</v>
      </c>
      <c r="F30" s="19">
        <v>2986263.537792108</v>
      </c>
      <c r="G30" s="19">
        <v>3021142.1994945812</v>
      </c>
      <c r="H30" s="19">
        <v>3055126.6039561871</v>
      </c>
      <c r="I30" s="19">
        <v>3089159.3816701747</v>
      </c>
      <c r="J30" s="19">
        <v>3123343.1664302452</v>
      </c>
      <c r="K30" s="19">
        <v>3026039.393955241</v>
      </c>
      <c r="L30" s="19">
        <v>3059705.3728972967</v>
      </c>
      <c r="M30" s="19">
        <v>3093369.9296297231</v>
      </c>
      <c r="N30" s="19">
        <v>3125592.4681721344</v>
      </c>
      <c r="O30" s="19">
        <v>3159236.7922477196</v>
      </c>
      <c r="P30" s="19">
        <v>3192881.4086204469</v>
      </c>
      <c r="Q30" s="19">
        <v>3226526.2548353998</v>
      </c>
      <c r="R30" s="19">
        <f t="shared" si="3"/>
        <v>3203301.6010182444</v>
      </c>
      <c r="S30" s="93"/>
      <c r="T30" s="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</row>
    <row r="31" spans="1:71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93"/>
      <c r="T31" s="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</row>
    <row r="32" spans="1:71" ht="15.75" thickBot="1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462983593.5550313</v>
      </c>
      <c r="F32" s="49">
        <f>SUM(F25:F31)</f>
        <v>463786042.58414531</v>
      </c>
      <c r="G32" s="49">
        <f t="shared" ref="G32:R32" si="4">SUM(G25:G31)</f>
        <v>464128994.77268946</v>
      </c>
      <c r="H32" s="49">
        <f t="shared" si="4"/>
        <v>447005062.24669117</v>
      </c>
      <c r="I32" s="49">
        <f t="shared" si="4"/>
        <v>452053600.91351163</v>
      </c>
      <c r="J32" s="49">
        <f t="shared" si="4"/>
        <v>442985813.85021943</v>
      </c>
      <c r="K32" s="49">
        <f t="shared" si="4"/>
        <v>442398281.2732383</v>
      </c>
      <c r="L32" s="49">
        <f t="shared" si="4"/>
        <v>449921751.27228516</v>
      </c>
      <c r="M32" s="49">
        <f t="shared" si="4"/>
        <v>452852742.94428259</v>
      </c>
      <c r="N32" s="49">
        <f t="shared" si="4"/>
        <v>447436325.47158027</v>
      </c>
      <c r="O32" s="49">
        <f>SUM(O25:O31)</f>
        <v>454376657.52358383</v>
      </c>
      <c r="P32" s="49">
        <f>SUM(P25:P31)</f>
        <v>456012650.69927967</v>
      </c>
      <c r="Q32" s="49">
        <f>SUM(Q25:Q31)</f>
        <v>451687143.53470534</v>
      </c>
      <c r="R32" s="49">
        <f t="shared" si="4"/>
        <v>452894512.35701871</v>
      </c>
      <c r="S32" s="1"/>
      <c r="T32" s="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</row>
    <row r="33" spans="1:71" ht="26.25" thickBot="1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1"/>
      <c r="U33" s="300"/>
      <c r="V33" s="301" t="s">
        <v>466</v>
      </c>
      <c r="W33" s="302" t="s">
        <v>467</v>
      </c>
      <c r="X33" s="302" t="s">
        <v>468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</row>
    <row r="34" spans="1:71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1"/>
      <c r="U34" s="300"/>
      <c r="V34" s="303">
        <v>43831</v>
      </c>
      <c r="W34" s="300"/>
      <c r="X34" s="304">
        <v>939932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</row>
    <row r="35" spans="1:71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19">
        <f t="shared" ref="E35:E41" si="6">+E15-E25</f>
        <v>399392979.51550096</v>
      </c>
      <c r="F35" s="19">
        <f t="shared" ref="F35:Q35" si="7">+F15-F25</f>
        <v>400135434.98560876</v>
      </c>
      <c r="G35" s="19">
        <f t="shared" si="7"/>
        <v>398833801.30941123</v>
      </c>
      <c r="H35" s="19">
        <f t="shared" si="7"/>
        <v>397156030.07299584</v>
      </c>
      <c r="I35" s="19">
        <f t="shared" si="7"/>
        <v>396648101.97740823</v>
      </c>
      <c r="J35" s="19">
        <f t="shared" si="7"/>
        <v>395704986.99460292</v>
      </c>
      <c r="K35" s="19">
        <f t="shared" si="7"/>
        <v>394488576.56594181</v>
      </c>
      <c r="L35" s="19">
        <f t="shared" si="7"/>
        <v>390722645.25577962</v>
      </c>
      <c r="M35" s="19">
        <f t="shared" si="7"/>
        <v>389913362.63450056</v>
      </c>
      <c r="N35" s="19">
        <f t="shared" si="7"/>
        <v>388836377.40659022</v>
      </c>
      <c r="O35" s="19">
        <f t="shared" si="7"/>
        <v>387907060.89853418</v>
      </c>
      <c r="P35" s="19">
        <f t="shared" si="7"/>
        <v>438073045.29951918</v>
      </c>
      <c r="Q35" s="19">
        <f t="shared" si="7"/>
        <v>444801570.51397479</v>
      </c>
      <c r="R35" s="19">
        <f>R15-R25</f>
        <v>401739536.41772074</v>
      </c>
      <c r="S35" s="1"/>
      <c r="T35" s="1"/>
      <c r="U35" s="300" t="s">
        <v>469</v>
      </c>
      <c r="V35" s="305">
        <v>217381291.67330423</v>
      </c>
      <c r="W35" s="306">
        <f>V35/$V$41</f>
        <v>0.4900079143094056</v>
      </c>
      <c r="X35" s="307">
        <f>X34*W35</f>
        <v>460574.1189126682</v>
      </c>
      <c r="Y35" s="19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</row>
    <row r="36" spans="1:71">
      <c r="A36" s="9">
        <f t="shared" si="1"/>
        <v>22</v>
      </c>
      <c r="B36" s="3"/>
      <c r="C36" s="97" t="s">
        <v>215</v>
      </c>
      <c r="D36" s="1" t="str">
        <f t="shared" si="5"/>
        <v>(line 2 - line 12)</v>
      </c>
      <c r="E36" s="19">
        <f t="shared" si="6"/>
        <v>182180243.0358589</v>
      </c>
      <c r="F36" s="19">
        <f t="shared" ref="F36:Q41" si="8">+F16-F26</f>
        <v>182127394.81089664</v>
      </c>
      <c r="G36" s="19">
        <f t="shared" si="8"/>
        <v>182368918.90569562</v>
      </c>
      <c r="H36" s="19">
        <f t="shared" si="8"/>
        <v>182733944.17459786</v>
      </c>
      <c r="I36" s="19">
        <f t="shared" si="8"/>
        <v>181800202.77118641</v>
      </c>
      <c r="J36" s="19">
        <f t="shared" si="8"/>
        <v>189927570.08523035</v>
      </c>
      <c r="K36" s="19">
        <f t="shared" si="8"/>
        <v>189596057.78527844</v>
      </c>
      <c r="L36" s="19">
        <f t="shared" si="8"/>
        <v>191548212.87951976</v>
      </c>
      <c r="M36" s="19">
        <f t="shared" si="8"/>
        <v>191144677.68628547</v>
      </c>
      <c r="N36" s="19">
        <f t="shared" si="8"/>
        <v>190879947.66096932</v>
      </c>
      <c r="O36" s="19">
        <f t="shared" si="8"/>
        <v>190438612.19994125</v>
      </c>
      <c r="P36" s="19">
        <f t="shared" si="8"/>
        <v>190820997.13214347</v>
      </c>
      <c r="Q36" s="19">
        <f t="shared" si="8"/>
        <v>196752776.66943872</v>
      </c>
      <c r="R36" s="19">
        <f t="shared" ref="R36:R41" si="9">R16-R26</f>
        <v>187870735.06131095</v>
      </c>
      <c r="S36" s="1"/>
      <c r="T36" s="1"/>
      <c r="U36" s="300" t="s">
        <v>207</v>
      </c>
      <c r="V36" s="305">
        <v>51919649.598228842</v>
      </c>
      <c r="W36" s="306">
        <f>V36/$V$41</f>
        <v>0.11703417076727031</v>
      </c>
      <c r="X36" s="307">
        <f>X34*W36</f>
        <v>110004.16219762192</v>
      </c>
      <c r="Y36" s="19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</row>
    <row r="37" spans="1:71">
      <c r="A37" s="9">
        <f t="shared" si="1"/>
        <v>23</v>
      </c>
      <c r="B37" s="3"/>
      <c r="C37" s="97" t="s">
        <v>297</v>
      </c>
      <c r="D37" s="1" t="str">
        <f t="shared" si="5"/>
        <v>(line 3 - line 13)</v>
      </c>
      <c r="E37" s="19">
        <f t="shared" si="6"/>
        <v>281793454.40016878</v>
      </c>
      <c r="F37" s="19">
        <f t="shared" si="8"/>
        <v>282345563.70861822</v>
      </c>
      <c r="G37" s="19">
        <f t="shared" si="8"/>
        <v>282074262.83234167</v>
      </c>
      <c r="H37" s="19">
        <f t="shared" si="8"/>
        <v>285081246.07211685</v>
      </c>
      <c r="I37" s="19">
        <f t="shared" si="8"/>
        <v>286269102.38235652</v>
      </c>
      <c r="J37" s="19">
        <f t="shared" si="8"/>
        <v>291637615.38738793</v>
      </c>
      <c r="K37" s="19">
        <f t="shared" si="8"/>
        <v>294056599.22316027</v>
      </c>
      <c r="L37" s="19">
        <f t="shared" si="8"/>
        <v>294141696.01185864</v>
      </c>
      <c r="M37" s="19">
        <f t="shared" si="8"/>
        <v>300721479.98347294</v>
      </c>
      <c r="N37" s="19">
        <f t="shared" si="8"/>
        <v>308061070.5038861</v>
      </c>
      <c r="O37" s="19">
        <f t="shared" si="8"/>
        <v>312715541.24532449</v>
      </c>
      <c r="P37" s="19">
        <f t="shared" si="8"/>
        <v>315219469.71026856</v>
      </c>
      <c r="Q37" s="19">
        <f t="shared" si="8"/>
        <v>318803747.99246502</v>
      </c>
      <c r="R37" s="19">
        <f t="shared" si="9"/>
        <v>296378526.88103276</v>
      </c>
      <c r="S37" s="1"/>
      <c r="T37" s="1"/>
      <c r="U37" s="300" t="s">
        <v>470</v>
      </c>
      <c r="V37" s="305">
        <v>150741874.80864733</v>
      </c>
      <c r="W37" s="306">
        <f>V37/$V$41</f>
        <v>0.3397933240045507</v>
      </c>
      <c r="X37" s="307">
        <f>X34*W37</f>
        <v>319382.61861824535</v>
      </c>
      <c r="Y37" s="19"/>
      <c r="Z37" s="98"/>
      <c r="AA37" s="98"/>
      <c r="AB37" s="98"/>
      <c r="AC37" s="98"/>
      <c r="AD37" s="98"/>
      <c r="AE37" s="98"/>
      <c r="AF37" s="98"/>
      <c r="AG37" s="98"/>
      <c r="AH37" s="98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</row>
    <row r="38" spans="1:71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5"/>
        <v>(line 4 - line 14)</v>
      </c>
      <c r="E38" s="19">
        <f t="shared" si="6"/>
        <v>26781746.096975867</v>
      </c>
      <c r="F38" s="19">
        <f t="shared" si="8"/>
        <v>25084746.058523297</v>
      </c>
      <c r="G38" s="19">
        <f t="shared" si="8"/>
        <v>25429734.439356558</v>
      </c>
      <c r="H38" s="19">
        <f t="shared" si="8"/>
        <v>25442271.0475545</v>
      </c>
      <c r="I38" s="19">
        <f t="shared" si="8"/>
        <v>25362440.437207464</v>
      </c>
      <c r="J38" s="19">
        <f t="shared" si="8"/>
        <v>25338114.138989568</v>
      </c>
      <c r="K38" s="19">
        <f t="shared" si="8"/>
        <v>25456782.246336572</v>
      </c>
      <c r="L38" s="19">
        <f t="shared" si="8"/>
        <v>25583321.273454111</v>
      </c>
      <c r="M38" s="19">
        <f t="shared" si="8"/>
        <v>25844873.46108849</v>
      </c>
      <c r="N38" s="19">
        <f t="shared" si="8"/>
        <v>26545656.395146299</v>
      </c>
      <c r="O38" s="19">
        <f t="shared" si="8"/>
        <v>27358484.864864122</v>
      </c>
      <c r="P38" s="19">
        <f t="shared" si="8"/>
        <v>29930817.45740959</v>
      </c>
      <c r="Q38" s="19">
        <f t="shared" si="8"/>
        <v>31182167.744251531</v>
      </c>
      <c r="R38" s="19">
        <f t="shared" si="9"/>
        <v>26564704.28162754</v>
      </c>
      <c r="S38" s="1"/>
      <c r="T38" s="1"/>
      <c r="U38" s="300" t="s">
        <v>471</v>
      </c>
      <c r="V38" s="305">
        <v>23585307.722006228</v>
      </c>
      <c r="W38" s="306">
        <f>V38/$V$41</f>
        <v>5.3164590918773437E-2</v>
      </c>
      <c r="X38" s="307">
        <f>X34*W38</f>
        <v>49971.100271464551</v>
      </c>
      <c r="Y38" s="19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</row>
    <row r="39" spans="1:71">
      <c r="A39" s="9">
        <f t="shared" si="1"/>
        <v>25</v>
      </c>
      <c r="B39" s="3"/>
      <c r="C39" s="97" t="s">
        <v>137</v>
      </c>
      <c r="D39" s="1" t="str">
        <f t="shared" si="5"/>
        <v>(line 5 - line 15)</v>
      </c>
      <c r="E39" s="19">
        <f t="shared" si="6"/>
        <v>17414222</v>
      </c>
      <c r="F39" s="19">
        <f t="shared" si="8"/>
        <v>16502748</v>
      </c>
      <c r="G39" s="19">
        <f t="shared" si="8"/>
        <v>16714489</v>
      </c>
      <c r="H39" s="19">
        <f t="shared" si="8"/>
        <v>21760647</v>
      </c>
      <c r="I39" s="19">
        <f t="shared" si="8"/>
        <v>21542595</v>
      </c>
      <c r="J39" s="19">
        <f t="shared" si="8"/>
        <v>21258735</v>
      </c>
      <c r="K39" s="19">
        <f t="shared" si="8"/>
        <v>21035804</v>
      </c>
      <c r="L39" s="19">
        <f t="shared" si="8"/>
        <v>23842770</v>
      </c>
      <c r="M39" s="19">
        <f t="shared" si="8"/>
        <v>23635453</v>
      </c>
      <c r="N39" s="19">
        <f t="shared" si="8"/>
        <v>22747301</v>
      </c>
      <c r="O39" s="19">
        <f t="shared" si="8"/>
        <v>22630908</v>
      </c>
      <c r="P39" s="19">
        <f t="shared" si="8"/>
        <v>22391519</v>
      </c>
      <c r="Q39" s="19">
        <f t="shared" si="8"/>
        <v>24053742</v>
      </c>
      <c r="R39" s="19">
        <f t="shared" si="9"/>
        <v>21194687.153846152</v>
      </c>
      <c r="S39" s="1"/>
      <c r="T39" s="1"/>
      <c r="U39" s="300"/>
      <c r="V39" s="305"/>
      <c r="W39" s="306"/>
      <c r="X39" s="307"/>
      <c r="Y39" s="19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</row>
    <row r="40" spans="1:71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5"/>
        <v>(line 6 - line 16)</v>
      </c>
      <c r="E40" s="19">
        <f t="shared" si="6"/>
        <v>2537671.3764640819</v>
      </c>
      <c r="F40" s="19">
        <f t="shared" si="8"/>
        <v>4783486.2922078921</v>
      </c>
      <c r="G40" s="19">
        <f t="shared" si="8"/>
        <v>4302575.3905054182</v>
      </c>
      <c r="H40" s="19">
        <f t="shared" si="8"/>
        <v>4280122.9660438132</v>
      </c>
      <c r="I40" s="19">
        <f t="shared" si="8"/>
        <v>4257263.3983298261</v>
      </c>
      <c r="J40" s="19">
        <f t="shared" si="8"/>
        <v>4281807.243569755</v>
      </c>
      <c r="K40" s="19">
        <f t="shared" si="8"/>
        <v>4256958.9560447587</v>
      </c>
      <c r="L40" s="19">
        <f t="shared" si="8"/>
        <v>4223124.4671027046</v>
      </c>
      <c r="M40" s="19">
        <f t="shared" si="8"/>
        <v>4188972.2203702773</v>
      </c>
      <c r="N40" s="19">
        <f t="shared" si="8"/>
        <v>4152313.3318278664</v>
      </c>
      <c r="O40" s="19">
        <f t="shared" si="8"/>
        <v>4118719.557752281</v>
      </c>
      <c r="P40" s="19">
        <f t="shared" si="8"/>
        <v>4085166.0113795539</v>
      </c>
      <c r="Q40" s="19">
        <f>+Q20-Q30</f>
        <v>4051528.2051646011</v>
      </c>
      <c r="R40" s="19">
        <f t="shared" si="9"/>
        <v>4116900.7243663706</v>
      </c>
      <c r="S40" s="1"/>
      <c r="T40" s="1"/>
      <c r="U40" s="300"/>
      <c r="V40" s="308"/>
      <c r="W40" s="306"/>
      <c r="X40" s="304"/>
      <c r="Y40" s="19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</row>
    <row r="41" spans="1:71">
      <c r="A41" s="9">
        <f t="shared" si="1"/>
        <v>27</v>
      </c>
      <c r="B41" s="3"/>
      <c r="C41" s="97" t="str">
        <f>+C31</f>
        <v xml:space="preserve">  Common</v>
      </c>
      <c r="D41" s="1" t="str">
        <f t="shared" si="5"/>
        <v>(line 7 - line 17)</v>
      </c>
      <c r="E41" s="19">
        <f t="shared" si="6"/>
        <v>0</v>
      </c>
      <c r="F41" s="19">
        <f t="shared" si="8"/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9">
        <f t="shared" si="8"/>
        <v>0</v>
      </c>
      <c r="L41" s="19">
        <f t="shared" si="8"/>
        <v>0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0</v>
      </c>
      <c r="R41" s="47">
        <f t="shared" si="9"/>
        <v>0</v>
      </c>
      <c r="S41" s="1"/>
      <c r="T41" s="1"/>
      <c r="U41" s="300"/>
      <c r="V41" s="310">
        <f>SUM(V35:V38)</f>
        <v>443628123.80218661</v>
      </c>
      <c r="W41" s="310">
        <f>SUM(W35:W38)</f>
        <v>1</v>
      </c>
      <c r="X41" s="310">
        <f>SUM(X35:X38)</f>
        <v>939932</v>
      </c>
      <c r="Y41" s="19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</row>
    <row r="42" spans="1:71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910100316.42496872</v>
      </c>
      <c r="F42" s="49">
        <f t="shared" ref="F42:Q42" si="10">SUM(F35:F41)</f>
        <v>910979373.85585475</v>
      </c>
      <c r="G42" s="49">
        <f t="shared" si="10"/>
        <v>909723781.87731051</v>
      </c>
      <c r="H42" s="49">
        <f t="shared" si="10"/>
        <v>916454261.33330882</v>
      </c>
      <c r="I42" s="49">
        <f t="shared" si="10"/>
        <v>915879705.96648848</v>
      </c>
      <c r="J42" s="49">
        <f t="shared" si="10"/>
        <v>928148828.84978056</v>
      </c>
      <c r="K42" s="49">
        <f t="shared" si="10"/>
        <v>928890778.77676189</v>
      </c>
      <c r="L42" s="49">
        <f t="shared" si="10"/>
        <v>930061769.88771486</v>
      </c>
      <c r="M42" s="49">
        <f t="shared" si="10"/>
        <v>935448818.98571777</v>
      </c>
      <c r="N42" s="49">
        <f t="shared" si="10"/>
        <v>941222666.29841971</v>
      </c>
      <c r="O42" s="49">
        <f t="shared" si="10"/>
        <v>945169326.76641631</v>
      </c>
      <c r="P42" s="49">
        <f t="shared" si="10"/>
        <v>1000521014.6107205</v>
      </c>
      <c r="Q42" s="49">
        <f t="shared" si="10"/>
        <v>1019645533.1252946</v>
      </c>
      <c r="R42" s="49">
        <f>SUM(R35:R41)</f>
        <v>937865090.51990461</v>
      </c>
      <c r="S42" s="1"/>
      <c r="T42" s="1"/>
      <c r="U42" s="300"/>
      <c r="V42" s="300"/>
      <c r="W42" s="300"/>
      <c r="X42" s="300"/>
      <c r="Y42" s="19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</row>
    <row r="43" spans="1:71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"/>
      <c r="U43" s="300"/>
      <c r="V43" s="300"/>
      <c r="W43" s="300"/>
      <c r="X43" s="300"/>
      <c r="Y43" s="19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</row>
    <row r="44" spans="1:71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"/>
      <c r="U44" s="300"/>
      <c r="V44" s="300"/>
      <c r="W44" s="300"/>
      <c r="X44" s="300"/>
      <c r="Y44" s="19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</row>
    <row r="45" spans="1:71" ht="18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00"/>
      <c r="V45" s="300"/>
      <c r="W45" s="300"/>
      <c r="X45" s="300"/>
      <c r="Y45" s="19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</row>
    <row r="46" spans="1:71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300"/>
      <c r="V46" s="303">
        <v>43862</v>
      </c>
      <c r="W46" s="300"/>
      <c r="X46" s="304">
        <v>944756</v>
      </c>
      <c r="Y46" s="19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</row>
    <row r="47" spans="1:71" ht="23.25">
      <c r="A47" s="9"/>
      <c r="B47" s="3"/>
      <c r="C47" s="97"/>
      <c r="D47" s="1"/>
      <c r="E47" s="72" t="s">
        <v>482</v>
      </c>
      <c r="F47" s="1"/>
      <c r="G47" s="1"/>
      <c r="H47" s="92"/>
      <c r="I47" s="97"/>
      <c r="J47" s="1"/>
      <c r="S47" s="1"/>
      <c r="T47" s="1"/>
      <c r="U47" s="300" t="s">
        <v>469</v>
      </c>
      <c r="V47" s="305">
        <v>216154966.58455443</v>
      </c>
      <c r="W47" s="306">
        <f>V47/V53</f>
        <v>0.48713141167166735</v>
      </c>
      <c r="X47" s="307">
        <f>X46*W47</f>
        <v>460220.32396527776</v>
      </c>
      <c r="Y47" s="19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</row>
    <row r="48" spans="1:71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93"/>
      <c r="U48" s="311" t="s">
        <v>207</v>
      </c>
      <c r="V48" s="305">
        <v>51969466.651491232</v>
      </c>
      <c r="W48" s="306">
        <f>V48/V53</f>
        <v>0.11711949095493761</v>
      </c>
      <c r="X48" s="307">
        <f>X46*W48</f>
        <v>110649.34179662303</v>
      </c>
      <c r="Y48" s="19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</row>
    <row r="49" spans="1:64">
      <c r="A49" s="9">
        <f t="shared" si="1"/>
        <v>30</v>
      </c>
      <c r="B49" s="3"/>
      <c r="C49" s="96" t="s">
        <v>409</v>
      </c>
      <c r="D49" s="1"/>
      <c r="E49" s="74">
        <v>43800</v>
      </c>
      <c r="F49" s="74">
        <v>44166</v>
      </c>
      <c r="G49" s="1" t="s">
        <v>40</v>
      </c>
      <c r="H49" s="74"/>
      <c r="I49" s="96"/>
      <c r="J49" s="1"/>
      <c r="K49" s="351" t="s">
        <v>452</v>
      </c>
      <c r="L49" s="352"/>
      <c r="M49" s="352"/>
      <c r="N49" s="278"/>
      <c r="O49" s="278"/>
      <c r="S49" s="93"/>
      <c r="T49" s="93"/>
      <c r="U49" s="300" t="s">
        <v>470</v>
      </c>
      <c r="V49" s="305">
        <v>151708320.07140437</v>
      </c>
      <c r="W49" s="306">
        <f>V49/V53</f>
        <v>0.34189308386680894</v>
      </c>
      <c r="X49" s="307">
        <f>X46*W49</f>
        <v>323005.54234167095</v>
      </c>
      <c r="Y49" s="19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64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1">(+E50+F50)/2</f>
        <v>0</v>
      </c>
      <c r="H50" s="19"/>
      <c r="I50" s="97"/>
      <c r="J50" s="1"/>
      <c r="K50" s="279" t="s">
        <v>217</v>
      </c>
      <c r="L50" s="280" t="s">
        <v>102</v>
      </c>
      <c r="M50" s="280" t="s">
        <v>207</v>
      </c>
      <c r="N50" s="279" t="s">
        <v>453</v>
      </c>
      <c r="O50" s="279" t="s">
        <v>454</v>
      </c>
      <c r="S50" s="93"/>
      <c r="T50" s="93"/>
      <c r="U50" s="300" t="s">
        <v>471</v>
      </c>
      <c r="V50" s="305">
        <v>23897544.935451161</v>
      </c>
      <c r="W50" s="306">
        <f>V50/V53</f>
        <v>5.3856013506586087E-2</v>
      </c>
      <c r="X50" s="307">
        <f>X46*W50</f>
        <v>50880.791896428243</v>
      </c>
      <c r="Y50" s="19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64">
      <c r="A51" s="9">
        <f t="shared" si="1"/>
        <v>32</v>
      </c>
      <c r="B51" s="3"/>
      <c r="C51" s="97" t="s">
        <v>270</v>
      </c>
      <c r="D51" s="1" t="s">
        <v>402</v>
      </c>
      <c r="E51" s="19">
        <v>-134043659.05689102</v>
      </c>
      <c r="F51" s="19">
        <v>-134794823.62025249</v>
      </c>
      <c r="G51" s="19">
        <f t="shared" si="11"/>
        <v>-134419241.33857176</v>
      </c>
      <c r="H51" s="97"/>
      <c r="I51" s="97"/>
      <c r="J51" s="281">
        <v>43800</v>
      </c>
      <c r="K51" s="332">
        <v>8210964.2157948297</v>
      </c>
      <c r="L51" s="332">
        <v>1534068.7335359179</v>
      </c>
      <c r="M51" s="332">
        <v>1589790.1909509983</v>
      </c>
      <c r="N51" s="333">
        <v>-2380312.8594591664</v>
      </c>
      <c r="O51" s="333">
        <v>-1280224.4467619362</v>
      </c>
      <c r="S51" s="93"/>
      <c r="T51" s="93"/>
      <c r="U51" s="300"/>
      <c r="V51" s="305"/>
      <c r="W51" s="306"/>
      <c r="X51" s="310"/>
      <c r="Y51" s="19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</row>
    <row r="52" spans="1:64">
      <c r="A52" s="9">
        <f>+A51+1</f>
        <v>33</v>
      </c>
      <c r="B52" s="3"/>
      <c r="C52" s="97" t="s">
        <v>271</v>
      </c>
      <c r="D52" s="1" t="s">
        <v>403</v>
      </c>
      <c r="E52" s="47">
        <v>-15736812</v>
      </c>
      <c r="F52" s="47">
        <v>-17983096</v>
      </c>
      <c r="G52" s="19">
        <f t="shared" si="11"/>
        <v>-16859954</v>
      </c>
      <c r="H52" s="97"/>
      <c r="I52" s="97"/>
      <c r="J52" s="281">
        <v>43831</v>
      </c>
      <c r="K52" s="332">
        <v>8291990.9921707464</v>
      </c>
      <c r="L52" s="332">
        <v>1546435.585348668</v>
      </c>
      <c r="M52" s="332">
        <v>1601567.1213009984</v>
      </c>
      <c r="N52" s="333">
        <v>-2402398.676752287</v>
      </c>
      <c r="O52" s="333">
        <v>-1280224.4467619362</v>
      </c>
      <c r="S52" s="93"/>
      <c r="T52" s="93"/>
      <c r="U52" s="300"/>
      <c r="V52" s="308"/>
      <c r="W52" s="306"/>
      <c r="X52" s="304"/>
      <c r="Y52" s="19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64">
      <c r="A53" s="9">
        <f>+A52+1</f>
        <v>34</v>
      </c>
      <c r="B53" s="3"/>
      <c r="C53" s="97" t="s">
        <v>273</v>
      </c>
      <c r="D53" s="1" t="s">
        <v>404</v>
      </c>
      <c r="E53" s="47">
        <v>34673387</v>
      </c>
      <c r="F53" s="47">
        <v>37982694</v>
      </c>
      <c r="G53" s="19">
        <f t="shared" si="11"/>
        <v>36328040.5</v>
      </c>
      <c r="H53" s="97"/>
      <c r="I53" s="97"/>
      <c r="J53" s="281">
        <v>43862</v>
      </c>
      <c r="K53" s="332">
        <v>8373956.3254362466</v>
      </c>
      <c r="L53" s="332">
        <v>1558092.5025127514</v>
      </c>
      <c r="M53" s="332">
        <v>1613359.1761009984</v>
      </c>
      <c r="N53" s="333">
        <v>-2424535.6808504993</v>
      </c>
      <c r="O53" s="333">
        <v>-1280224.4467619362</v>
      </c>
      <c r="S53" s="93"/>
      <c r="T53" s="93"/>
      <c r="U53" s="300"/>
      <c r="V53" s="310">
        <f>SUM(V47:V50)</f>
        <v>443730298.24290121</v>
      </c>
      <c r="W53" s="310">
        <f>SUM(W47:W50)</f>
        <v>1</v>
      </c>
      <c r="X53" s="310">
        <f>SUM(X47:X50)</f>
        <v>944756</v>
      </c>
      <c r="Y53" s="19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64">
      <c r="A54" s="9">
        <f>+A53+1</f>
        <v>35</v>
      </c>
      <c r="B54" s="3"/>
      <c r="C54" s="3" t="s">
        <v>272</v>
      </c>
      <c r="D54" s="1" t="s">
        <v>447</v>
      </c>
      <c r="E54" s="47">
        <v>0</v>
      </c>
      <c r="F54" s="47">
        <v>0</v>
      </c>
      <c r="G54" s="19">
        <f t="shared" si="11"/>
        <v>0</v>
      </c>
      <c r="H54" s="1"/>
      <c r="I54" s="1"/>
      <c r="J54" s="281">
        <v>43891</v>
      </c>
      <c r="K54" s="334">
        <v>8456225.814598497</v>
      </c>
      <c r="L54" s="334">
        <v>1569767.7747450015</v>
      </c>
      <c r="M54" s="332">
        <v>1625170.1461009984</v>
      </c>
      <c r="N54" s="333">
        <v>-2446744.3844433445</v>
      </c>
      <c r="O54" s="333">
        <v>-1280224.4467619362</v>
      </c>
      <c r="S54" s="93"/>
      <c r="T54" s="93"/>
      <c r="U54" s="300"/>
      <c r="V54" s="300"/>
      <c r="W54" s="300"/>
      <c r="X54" s="300"/>
      <c r="Y54" s="19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64">
      <c r="A55" s="9">
        <f t="shared" si="1"/>
        <v>36</v>
      </c>
      <c r="B55" s="3"/>
      <c r="C55" s="97" t="s">
        <v>292</v>
      </c>
      <c r="D55" s="3" t="s">
        <v>448</v>
      </c>
      <c r="E55" s="283">
        <v>-97921552.583960712</v>
      </c>
      <c r="F55" s="283">
        <v>-93343907.373960704</v>
      </c>
      <c r="G55" s="283">
        <f t="shared" si="11"/>
        <v>-95632729.978960708</v>
      </c>
      <c r="H55" s="97"/>
      <c r="J55" s="281">
        <v>43922</v>
      </c>
      <c r="K55" s="335">
        <v>8538803.1687024143</v>
      </c>
      <c r="L55" s="335">
        <v>1581460.8310031681</v>
      </c>
      <c r="M55" s="332">
        <v>1637001.1608509985</v>
      </c>
      <c r="N55" s="333">
        <v>-2469025.683716882</v>
      </c>
      <c r="O55" s="333">
        <v>-1280224.4467619362</v>
      </c>
      <c r="S55" s="93"/>
      <c r="T55" s="93"/>
      <c r="U55" s="300"/>
      <c r="V55" s="300"/>
      <c r="W55" s="300"/>
      <c r="X55" s="300"/>
      <c r="Y55" s="19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</row>
    <row r="56" spans="1:64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-213028636.64085174</v>
      </c>
      <c r="F56" s="19">
        <f>SUM(F50:F55)</f>
        <v>-208139132.99421319</v>
      </c>
      <c r="G56" s="19">
        <f>SUM(G50:G55)</f>
        <v>-210583884.81753248</v>
      </c>
      <c r="H56" s="1"/>
      <c r="I56" s="1"/>
      <c r="J56" s="281">
        <v>43952</v>
      </c>
      <c r="K56" s="332">
        <v>8621524.2741813306</v>
      </c>
      <c r="L56" s="332">
        <v>1593247.3620724182</v>
      </c>
      <c r="M56" s="332">
        <v>1648735.0290009985</v>
      </c>
      <c r="N56" s="333">
        <v>-2491336.3997034966</v>
      </c>
      <c r="O56" s="333">
        <v>-1280224.4467619362</v>
      </c>
      <c r="S56" s="93"/>
      <c r="T56" s="93"/>
      <c r="U56" s="300"/>
      <c r="V56" s="300"/>
      <c r="W56" s="300"/>
      <c r="X56" s="300"/>
      <c r="Y56" s="19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64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281">
        <v>43983</v>
      </c>
      <c r="K57" s="332">
        <v>8704366.982102247</v>
      </c>
      <c r="L57" s="332">
        <v>1604839.4677795016</v>
      </c>
      <c r="M57" s="332">
        <v>1660474.4607509985</v>
      </c>
      <c r="N57" s="333">
        <v>-2513632.9912328771</v>
      </c>
      <c r="O57" s="336">
        <v>-1280224.4467619362</v>
      </c>
      <c r="P57" s="93"/>
      <c r="Q57" s="93"/>
      <c r="R57" s="93"/>
      <c r="S57" s="93"/>
      <c r="T57" s="93"/>
      <c r="U57" s="300"/>
      <c r="V57" s="303">
        <v>43891</v>
      </c>
      <c r="W57" s="300"/>
      <c r="X57" s="304">
        <v>1356708</v>
      </c>
      <c r="Y57" s="19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64">
      <c r="A58" s="9">
        <f t="shared" si="1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281">
        <v>44013</v>
      </c>
      <c r="K58" s="332">
        <v>8787702.1955243312</v>
      </c>
      <c r="L58" s="332">
        <v>1616431.3052748349</v>
      </c>
      <c r="M58" s="332">
        <v>1672359.9016509985</v>
      </c>
      <c r="N58" s="333">
        <v>-2536063.6145145344</v>
      </c>
      <c r="O58" s="336">
        <v>-1280224.4467619362</v>
      </c>
      <c r="P58" s="93"/>
      <c r="Q58" s="93"/>
      <c r="R58" s="93"/>
      <c r="S58" s="93"/>
      <c r="T58" s="93"/>
      <c r="U58" s="300" t="s">
        <v>469</v>
      </c>
      <c r="V58" s="305">
        <v>214277596.30403805</v>
      </c>
      <c r="W58" s="306">
        <f>V58/V64</f>
        <v>0.48558667527114924</v>
      </c>
      <c r="X58" s="307">
        <f>X57*W58</f>
        <v>658799.32703377039</v>
      </c>
      <c r="Y58" s="19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64">
      <c r="A59" s="9">
        <f t="shared" si="1"/>
        <v>40</v>
      </c>
      <c r="B59" s="3"/>
      <c r="C59" s="97"/>
      <c r="D59" s="1"/>
      <c r="E59" s="19"/>
      <c r="G59" s="19"/>
      <c r="H59" s="1"/>
      <c r="I59" s="1"/>
      <c r="J59" s="281">
        <v>44044</v>
      </c>
      <c r="K59" s="332">
        <v>8871810.0226166639</v>
      </c>
      <c r="L59" s="332">
        <v>1628022.3665302515</v>
      </c>
      <c r="M59" s="332">
        <v>1684246.9802009985</v>
      </c>
      <c r="N59" s="333">
        <v>-2558656.6675630617</v>
      </c>
      <c r="O59" s="336">
        <v>-1280224.4467619362</v>
      </c>
      <c r="P59" s="93"/>
      <c r="Q59" s="93"/>
      <c r="R59" s="93"/>
      <c r="S59" s="93"/>
      <c r="T59" s="93"/>
      <c r="U59" s="311" t="s">
        <v>207</v>
      </c>
      <c r="V59" s="305">
        <v>52020223.469322138</v>
      </c>
      <c r="W59" s="306">
        <f>V59/V64</f>
        <v>0.1178859936691119</v>
      </c>
      <c r="X59" s="307">
        <f>X57*W59</f>
        <v>159936.87069883346</v>
      </c>
      <c r="Y59" s="19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64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281">
        <v>44075</v>
      </c>
      <c r="K60" s="332">
        <v>8955834.2442499138</v>
      </c>
      <c r="L60" s="332">
        <v>1639606.3665952515</v>
      </c>
      <c r="M60" s="332">
        <v>1695970.9654009985</v>
      </c>
      <c r="N60" s="333">
        <v>-2581196.4310116945</v>
      </c>
      <c r="O60" s="336">
        <v>-1280224.4467619362</v>
      </c>
      <c r="P60" s="93"/>
      <c r="Q60" s="93"/>
      <c r="R60" s="93"/>
      <c r="S60" s="93"/>
      <c r="T60" s="93"/>
      <c r="U60" s="300" t="s">
        <v>470</v>
      </c>
      <c r="V60" s="305">
        <v>150337852.49577603</v>
      </c>
      <c r="W60" s="306">
        <f>V60/V64</f>
        <v>0.34068917712351904</v>
      </c>
      <c r="X60" s="307">
        <f>X57*W60</f>
        <v>462215.73211689526</v>
      </c>
      <c r="Y60" s="19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</row>
    <row r="61" spans="1:64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281">
        <v>44105</v>
      </c>
      <c r="K61" s="332">
        <v>9041522.4216249976</v>
      </c>
      <c r="L61" s="334">
        <v>1651190.4471190015</v>
      </c>
      <c r="M61" s="332">
        <v>1707694.6867009983</v>
      </c>
      <c r="N61" s="333">
        <v>-2604085.586643449</v>
      </c>
      <c r="O61" s="336">
        <v>-1280224.4467619362</v>
      </c>
      <c r="P61" s="93"/>
      <c r="Q61" s="93"/>
      <c r="R61" s="93"/>
      <c r="S61" s="93"/>
      <c r="T61" s="93"/>
      <c r="U61" s="300" t="s">
        <v>471</v>
      </c>
      <c r="V61" s="305">
        <v>24640020.035201609</v>
      </c>
      <c r="W61" s="306">
        <f>V61/V64</f>
        <v>5.5838153936219874E-2</v>
      </c>
      <c r="X61" s="307">
        <f>X57*W61</f>
        <v>75756.070150500993</v>
      </c>
      <c r="Y61" s="19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</row>
    <row r="62" spans="1:64">
      <c r="A62" s="9">
        <f t="shared" si="1"/>
        <v>43</v>
      </c>
      <c r="B62" s="3"/>
      <c r="C62" s="97" t="s">
        <v>358</v>
      </c>
      <c r="D62" s="1" t="s">
        <v>134</v>
      </c>
      <c r="E62" s="47">
        <v>5361285</v>
      </c>
      <c r="F62" s="47">
        <v>6109676</v>
      </c>
      <c r="G62" s="19">
        <f>(+E62+F62)/2</f>
        <v>5735480.5</v>
      </c>
      <c r="H62" s="97"/>
      <c r="I62" s="1"/>
      <c r="J62" s="281">
        <v>44136</v>
      </c>
      <c r="K62" s="332">
        <v>9131482.039214747</v>
      </c>
      <c r="L62" s="334">
        <v>1662774.6725958348</v>
      </c>
      <c r="M62" s="332">
        <v>1719459.5758509983</v>
      </c>
      <c r="N62" s="333">
        <v>-2627880.4204089316</v>
      </c>
      <c r="O62" s="336">
        <v>-1280224.4467619362</v>
      </c>
      <c r="P62" s="93"/>
      <c r="Q62" s="93"/>
      <c r="R62" s="93"/>
      <c r="S62" s="93"/>
      <c r="T62" s="93"/>
      <c r="U62" s="300"/>
      <c r="V62" s="305"/>
      <c r="W62" s="306"/>
      <c r="X62" s="310"/>
      <c r="Y62" s="19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</row>
    <row r="63" spans="1:64">
      <c r="A63" s="9">
        <f t="shared" si="1"/>
        <v>44</v>
      </c>
      <c r="B63" s="3"/>
      <c r="C63" s="97" t="s">
        <v>358</v>
      </c>
      <c r="D63" s="1" t="s">
        <v>133</v>
      </c>
      <c r="E63" s="47">
        <v>27318</v>
      </c>
      <c r="F63" s="47">
        <v>20816</v>
      </c>
      <c r="G63" s="19">
        <f>(+E63+F63)/2</f>
        <v>24067</v>
      </c>
      <c r="H63" s="97"/>
      <c r="I63" s="1"/>
      <c r="J63" s="281">
        <v>44166</v>
      </c>
      <c r="K63" s="337">
        <v>9227760.5735348295</v>
      </c>
      <c r="L63" s="338">
        <v>1674358.9092780014</v>
      </c>
      <c r="M63" s="337">
        <v>1731516.9179009984</v>
      </c>
      <c r="N63" s="333">
        <v>-2653063.6441499041</v>
      </c>
      <c r="O63" s="336">
        <v>-1280224.4467619362</v>
      </c>
      <c r="P63" s="93"/>
      <c r="Q63" s="93"/>
      <c r="R63" s="93"/>
      <c r="S63" s="93"/>
      <c r="T63" s="93"/>
      <c r="U63" s="300"/>
      <c r="V63" s="308"/>
      <c r="W63" s="306"/>
      <c r="X63" s="304"/>
      <c r="Y63" s="19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64">
      <c r="A64" s="9">
        <f t="shared" si="1"/>
        <v>45</v>
      </c>
      <c r="B64" s="3"/>
      <c r="C64" s="97" t="s">
        <v>274</v>
      </c>
      <c r="D64" s="1" t="s">
        <v>74</v>
      </c>
      <c r="E64" s="47">
        <v>3160241</v>
      </c>
      <c r="F64" s="47">
        <v>3140099</v>
      </c>
      <c r="G64" s="19">
        <f>(+E64+F64)/2</f>
        <v>3150170</v>
      </c>
      <c r="H64" s="97"/>
      <c r="I64" s="1"/>
      <c r="J64" s="321" t="s">
        <v>472</v>
      </c>
      <c r="K64" s="1"/>
      <c r="L64" s="184"/>
      <c r="O64" s="93"/>
      <c r="P64" s="93"/>
      <c r="Q64" s="93"/>
      <c r="R64" s="93"/>
      <c r="S64" s="93"/>
      <c r="T64" s="93"/>
      <c r="U64" s="300"/>
      <c r="V64" s="310">
        <f>SUM(V58:V61)</f>
        <v>441275692.3043378</v>
      </c>
      <c r="W64" s="310">
        <f>SUM(W58:W61)</f>
        <v>1</v>
      </c>
      <c r="X64" s="310">
        <f>SUM(X58:X61)</f>
        <v>1356708.0000000002</v>
      </c>
      <c r="Y64" s="19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64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8548844</v>
      </c>
      <c r="F65" s="49">
        <f>SUM(F62:F64)</f>
        <v>9270591</v>
      </c>
      <c r="G65" s="49">
        <f>SUM(G62:G64)</f>
        <v>8909717.5</v>
      </c>
      <c r="H65" s="75"/>
      <c r="I65" s="75"/>
      <c r="J65" s="75"/>
      <c r="P65" s="93"/>
      <c r="Q65" s="93"/>
      <c r="R65" s="93"/>
      <c r="S65" s="93"/>
      <c r="T65" s="93"/>
      <c r="U65" s="300"/>
      <c r="V65" s="300"/>
      <c r="W65" s="300"/>
      <c r="X65" s="300"/>
      <c r="Y65" s="19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</row>
    <row r="66" spans="1:64">
      <c r="U66" s="300"/>
      <c r="V66" s="300"/>
      <c r="W66" s="300"/>
      <c r="X66" s="300"/>
      <c r="Y66" s="19"/>
    </row>
    <row r="67" spans="1:64">
      <c r="U67" s="300"/>
      <c r="V67" s="300"/>
      <c r="W67" s="300"/>
      <c r="X67" s="300"/>
      <c r="Y67" s="19"/>
    </row>
    <row r="68" spans="1:64">
      <c r="F68"/>
      <c r="U68" s="300"/>
      <c r="V68" s="303">
        <v>43922</v>
      </c>
      <c r="W68" s="300"/>
      <c r="X68" s="304">
        <v>1298225</v>
      </c>
      <c r="Y68" s="19"/>
    </row>
    <row r="69" spans="1:64">
      <c r="U69" s="300" t="s">
        <v>469</v>
      </c>
      <c r="V69" s="305">
        <v>214008142.85509378</v>
      </c>
      <c r="W69" s="306">
        <f>V69/V75</f>
        <v>0.47976047488090556</v>
      </c>
      <c r="X69" s="307">
        <f>X68*W69</f>
        <v>622837.04250226368</v>
      </c>
      <c r="Y69" s="19"/>
    </row>
    <row r="70" spans="1:64">
      <c r="F70"/>
      <c r="U70" s="311" t="s">
        <v>207</v>
      </c>
      <c r="V70" s="305">
        <v>53338323.521597974</v>
      </c>
      <c r="W70" s="306">
        <f>V70/V75</f>
        <v>0.11957311100727651</v>
      </c>
      <c r="X70" s="307">
        <f>X68*W70</f>
        <v>155232.80203742156</v>
      </c>
      <c r="Y70" s="19"/>
    </row>
    <row r="71" spans="1:64">
      <c r="F71"/>
      <c r="U71" s="300" t="s">
        <v>470</v>
      </c>
      <c r="V71" s="305">
        <v>153670001.78434125</v>
      </c>
      <c r="W71" s="306">
        <f>V71/V75</f>
        <v>0.34449527035485122</v>
      </c>
      <c r="X71" s="307">
        <f>X68*W71</f>
        <v>447232.37235642673</v>
      </c>
      <c r="Y71" s="19"/>
    </row>
    <row r="72" spans="1:64">
      <c r="U72" s="300" t="s">
        <v>471</v>
      </c>
      <c r="V72" s="305">
        <v>25056424.584494997</v>
      </c>
      <c r="W72" s="306">
        <f>V72/V75</f>
        <v>5.6171143756966593E-2</v>
      </c>
      <c r="X72" s="307">
        <f>X68*W72</f>
        <v>72922.783103887952</v>
      </c>
      <c r="Y72" s="19"/>
    </row>
    <row r="73" spans="1:64">
      <c r="U73" s="300"/>
      <c r="V73" s="305"/>
      <c r="W73" s="306"/>
      <c r="X73" s="310"/>
      <c r="Y73" s="19"/>
    </row>
    <row r="74" spans="1:64">
      <c r="U74" s="300"/>
      <c r="V74" s="308"/>
      <c r="W74" s="306"/>
      <c r="X74" s="304"/>
      <c r="Y74" s="19"/>
    </row>
    <row r="75" spans="1:64">
      <c r="U75" s="300"/>
      <c r="V75" s="310">
        <f>SUM(V69:V72)</f>
        <v>446072892.74552804</v>
      </c>
      <c r="W75" s="310">
        <f>SUM(W69:W72)</f>
        <v>0.99999999999999989</v>
      </c>
      <c r="X75" s="310">
        <f>SUM(X69:X72)</f>
        <v>1298224.9999999998</v>
      </c>
      <c r="Y75" s="19"/>
    </row>
    <row r="76" spans="1:64">
      <c r="U76" s="300"/>
      <c r="V76" s="300"/>
      <c r="W76" s="300"/>
      <c r="X76" s="300"/>
      <c r="Y76" s="19"/>
    </row>
    <row r="77" spans="1:64">
      <c r="U77" s="300"/>
      <c r="V77" s="300"/>
      <c r="W77" s="300"/>
      <c r="X77" s="300"/>
      <c r="Y77" s="19"/>
    </row>
    <row r="78" spans="1:64">
      <c r="U78" s="300"/>
      <c r="V78" s="300"/>
      <c r="W78" s="300"/>
      <c r="X78" s="300"/>
      <c r="Y78" s="19"/>
    </row>
    <row r="79" spans="1:64">
      <c r="U79" s="300"/>
      <c r="V79" s="303">
        <v>43952</v>
      </c>
      <c r="W79" s="300"/>
      <c r="X79" s="304">
        <v>1150798</v>
      </c>
      <c r="Y79" s="19"/>
    </row>
    <row r="80" spans="1:64">
      <c r="U80" s="300" t="s">
        <v>469</v>
      </c>
      <c r="V80" s="305">
        <v>213515149.54664549</v>
      </c>
      <c r="W80" s="306">
        <f>V80/V86</f>
        <v>0.48891714379755552</v>
      </c>
      <c r="X80" s="307">
        <f>X79*W80</f>
        <v>562644.8712479393</v>
      </c>
      <c r="Y80" s="19"/>
    </row>
    <row r="81" spans="21:25">
      <c r="U81" s="311" t="s">
        <v>207</v>
      </c>
      <c r="V81" s="305">
        <v>43214935.858892187</v>
      </c>
      <c r="W81" s="306">
        <f>V81/V86</f>
        <v>9.8955615348072984E-2</v>
      </c>
      <c r="X81" s="307">
        <f>X79*W81</f>
        <v>113877.92423133169</v>
      </c>
      <c r="Y81" s="19"/>
    </row>
    <row r="82" spans="21:25">
      <c r="U82" s="300" t="s">
        <v>470</v>
      </c>
      <c r="V82" s="305">
        <v>154663612.9211961</v>
      </c>
      <c r="W82" s="306">
        <f>V82/V86</f>
        <v>0.35415609636786977</v>
      </c>
      <c r="X82" s="307">
        <f>X79*W82</f>
        <v>407562.12738795177</v>
      </c>
      <c r="Y82" s="19"/>
    </row>
    <row r="83" spans="21:25">
      <c r="U83" s="300" t="s">
        <v>471</v>
      </c>
      <c r="V83" s="305">
        <v>25316595.544767413</v>
      </c>
      <c r="W83" s="306">
        <f>V83/V86</f>
        <v>5.7971144486501695E-2</v>
      </c>
      <c r="X83" s="307">
        <f>X79*W83</f>
        <v>66713.07713277718</v>
      </c>
      <c r="Y83" s="19"/>
    </row>
    <row r="84" spans="21:25">
      <c r="U84" s="300"/>
      <c r="V84" s="305"/>
      <c r="W84" s="306"/>
      <c r="X84" s="310"/>
      <c r="Y84" s="19"/>
    </row>
    <row r="85" spans="21:25">
      <c r="U85" s="300"/>
      <c r="V85" s="308"/>
      <c r="W85" s="306"/>
      <c r="X85" s="304"/>
      <c r="Y85" s="19"/>
    </row>
    <row r="86" spans="21:25">
      <c r="U86" s="300"/>
      <c r="V86" s="310">
        <f>SUM(V80:V83)</f>
        <v>436710293.87150121</v>
      </c>
      <c r="W86" s="310">
        <f>SUM(W80:W83)</f>
        <v>1</v>
      </c>
      <c r="X86" s="310">
        <f>SUM(X80:X83)</f>
        <v>1150797.9999999998</v>
      </c>
      <c r="Y86" s="19"/>
    </row>
    <row r="87" spans="21:25">
      <c r="U87" s="300"/>
      <c r="V87" s="309"/>
      <c r="W87" s="306"/>
      <c r="X87" s="310"/>
      <c r="Y87" s="19"/>
    </row>
    <row r="88" spans="21:25">
      <c r="U88" s="300"/>
      <c r="V88" s="309"/>
      <c r="W88" s="306"/>
      <c r="X88" s="310"/>
      <c r="Y88" s="19"/>
    </row>
    <row r="89" spans="21:25">
      <c r="U89" s="300"/>
      <c r="V89" s="309"/>
      <c r="W89" s="306"/>
      <c r="X89" s="310"/>
      <c r="Y89" s="19"/>
    </row>
    <row r="90" spans="21:25">
      <c r="U90" s="300"/>
      <c r="V90" s="303">
        <v>43983</v>
      </c>
      <c r="W90" s="300"/>
      <c r="X90" s="304">
        <v>1240193</v>
      </c>
      <c r="Y90" s="19"/>
    </row>
    <row r="91" spans="21:25">
      <c r="U91" s="300" t="s">
        <v>469</v>
      </c>
      <c r="V91" s="305">
        <v>214792305.68983802</v>
      </c>
      <c r="W91" s="306">
        <f>V91/V97</f>
        <v>0.49260160779796391</v>
      </c>
      <c r="X91" s="307">
        <f>X90*W91</f>
        <v>610921.06577978027</v>
      </c>
      <c r="Y91" s="19"/>
    </row>
    <row r="92" spans="21:25">
      <c r="U92" s="311" t="s">
        <v>207</v>
      </c>
      <c r="V92" s="305">
        <v>43656272.23315867</v>
      </c>
      <c r="W92" s="306">
        <f>V92/V97</f>
        <v>0.1001206715643399</v>
      </c>
      <c r="X92" s="307">
        <f>X90*W92</f>
        <v>124168.95602939339</v>
      </c>
      <c r="Y92" s="19"/>
    </row>
    <row r="93" spans="21:25">
      <c r="U93" s="300" t="s">
        <v>470</v>
      </c>
      <c r="V93" s="305">
        <v>152291112.07271963</v>
      </c>
      <c r="W93" s="306">
        <f>V93/V97</f>
        <v>0.34926226253509041</v>
      </c>
      <c r="X93" s="307">
        <f>X90*W93</f>
        <v>433152.61316018138</v>
      </c>
      <c r="Y93" s="19"/>
    </row>
    <row r="94" spans="21:25">
      <c r="U94" s="300" t="s">
        <v>471</v>
      </c>
      <c r="V94" s="305">
        <v>25296860.209643845</v>
      </c>
      <c r="W94" s="306">
        <f>V94/V97</f>
        <v>5.8015458102605805E-2</v>
      </c>
      <c r="X94" s="307">
        <f>X90*W94</f>
        <v>71950.365030645</v>
      </c>
      <c r="Y94" s="19"/>
    </row>
    <row r="95" spans="21:25">
      <c r="U95" s="300"/>
      <c r="V95" s="305"/>
      <c r="W95" s="306"/>
      <c r="X95" s="310"/>
      <c r="Y95" s="19"/>
    </row>
    <row r="96" spans="21:25">
      <c r="U96" s="300"/>
      <c r="V96" s="308"/>
      <c r="W96" s="306"/>
      <c r="X96" s="304"/>
      <c r="Y96" s="19"/>
    </row>
    <row r="97" spans="21:25">
      <c r="U97" s="300"/>
      <c r="V97" s="310">
        <f>SUM(V91:V94)</f>
        <v>436036550.20536017</v>
      </c>
      <c r="W97" s="310">
        <f>SUM(W91:W94)</f>
        <v>1</v>
      </c>
      <c r="X97" s="310">
        <f>SUM(X91:X94)</f>
        <v>1240193</v>
      </c>
      <c r="Y97" s="19"/>
    </row>
    <row r="98" spans="21:25">
      <c r="U98" s="300"/>
      <c r="V98" s="300"/>
      <c r="W98" s="300"/>
      <c r="X98" s="300"/>
      <c r="Y98" s="19"/>
    </row>
    <row r="99" spans="21:25">
      <c r="U99" s="300"/>
      <c r="V99" s="300"/>
      <c r="W99" s="300"/>
      <c r="X99" s="300"/>
      <c r="Y99" s="19"/>
    </row>
    <row r="100" spans="21:25">
      <c r="U100" s="300"/>
      <c r="V100" s="303">
        <v>44013</v>
      </c>
      <c r="W100" s="300"/>
      <c r="X100" s="304">
        <v>1286772</v>
      </c>
      <c r="Y100" s="19"/>
    </row>
    <row r="101" spans="21:25">
      <c r="U101" s="300" t="s">
        <v>469</v>
      </c>
      <c r="V101" s="305">
        <v>215684726.33358923</v>
      </c>
      <c r="W101" s="306">
        <f>V101/V107</f>
        <v>0.48760989465778354</v>
      </c>
      <c r="X101" s="307">
        <f>X100*W101</f>
        <v>627442.75936858542</v>
      </c>
      <c r="Y101" s="19"/>
    </row>
    <row r="102" spans="21:25">
      <c r="U102" s="311" t="s">
        <v>207</v>
      </c>
      <c r="V102" s="305">
        <v>44618041.924654357</v>
      </c>
      <c r="W102" s="306">
        <f>V102/V107</f>
        <v>0.10087037266175265</v>
      </c>
      <c r="X102" s="307">
        <f>X100*W102</f>
        <v>129797.17117070878</v>
      </c>
      <c r="Y102" s="19"/>
    </row>
    <row r="103" spans="21:25">
      <c r="U103" s="300" t="s">
        <v>470</v>
      </c>
      <c r="V103" s="305">
        <v>156382179.60809264</v>
      </c>
      <c r="W103" s="306">
        <f>V103/V107</f>
        <v>0.35354148354074455</v>
      </c>
      <c r="X103" s="307">
        <f>X100*W103</f>
        <v>454927.28185869096</v>
      </c>
      <c r="Y103" s="19"/>
    </row>
    <row r="104" spans="21:25">
      <c r="U104" s="300" t="s">
        <v>471</v>
      </c>
      <c r="V104" s="305">
        <v>25645547.672442801</v>
      </c>
      <c r="W104" s="306">
        <f>V104/V107</f>
        <v>5.7978249139719246E-2</v>
      </c>
      <c r="X104" s="307">
        <f>X100*W104</f>
        <v>74604.787602014811</v>
      </c>
      <c r="Y104" s="19"/>
    </row>
    <row r="105" spans="21:25">
      <c r="U105" s="300"/>
      <c r="V105" s="305"/>
      <c r="W105" s="306"/>
      <c r="X105" s="310"/>
      <c r="Y105" s="19"/>
    </row>
    <row r="106" spans="21:25">
      <c r="U106" s="300"/>
      <c r="V106" s="308"/>
      <c r="W106" s="306"/>
      <c r="X106" s="304"/>
      <c r="Y106" s="19"/>
    </row>
    <row r="107" spans="21:25">
      <c r="U107" s="300"/>
      <c r="V107" s="310">
        <f>SUM(V101:V104)</f>
        <v>442330495.53877902</v>
      </c>
      <c r="W107" s="310">
        <f>SUM(W101:W104)</f>
        <v>1</v>
      </c>
      <c r="X107" s="310">
        <f>SUM(X101:X104)</f>
        <v>1286772</v>
      </c>
      <c r="Y107" s="19"/>
    </row>
    <row r="108" spans="21:25">
      <c r="U108" s="300"/>
      <c r="V108" s="300"/>
      <c r="W108" s="300"/>
      <c r="X108" s="300"/>
      <c r="Y108" s="19"/>
    </row>
    <row r="109" spans="21:25">
      <c r="U109" s="300"/>
      <c r="V109" s="300"/>
      <c r="W109" s="300"/>
      <c r="X109" s="300"/>
      <c r="Y109" s="19"/>
    </row>
    <row r="110" spans="21:25">
      <c r="U110" s="300"/>
      <c r="V110" s="303">
        <v>44044</v>
      </c>
      <c r="W110" s="300"/>
      <c r="X110" s="304">
        <v>1502622</v>
      </c>
      <c r="Y110" s="19"/>
    </row>
    <row r="111" spans="21:25">
      <c r="U111" s="300" t="s">
        <v>469</v>
      </c>
      <c r="V111" s="305">
        <v>216995984.88198337</v>
      </c>
      <c r="W111" s="306">
        <f>V111/V117</f>
        <v>0.48734071275641666</v>
      </c>
      <c r="X111" s="307">
        <f>X110*W111</f>
        <v>732288.8764834723</v>
      </c>
      <c r="Y111" s="19"/>
    </row>
    <row r="112" spans="21:25">
      <c r="U112" s="311" t="s">
        <v>207</v>
      </c>
      <c r="V112" s="305">
        <v>45064725.335445046</v>
      </c>
      <c r="W112" s="306">
        <f>V112/V117</f>
        <v>0.101208671566399</v>
      </c>
      <c r="X112" s="307">
        <f>X110*W112</f>
        <v>152078.3764864456</v>
      </c>
      <c r="Y112" s="19"/>
    </row>
    <row r="113" spans="21:25">
      <c r="U113" s="300" t="s">
        <v>470</v>
      </c>
      <c r="V113" s="305">
        <v>157175875.44605336</v>
      </c>
      <c r="W113" s="306">
        <f>V113/V117</f>
        <v>0.35299364276095951</v>
      </c>
      <c r="X113" s="307">
        <f>X110*W113</f>
        <v>530416.01347275847</v>
      </c>
      <c r="Y113" s="19"/>
    </row>
    <row r="114" spans="21:25">
      <c r="U114" s="300" t="s">
        <v>471</v>
      </c>
      <c r="V114" s="305">
        <v>26028870.724609159</v>
      </c>
      <c r="W114" s="306">
        <f>V114/V117</f>
        <v>5.8456972916224918E-2</v>
      </c>
      <c r="X114" s="307">
        <f>X110*W114</f>
        <v>87838.733557323721</v>
      </c>
      <c r="Y114" s="19"/>
    </row>
    <row r="115" spans="21:25">
      <c r="U115" s="300"/>
      <c r="V115" s="305"/>
      <c r="W115" s="306"/>
      <c r="X115" s="310"/>
      <c r="Y115" s="19"/>
    </row>
    <row r="116" spans="21:25">
      <c r="U116" s="300"/>
      <c r="V116" s="308"/>
      <c r="W116" s="306"/>
      <c r="X116" s="304"/>
      <c r="Y116" s="19"/>
    </row>
    <row r="117" spans="21:25">
      <c r="U117" s="300"/>
      <c r="V117" s="310">
        <f>SUM(V111:V114)</f>
        <v>445265456.38809091</v>
      </c>
      <c r="W117" s="310">
        <f>SUM(W111:W114)</f>
        <v>1.0000000000000002</v>
      </c>
      <c r="X117" s="310">
        <f>SUM(X111:X114)</f>
        <v>1502622</v>
      </c>
      <c r="Y117" s="19"/>
    </row>
    <row r="118" spans="21:25">
      <c r="U118" s="300"/>
      <c r="V118" s="300"/>
      <c r="W118" s="300"/>
      <c r="X118" s="300"/>
      <c r="Y118" s="19"/>
    </row>
    <row r="119" spans="21:25">
      <c r="U119" s="300"/>
      <c r="V119" s="300"/>
      <c r="W119" s="300"/>
      <c r="X119" s="300"/>
      <c r="Y119" s="19"/>
    </row>
    <row r="120" spans="21:25">
      <c r="U120" s="300"/>
      <c r="V120" s="303">
        <v>44075</v>
      </c>
      <c r="W120" s="300"/>
      <c r="X120" s="304">
        <v>1603179</v>
      </c>
      <c r="Y120" s="19"/>
    </row>
    <row r="121" spans="21:25">
      <c r="U121" s="300" t="s">
        <v>469</v>
      </c>
      <c r="V121" s="305">
        <v>218164682.44422507</v>
      </c>
      <c r="W121" s="306">
        <f>V121/V127</f>
        <v>0.4956045212762818</v>
      </c>
      <c r="X121" s="307">
        <f>X120*W121</f>
        <v>794542.76081518817</v>
      </c>
      <c r="Y121" s="19"/>
    </row>
    <row r="122" spans="21:25">
      <c r="U122" s="311" t="s">
        <v>207</v>
      </c>
      <c r="V122" s="305">
        <v>42056953.569072008</v>
      </c>
      <c r="W122" s="306">
        <f>V122/V127</f>
        <v>9.5540745213274936E-2</v>
      </c>
      <c r="X122" s="307">
        <f>X120*W122</f>
        <v>153168.9163702729</v>
      </c>
      <c r="Y122" s="19"/>
    </row>
    <row r="123" spans="21:25">
      <c r="U123" s="300" t="s">
        <v>470</v>
      </c>
      <c r="V123" s="305">
        <v>154552016.005725</v>
      </c>
      <c r="W123" s="306">
        <f>V123/V127</f>
        <v>0.35109568169625216</v>
      </c>
      <c r="X123" s="307">
        <f>X120*W123</f>
        <v>562869.22388611583</v>
      </c>
      <c r="Y123" s="19"/>
    </row>
    <row r="124" spans="21:25">
      <c r="U124" s="300" t="s">
        <v>471</v>
      </c>
      <c r="V124" s="305">
        <v>25425484.74915535</v>
      </c>
      <c r="W124" s="306">
        <f>V124/V127</f>
        <v>5.7759051814191088E-2</v>
      </c>
      <c r="X124" s="307">
        <f>X120*W124</f>
        <v>92598.09892842306</v>
      </c>
      <c r="Y124" s="19"/>
    </row>
    <row r="125" spans="21:25">
      <c r="U125" s="300"/>
      <c r="V125" s="305"/>
      <c r="W125" s="306"/>
      <c r="X125" s="310"/>
      <c r="Y125" s="19"/>
    </row>
    <row r="126" spans="21:25">
      <c r="U126" s="300"/>
      <c r="V126" s="308"/>
      <c r="W126" s="306"/>
      <c r="X126" s="304"/>
      <c r="Y126" s="19"/>
    </row>
    <row r="127" spans="21:25">
      <c r="U127" s="300"/>
      <c r="V127" s="310">
        <f>SUM(V121:V124)</f>
        <v>440199136.76817745</v>
      </c>
      <c r="W127" s="310">
        <f>SUM(W121:W124)</f>
        <v>0.99999999999999989</v>
      </c>
      <c r="X127" s="310">
        <f>SUM(X121:X124)</f>
        <v>1603179</v>
      </c>
      <c r="Y127" s="19"/>
    </row>
    <row r="128" spans="21:25">
      <c r="U128" s="300"/>
      <c r="V128" s="300"/>
      <c r="W128" s="300"/>
      <c r="X128" s="300"/>
      <c r="Y128" s="19"/>
    </row>
    <row r="129" spans="21:25">
      <c r="U129" s="300"/>
      <c r="V129" s="300"/>
      <c r="W129" s="300"/>
      <c r="X129" s="300"/>
      <c r="Y129" s="19"/>
    </row>
    <row r="130" spans="21:25">
      <c r="U130" s="300"/>
      <c r="V130" s="303">
        <v>44105</v>
      </c>
      <c r="W130" s="300"/>
      <c r="X130" s="304">
        <v>1738559</v>
      </c>
      <c r="Y130" s="19"/>
    </row>
    <row r="131" spans="21:25">
      <c r="U131" s="300" t="s">
        <v>469</v>
      </c>
      <c r="V131" s="305">
        <v>219572750.27604643</v>
      </c>
      <c r="W131" s="306">
        <f>V131/V137</f>
        <v>0.49116924106692467</v>
      </c>
      <c r="X131" s="307">
        <f>X130*W131</f>
        <v>853926.7045800715</v>
      </c>
      <c r="Y131" s="19"/>
    </row>
    <row r="132" spans="21:25">
      <c r="U132" s="311" t="s">
        <v>207</v>
      </c>
      <c r="V132" s="305">
        <v>42493377.339866981</v>
      </c>
      <c r="W132" s="306">
        <f>V132/V137</f>
        <v>9.5054781944268515E-2</v>
      </c>
      <c r="X132" s="307">
        <f>X130*W132</f>
        <v>165258.34664224554</v>
      </c>
      <c r="Y132" s="19"/>
    </row>
    <row r="133" spans="21:25">
      <c r="U133" s="300" t="s">
        <v>470</v>
      </c>
      <c r="V133" s="305">
        <v>159163647.26890215</v>
      </c>
      <c r="W133" s="306">
        <f>V133/V137</f>
        <v>0.35603820481470172</v>
      </c>
      <c r="X133" s="307">
        <f>X130*W133</f>
        <v>618993.42532444303</v>
      </c>
      <c r="Y133" s="19"/>
    </row>
    <row r="134" spans="21:25">
      <c r="U134" s="300" t="s">
        <v>471</v>
      </c>
      <c r="V134" s="305">
        <v>25811146.894177444</v>
      </c>
      <c r="W134" s="306">
        <f>V134/V137</f>
        <v>5.7737772174105119E-2</v>
      </c>
      <c r="X134" s="307">
        <f>X130*W134</f>
        <v>100380.52345324002</v>
      </c>
      <c r="Y134" s="19"/>
    </row>
    <row r="135" spans="21:25">
      <c r="U135" s="300"/>
      <c r="V135" s="305"/>
      <c r="W135" s="306"/>
      <c r="X135" s="310"/>
      <c r="Y135" s="19"/>
    </row>
    <row r="136" spans="21:25">
      <c r="U136" s="300"/>
      <c r="V136" s="308"/>
      <c r="W136" s="306"/>
      <c r="X136" s="304"/>
      <c r="Y136" s="19"/>
    </row>
    <row r="137" spans="21:25">
      <c r="U137" s="300"/>
      <c r="V137" s="310">
        <f>SUM(V131:V134)</f>
        <v>447040921.77899301</v>
      </c>
      <c r="W137" s="310">
        <f>SUM(W131:W134)</f>
        <v>1</v>
      </c>
      <c r="X137" s="310">
        <f>SUM(X131:X134)</f>
        <v>1738559.0000000002</v>
      </c>
      <c r="Y137" s="19"/>
    </row>
    <row r="138" spans="21:25">
      <c r="U138" s="300"/>
      <c r="V138" s="300"/>
      <c r="W138" s="300"/>
      <c r="X138" s="300"/>
      <c r="Y138" s="19"/>
    </row>
    <row r="139" spans="21:25">
      <c r="U139" s="300"/>
      <c r="V139" s="300"/>
      <c r="W139" s="300"/>
      <c r="X139" s="300"/>
      <c r="Y139" s="19"/>
    </row>
    <row r="140" spans="21:25">
      <c r="U140" s="312"/>
      <c r="V140" s="313"/>
      <c r="W140" s="314"/>
      <c r="X140" s="310"/>
      <c r="Y140" s="19"/>
    </row>
    <row r="141" spans="21:25">
      <c r="U141" s="300"/>
      <c r="V141" s="303">
        <v>44136</v>
      </c>
      <c r="W141" s="300"/>
      <c r="X141" s="304">
        <v>1816041</v>
      </c>
      <c r="Y141" s="19"/>
    </row>
    <row r="142" spans="21:25">
      <c r="U142" s="300" t="s">
        <v>469</v>
      </c>
      <c r="V142" s="305">
        <v>221072762.96917337</v>
      </c>
      <c r="W142" s="306">
        <f>V142/V148</f>
        <v>0.49115131689886138</v>
      </c>
      <c r="X142" s="307">
        <f>X141*W142</f>
        <v>891950.92869232513</v>
      </c>
      <c r="Y142" s="19"/>
    </row>
    <row r="143" spans="21:25">
      <c r="U143" s="311" t="s">
        <v>207</v>
      </c>
      <c r="V143" s="305">
        <v>42930535.528153412</v>
      </c>
      <c r="W143" s="306">
        <f>V143/V148</f>
        <v>9.537759774941644E-2</v>
      </c>
      <c r="X143" s="307">
        <f>X141*W143</f>
        <v>173209.62799444798</v>
      </c>
      <c r="Y143" s="19"/>
    </row>
    <row r="144" spans="21:25">
      <c r="U144" s="300" t="s">
        <v>470</v>
      </c>
      <c r="V144" s="305">
        <v>160084746.74800882</v>
      </c>
      <c r="W144" s="306">
        <f>V144/V148</f>
        <v>0.35565590769618655</v>
      </c>
      <c r="X144" s="307">
        <f>X141*W144</f>
        <v>645885.71026849037</v>
      </c>
      <c r="Y144" s="19"/>
    </row>
    <row r="145" spans="21:25">
      <c r="U145" s="300" t="s">
        <v>471</v>
      </c>
      <c r="V145" s="305">
        <v>26023265.389095675</v>
      </c>
      <c r="W145" s="306">
        <f>V145/V148</f>
        <v>5.7815177655535739E-2</v>
      </c>
      <c r="X145" s="307">
        <f>X141*W145</f>
        <v>104994.73304473679</v>
      </c>
      <c r="Y145" s="19"/>
    </row>
    <row r="146" spans="21:25">
      <c r="U146" s="300"/>
      <c r="V146" s="305"/>
      <c r="W146" s="306"/>
      <c r="X146" s="310"/>
      <c r="Y146" s="19"/>
    </row>
    <row r="147" spans="21:25">
      <c r="U147" s="300"/>
      <c r="V147" s="308"/>
      <c r="W147" s="306"/>
      <c r="X147" s="304"/>
      <c r="Y147" s="19"/>
    </row>
    <row r="148" spans="21:25">
      <c r="U148" s="300"/>
      <c r="V148" s="310">
        <f>SUM(V142:V145)</f>
        <v>450111310.63443124</v>
      </c>
      <c r="W148" s="310">
        <f>SUM(W142:W145)</f>
        <v>1.0000000000000002</v>
      </c>
      <c r="X148" s="310">
        <f>SUM(X142:X145)</f>
        <v>1816041.0000000002</v>
      </c>
      <c r="Y148" s="19"/>
    </row>
    <row r="149" spans="21:25">
      <c r="U149" s="300"/>
      <c r="V149" s="300"/>
      <c r="W149" s="300"/>
      <c r="X149" s="300"/>
      <c r="Y149" s="19"/>
    </row>
    <row r="150" spans="21:25">
      <c r="U150" s="300"/>
      <c r="V150" s="300"/>
      <c r="W150" s="300"/>
      <c r="X150" s="300"/>
      <c r="Y150" s="19"/>
    </row>
    <row r="151" spans="21:25">
      <c r="U151" s="300"/>
      <c r="V151" s="300"/>
      <c r="W151" s="300"/>
      <c r="X151" s="300"/>
      <c r="Y151" s="19"/>
    </row>
    <row r="152" spans="21:25">
      <c r="U152" s="300"/>
      <c r="V152" s="303">
        <v>44166</v>
      </c>
      <c r="W152" s="300"/>
      <c r="X152" s="304">
        <v>1811166</v>
      </c>
      <c r="Y152" s="19"/>
    </row>
    <row r="153" spans="21:25">
      <c r="U153" s="300" t="s">
        <v>469</v>
      </c>
      <c r="V153" s="305">
        <v>219445680.71657515</v>
      </c>
      <c r="W153" s="306">
        <f>V153/V159</f>
        <v>0.49213857291371738</v>
      </c>
      <c r="X153" s="307">
        <f>X152*W153</f>
        <v>891344.65054984589</v>
      </c>
      <c r="Y153" s="19"/>
    </row>
    <row r="154" spans="21:25">
      <c r="U154" s="311" t="s">
        <v>207</v>
      </c>
      <c r="V154" s="305">
        <v>42836540.770646311</v>
      </c>
      <c r="W154" s="306">
        <f>V154/V159</f>
        <v>9.6067117724016424E-2</v>
      </c>
      <c r="X154" s="307">
        <f>X152*W154</f>
        <v>173993.49733973594</v>
      </c>
      <c r="Y154" s="19"/>
    </row>
    <row r="155" spans="21:25">
      <c r="U155" s="300" t="s">
        <v>470</v>
      </c>
      <c r="V155" s="305">
        <v>154856428.72306007</v>
      </c>
      <c r="W155" s="306">
        <f>V155/V159</f>
        <v>0.3472878645386126</v>
      </c>
      <c r="X155" s="307">
        <f>X152*W155</f>
        <v>628995.97246494086</v>
      </c>
      <c r="Y155" s="19"/>
    </row>
    <row r="156" spans="21:25">
      <c r="U156" s="300" t="s">
        <v>471</v>
      </c>
      <c r="V156" s="305">
        <v>28763566.755444482</v>
      </c>
      <c r="W156" s="306">
        <f>V156/V159</f>
        <v>6.4506444823653739E-2</v>
      </c>
      <c r="X156" s="307">
        <f>X152*W156</f>
        <v>116831.87964547765</v>
      </c>
      <c r="Y156" s="19"/>
    </row>
    <row r="157" spans="21:25">
      <c r="U157" s="300"/>
      <c r="V157" s="305"/>
      <c r="W157" s="306"/>
      <c r="X157" s="310"/>
      <c r="Y157" s="19"/>
    </row>
    <row r="158" spans="21:25">
      <c r="U158" s="300"/>
      <c r="V158" s="308"/>
      <c r="W158" s="306"/>
      <c r="X158" s="304"/>
      <c r="Y158" s="19"/>
    </row>
    <row r="159" spans="21:25">
      <c r="U159" s="300"/>
      <c r="V159" s="310">
        <f>SUM(V153:V156)</f>
        <v>445902216.96572596</v>
      </c>
      <c r="W159" s="310">
        <f>SUM(W153:W156)</f>
        <v>1</v>
      </c>
      <c r="X159" s="310">
        <f>SUM(X153:X156)</f>
        <v>1811166.0000000002</v>
      </c>
      <c r="Y159" s="19"/>
    </row>
  </sheetData>
  <mergeCells count="12">
    <mergeCell ref="V24:AA24"/>
    <mergeCell ref="W11:X11"/>
    <mergeCell ref="W12:X12"/>
    <mergeCell ref="K49:M49"/>
    <mergeCell ref="Y12:Z12"/>
    <mergeCell ref="Y11:Z11"/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7" tint="0.39997558519241921"/>
    <pageSetUpPr fitToPage="1"/>
  </sheetPr>
  <dimension ref="A1:Y206"/>
  <sheetViews>
    <sheetView zoomScaleNormal="100" workbookViewId="0">
      <selection activeCell="N22" sqref="N22"/>
    </sheetView>
  </sheetViews>
  <sheetFormatPr defaultColWidth="7.109375" defaultRowHeight="12.75"/>
  <cols>
    <col min="1" max="1" width="4.77734375" style="30" customWidth="1"/>
    <col min="2" max="2" width="15.6640625" style="30" customWidth="1"/>
    <col min="3" max="3" width="7.109375" style="30" customWidth="1"/>
    <col min="4" max="4" width="8.777343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77734375" style="30" customWidth="1"/>
    <col min="10" max="10" width="11.21875" style="30" customWidth="1"/>
    <col min="11" max="11" width="8" style="30" customWidth="1"/>
    <col min="12" max="16384" width="7.109375" style="30"/>
  </cols>
  <sheetData>
    <row r="1" spans="1:11">
      <c r="K1" s="157"/>
    </row>
    <row r="2" spans="1:11">
      <c r="B2" s="103"/>
      <c r="C2" s="8"/>
      <c r="D2" s="8"/>
      <c r="E2" s="8"/>
      <c r="F2" s="8"/>
      <c r="G2" s="8"/>
      <c r="H2" s="8"/>
      <c r="J2" s="82" t="str">
        <f>+'CU AC Rate Design - True-Up'!H1</f>
        <v>Date: May 31, 2021</v>
      </c>
    </row>
    <row r="3" spans="1:11" ht="15" customHeight="1">
      <c r="A3" s="339" t="s">
        <v>360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1" ht="15" customHeight="1">
      <c r="A4" s="339" t="s">
        <v>77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1">
      <c r="B5" s="103"/>
      <c r="C5" s="8"/>
      <c r="D5" s="105"/>
      <c r="E5" s="8"/>
      <c r="G5" s="8"/>
      <c r="H5" s="8"/>
      <c r="I5" s="8"/>
      <c r="J5" s="8"/>
    </row>
    <row r="6" spans="1:11" ht="18.75">
      <c r="A6" s="158" t="s">
        <v>196</v>
      </c>
      <c r="B6" s="103"/>
      <c r="C6" s="8"/>
      <c r="D6" s="353" t="s">
        <v>474</v>
      </c>
      <c r="E6" s="354"/>
      <c r="F6" s="354"/>
      <c r="G6" s="354"/>
      <c r="H6" s="355"/>
      <c r="I6" s="8"/>
      <c r="J6" s="8"/>
    </row>
    <row r="7" spans="1:11" ht="13.5" thickBot="1">
      <c r="A7" s="159" t="s">
        <v>197</v>
      </c>
    </row>
    <row r="8" spans="1:11" ht="15">
      <c r="A8" s="56">
        <v>1</v>
      </c>
      <c r="B8" s="160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1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75" thickBot="1">
      <c r="A10" s="56">
        <f t="shared" ref="A10:A47" si="0">A9+1</f>
        <v>3</v>
      </c>
      <c r="B10" s="162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0">
        <v>278</v>
      </c>
      <c r="E11" s="77">
        <v>303</v>
      </c>
      <c r="F11" s="315">
        <v>1</v>
      </c>
      <c r="G11" s="77">
        <v>50</v>
      </c>
      <c r="H11" s="11">
        <v>255</v>
      </c>
      <c r="I11" s="160">
        <v>90</v>
      </c>
      <c r="J11" s="77">
        <f>SUM(D11:I11)</f>
        <v>977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1">
        <v>272</v>
      </c>
      <c r="E12" s="78">
        <v>302</v>
      </c>
      <c r="F12" s="316">
        <v>3</v>
      </c>
      <c r="G12" s="78">
        <v>50</v>
      </c>
      <c r="H12" s="13">
        <v>255</v>
      </c>
      <c r="I12" s="161">
        <v>86</v>
      </c>
      <c r="J12" s="78">
        <f t="shared" ref="J12:J21" si="1">SUM(D12:I12)</f>
        <v>968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1">
        <v>276</v>
      </c>
      <c r="E13" s="78">
        <v>298</v>
      </c>
      <c r="F13" s="316">
        <v>2</v>
      </c>
      <c r="G13" s="78">
        <v>47</v>
      </c>
      <c r="H13" s="13">
        <v>255</v>
      </c>
      <c r="I13" s="161">
        <v>85</v>
      </c>
      <c r="J13" s="78">
        <f t="shared" si="1"/>
        <v>963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1">
        <v>234</v>
      </c>
      <c r="E14" s="78">
        <v>282</v>
      </c>
      <c r="F14" s="316">
        <v>2</v>
      </c>
      <c r="G14" s="78">
        <v>43</v>
      </c>
      <c r="H14" s="13">
        <v>255</v>
      </c>
      <c r="I14" s="161">
        <v>93</v>
      </c>
      <c r="J14" s="78">
        <f t="shared" si="1"/>
        <v>909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1">
        <v>224</v>
      </c>
      <c r="E15" s="78">
        <v>221</v>
      </c>
      <c r="F15" s="316">
        <v>1</v>
      </c>
      <c r="G15" s="78">
        <v>40</v>
      </c>
      <c r="H15" s="13">
        <v>255</v>
      </c>
      <c r="I15" s="161">
        <v>93</v>
      </c>
      <c r="J15" s="78">
        <f t="shared" si="1"/>
        <v>834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1">
        <v>299</v>
      </c>
      <c r="E16" s="78">
        <v>209</v>
      </c>
      <c r="F16" s="316">
        <v>3</v>
      </c>
      <c r="G16" s="78">
        <v>62</v>
      </c>
      <c r="H16" s="13">
        <v>252</v>
      </c>
      <c r="I16" s="161">
        <v>92</v>
      </c>
      <c r="J16" s="78">
        <f t="shared" si="1"/>
        <v>917</v>
      </c>
      <c r="K16" s="76"/>
    </row>
    <row r="17" spans="1:25" ht="15">
      <c r="A17" s="56">
        <f t="shared" si="0"/>
        <v>10</v>
      </c>
      <c r="B17" s="23" t="s">
        <v>181</v>
      </c>
      <c r="C17" s="25"/>
      <c r="D17" s="161">
        <v>325</v>
      </c>
      <c r="E17" s="78">
        <v>225</v>
      </c>
      <c r="F17" s="316">
        <v>2</v>
      </c>
      <c r="G17" s="78">
        <v>59</v>
      </c>
      <c r="H17" s="13">
        <v>252</v>
      </c>
      <c r="I17" s="161">
        <v>89</v>
      </c>
      <c r="J17" s="78">
        <f t="shared" si="1"/>
        <v>952</v>
      </c>
      <c r="K17" s="76"/>
    </row>
    <row r="18" spans="1:25" ht="15">
      <c r="A18" s="56">
        <f t="shared" si="0"/>
        <v>11</v>
      </c>
      <c r="B18" s="23" t="s">
        <v>156</v>
      </c>
      <c r="C18" s="25"/>
      <c r="D18" s="161">
        <v>357</v>
      </c>
      <c r="E18" s="78">
        <v>235</v>
      </c>
      <c r="F18" s="316">
        <v>3</v>
      </c>
      <c r="G18" s="78">
        <v>69</v>
      </c>
      <c r="H18" s="13">
        <v>252</v>
      </c>
      <c r="I18" s="161">
        <v>87</v>
      </c>
      <c r="J18" s="78">
        <f t="shared" si="1"/>
        <v>1003</v>
      </c>
      <c r="K18" s="76"/>
    </row>
    <row r="19" spans="1:25" ht="15">
      <c r="A19" s="56">
        <f t="shared" si="0"/>
        <v>12</v>
      </c>
      <c r="B19" s="23" t="s">
        <v>182</v>
      </c>
      <c r="C19" s="25"/>
      <c r="D19" s="161">
        <v>305</v>
      </c>
      <c r="E19" s="78">
        <v>217</v>
      </c>
      <c r="F19" s="316">
        <v>2</v>
      </c>
      <c r="G19" s="78">
        <v>61</v>
      </c>
      <c r="H19" s="13">
        <v>252</v>
      </c>
      <c r="I19" s="161">
        <v>86</v>
      </c>
      <c r="J19" s="78">
        <f t="shared" si="1"/>
        <v>923</v>
      </c>
      <c r="K19" s="76"/>
    </row>
    <row r="20" spans="1:25" ht="15">
      <c r="A20" s="56">
        <f t="shared" si="0"/>
        <v>13</v>
      </c>
      <c r="B20" s="23" t="s">
        <v>157</v>
      </c>
      <c r="C20" s="25"/>
      <c r="D20" s="161">
        <v>259</v>
      </c>
      <c r="E20" s="78">
        <v>260</v>
      </c>
      <c r="F20" s="316">
        <v>2</v>
      </c>
      <c r="G20" s="78">
        <v>44</v>
      </c>
      <c r="H20" s="13">
        <v>252</v>
      </c>
      <c r="I20" s="161">
        <v>92</v>
      </c>
      <c r="J20" s="78">
        <f t="shared" si="1"/>
        <v>909</v>
      </c>
      <c r="K20" s="76"/>
    </row>
    <row r="21" spans="1:25" ht="15">
      <c r="A21" s="56">
        <f t="shared" si="0"/>
        <v>14</v>
      </c>
      <c r="B21" s="23" t="s">
        <v>158</v>
      </c>
      <c r="C21" s="25"/>
      <c r="D21" s="161">
        <v>234</v>
      </c>
      <c r="E21" s="78">
        <v>249</v>
      </c>
      <c r="F21" s="316">
        <v>2</v>
      </c>
      <c r="G21" s="78">
        <v>41</v>
      </c>
      <c r="H21" s="13">
        <v>252</v>
      </c>
      <c r="I21" s="161">
        <v>91</v>
      </c>
      <c r="J21" s="78">
        <f t="shared" si="1"/>
        <v>869</v>
      </c>
      <c r="K21" s="76"/>
    </row>
    <row r="22" spans="1:25" ht="15.75" thickBot="1">
      <c r="A22" s="56">
        <f t="shared" si="0"/>
        <v>15</v>
      </c>
      <c r="B22" s="26" t="s">
        <v>183</v>
      </c>
      <c r="C22" s="27"/>
      <c r="D22" s="162">
        <v>257</v>
      </c>
      <c r="E22" s="79">
        <v>261</v>
      </c>
      <c r="F22" s="317">
        <v>2</v>
      </c>
      <c r="G22" s="79">
        <v>46</v>
      </c>
      <c r="H22" s="317">
        <v>252</v>
      </c>
      <c r="I22" s="162">
        <v>91</v>
      </c>
      <c r="J22" s="79">
        <f>SUM(D22:I22)</f>
        <v>909</v>
      </c>
      <c r="K22" s="76"/>
    </row>
    <row r="23" spans="1:25" ht="15.75" thickBot="1">
      <c r="A23" s="56">
        <f t="shared" si="0"/>
        <v>16</v>
      </c>
      <c r="B23" s="163"/>
      <c r="C23" s="25"/>
      <c r="D23" s="17"/>
      <c r="E23" s="17"/>
      <c r="F23" s="17"/>
      <c r="G23" s="12"/>
      <c r="H23" s="13"/>
      <c r="I23" s="15"/>
      <c r="J23" s="17"/>
      <c r="K23" s="76"/>
    </row>
    <row r="24" spans="1:25" ht="15.75" thickBot="1">
      <c r="A24" s="56">
        <f t="shared" si="0"/>
        <v>17</v>
      </c>
      <c r="B24" s="164" t="s">
        <v>118</v>
      </c>
      <c r="C24" s="165"/>
      <c r="D24" s="99">
        <f t="shared" ref="D24:J24" si="2">SUM(D11:D22)/12</f>
        <v>276.66666666666669</v>
      </c>
      <c r="E24" s="18">
        <f t="shared" si="2"/>
        <v>255.16666666666666</v>
      </c>
      <c r="F24" s="166">
        <f t="shared" si="2"/>
        <v>2.0833333333333335</v>
      </c>
      <c r="G24" s="18">
        <f t="shared" si="2"/>
        <v>51</v>
      </c>
      <c r="H24" s="167">
        <f t="shared" si="2"/>
        <v>253.25</v>
      </c>
      <c r="I24" s="99">
        <f t="shared" si="2"/>
        <v>89.583333333333329</v>
      </c>
      <c r="J24" s="18">
        <f t="shared" si="2"/>
        <v>927.75</v>
      </c>
      <c r="K24" s="76"/>
    </row>
    <row r="25" spans="1:25">
      <c r="A25" s="56">
        <f t="shared" si="0"/>
        <v>18</v>
      </c>
    </row>
    <row r="26" spans="1:25" ht="18.75">
      <c r="A26" s="56">
        <f t="shared" si="0"/>
        <v>19</v>
      </c>
      <c r="B26" s="103"/>
      <c r="C26" s="8"/>
      <c r="D26" s="353" t="s">
        <v>475</v>
      </c>
      <c r="E26" s="354"/>
      <c r="F26" s="354"/>
      <c r="G26" s="354"/>
      <c r="H26" s="355"/>
      <c r="I26" s="8"/>
    </row>
    <row r="27" spans="1:25" ht="13.5" thickBot="1">
      <c r="A27" s="56">
        <f t="shared" si="0"/>
        <v>20</v>
      </c>
    </row>
    <row r="28" spans="1:25">
      <c r="A28" s="56">
        <f t="shared" si="0"/>
        <v>21</v>
      </c>
      <c r="B28" s="160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25">
      <c r="A29" s="56">
        <f t="shared" si="0"/>
        <v>22</v>
      </c>
      <c r="B29" s="161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25" ht="13.5" thickBot="1">
      <c r="A30" s="56">
        <f t="shared" si="0"/>
        <v>23</v>
      </c>
      <c r="B30" s="162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25">
      <c r="A31" s="56">
        <f t="shared" si="0"/>
        <v>24</v>
      </c>
      <c r="B31" s="23" t="s">
        <v>159</v>
      </c>
      <c r="C31" s="24"/>
      <c r="D31" s="318">
        <v>292</v>
      </c>
      <c r="E31" s="77">
        <v>343.16660000000002</v>
      </c>
      <c r="F31" s="315">
        <v>2</v>
      </c>
      <c r="G31" s="77">
        <v>55.55</v>
      </c>
      <c r="H31" s="11">
        <v>255</v>
      </c>
      <c r="I31" s="160">
        <v>80</v>
      </c>
      <c r="J31" s="77">
        <v>1027.7166</v>
      </c>
      <c r="K31" s="25"/>
      <c r="L31" s="168"/>
      <c r="S31" s="331"/>
      <c r="T31" s="331"/>
      <c r="U31" s="331"/>
      <c r="V31" s="331"/>
      <c r="W31" s="331"/>
      <c r="X31" s="331"/>
      <c r="Y31" s="331"/>
    </row>
    <row r="32" spans="1:25">
      <c r="A32" s="56">
        <f t="shared" si="0"/>
        <v>25</v>
      </c>
      <c r="B32" s="23" t="s">
        <v>179</v>
      </c>
      <c r="C32" s="25"/>
      <c r="D32" s="319">
        <v>305</v>
      </c>
      <c r="E32" s="78">
        <v>320.35219999999998</v>
      </c>
      <c r="F32" s="316">
        <v>3</v>
      </c>
      <c r="G32" s="78">
        <v>57.57</v>
      </c>
      <c r="H32" s="13">
        <v>255</v>
      </c>
      <c r="I32" s="161">
        <v>80</v>
      </c>
      <c r="J32" s="78">
        <v>1020.9222000000001</v>
      </c>
      <c r="K32" s="25"/>
      <c r="S32" s="331"/>
      <c r="T32" s="331"/>
      <c r="U32" s="331"/>
      <c r="V32" s="331"/>
      <c r="W32" s="331"/>
      <c r="X32" s="331"/>
      <c r="Y32" s="331"/>
    </row>
    <row r="33" spans="1:25">
      <c r="A33" s="56">
        <f t="shared" si="0"/>
        <v>26</v>
      </c>
      <c r="B33" s="23" t="s">
        <v>180</v>
      </c>
      <c r="C33" s="25"/>
      <c r="D33" s="319">
        <v>272</v>
      </c>
      <c r="E33" s="78">
        <v>317.50040000000001</v>
      </c>
      <c r="F33" s="316">
        <v>2</v>
      </c>
      <c r="G33" s="78">
        <v>52.52</v>
      </c>
      <c r="H33" s="13">
        <v>255</v>
      </c>
      <c r="I33" s="161">
        <v>80</v>
      </c>
      <c r="J33" s="78">
        <v>979.0204</v>
      </c>
      <c r="K33" s="25"/>
      <c r="S33" s="331"/>
      <c r="T33" s="331"/>
      <c r="U33" s="331"/>
      <c r="V33" s="331"/>
      <c r="W33" s="331"/>
      <c r="X33" s="331"/>
      <c r="Y33" s="331"/>
    </row>
    <row r="34" spans="1:25">
      <c r="A34" s="56">
        <f t="shared" si="0"/>
        <v>27</v>
      </c>
      <c r="B34" s="23" t="s">
        <v>190</v>
      </c>
      <c r="C34" s="25"/>
      <c r="D34" s="319">
        <v>234</v>
      </c>
      <c r="E34" s="78">
        <v>287.08119999999997</v>
      </c>
      <c r="F34" s="316">
        <v>3</v>
      </c>
      <c r="G34" s="78">
        <v>42.42</v>
      </c>
      <c r="H34" s="13">
        <v>255</v>
      </c>
      <c r="I34" s="161">
        <v>80</v>
      </c>
      <c r="J34" s="78">
        <v>901.50119999999993</v>
      </c>
      <c r="K34" s="25"/>
      <c r="S34" s="331"/>
      <c r="T34" s="331"/>
      <c r="U34" s="331"/>
      <c r="V34" s="331"/>
      <c r="W34" s="331"/>
      <c r="X34" s="331"/>
      <c r="Y34" s="331"/>
    </row>
    <row r="35" spans="1:25">
      <c r="A35" s="56">
        <f t="shared" si="0"/>
        <v>28</v>
      </c>
      <c r="B35" s="23" t="s">
        <v>191</v>
      </c>
      <c r="C35" s="25"/>
      <c r="D35" s="319">
        <v>261</v>
      </c>
      <c r="E35" s="78">
        <v>229.09459999999999</v>
      </c>
      <c r="F35" s="316">
        <v>3</v>
      </c>
      <c r="G35" s="78">
        <v>38.380000000000003</v>
      </c>
      <c r="H35" s="13">
        <v>255</v>
      </c>
      <c r="I35" s="161">
        <v>80</v>
      </c>
      <c r="J35" s="78">
        <v>866.47460000000001</v>
      </c>
      <c r="K35" s="25"/>
      <c r="S35" s="331"/>
      <c r="T35" s="331"/>
      <c r="U35" s="331"/>
      <c r="V35" s="331"/>
      <c r="W35" s="331"/>
      <c r="X35" s="331"/>
      <c r="Y35" s="331"/>
    </row>
    <row r="36" spans="1:25">
      <c r="A36" s="56">
        <f t="shared" si="0"/>
        <v>29</v>
      </c>
      <c r="B36" s="23" t="s">
        <v>192</v>
      </c>
      <c r="C36" s="25"/>
      <c r="D36" s="319">
        <v>325</v>
      </c>
      <c r="E36" s="78">
        <v>251.90900000000002</v>
      </c>
      <c r="F36" s="316">
        <v>3</v>
      </c>
      <c r="G36" s="78">
        <v>65</v>
      </c>
      <c r="H36" s="13">
        <v>252</v>
      </c>
      <c r="I36" s="161">
        <v>80</v>
      </c>
      <c r="J36" s="78">
        <v>976.90899999999999</v>
      </c>
      <c r="K36" s="25"/>
      <c r="S36" s="331"/>
      <c r="T36" s="331"/>
      <c r="U36" s="331"/>
      <c r="V36" s="331"/>
      <c r="W36" s="331"/>
      <c r="X36" s="331"/>
      <c r="Y36" s="331"/>
    </row>
    <row r="37" spans="1:25">
      <c r="A37" s="56">
        <f t="shared" si="0"/>
        <v>30</v>
      </c>
      <c r="B37" s="23" t="s">
        <v>181</v>
      </c>
      <c r="C37" s="25"/>
      <c r="D37" s="319">
        <v>355</v>
      </c>
      <c r="E37" s="78">
        <v>237.65</v>
      </c>
      <c r="F37" s="316">
        <v>4</v>
      </c>
      <c r="G37" s="78">
        <v>76</v>
      </c>
      <c r="H37" s="13">
        <v>252</v>
      </c>
      <c r="I37" s="161">
        <v>80</v>
      </c>
      <c r="J37" s="78">
        <v>1004.65</v>
      </c>
      <c r="K37" s="25"/>
      <c r="S37" s="331"/>
      <c r="T37" s="331"/>
      <c r="U37" s="331"/>
      <c r="V37" s="331"/>
      <c r="W37" s="331"/>
      <c r="X37" s="331"/>
      <c r="Y37" s="331"/>
    </row>
    <row r="38" spans="1:25">
      <c r="A38" s="56">
        <f t="shared" si="0"/>
        <v>31</v>
      </c>
      <c r="B38" s="23" t="s">
        <v>156</v>
      </c>
      <c r="C38" s="25"/>
      <c r="D38" s="319">
        <v>356</v>
      </c>
      <c r="E38" s="78">
        <v>251.52876000000003</v>
      </c>
      <c r="F38" s="316">
        <v>4</v>
      </c>
      <c r="G38" s="78">
        <v>65</v>
      </c>
      <c r="H38" s="13">
        <v>252</v>
      </c>
      <c r="I38" s="161">
        <v>80</v>
      </c>
      <c r="J38" s="78">
        <v>1008.52876</v>
      </c>
      <c r="K38" s="25"/>
      <c r="S38" s="331"/>
      <c r="T38" s="331"/>
      <c r="U38" s="331"/>
      <c r="V38" s="331"/>
      <c r="W38" s="331"/>
      <c r="X38" s="331"/>
      <c r="Y38" s="331"/>
    </row>
    <row r="39" spans="1:25">
      <c r="A39" s="56">
        <f t="shared" si="0"/>
        <v>32</v>
      </c>
      <c r="B39" s="23" t="s">
        <v>182</v>
      </c>
      <c r="C39" s="25"/>
      <c r="D39" s="319">
        <v>262</v>
      </c>
      <c r="E39" s="78">
        <v>254.32352399999999</v>
      </c>
      <c r="F39" s="316">
        <v>3</v>
      </c>
      <c r="G39" s="78">
        <v>59</v>
      </c>
      <c r="H39" s="13">
        <v>252</v>
      </c>
      <c r="I39" s="161">
        <v>80</v>
      </c>
      <c r="J39" s="78">
        <v>910.32352400000002</v>
      </c>
      <c r="K39" s="25"/>
      <c r="S39" s="331"/>
      <c r="T39" s="331"/>
      <c r="U39" s="331"/>
      <c r="V39" s="331"/>
      <c r="W39" s="331"/>
      <c r="X39" s="331"/>
      <c r="Y39" s="331"/>
    </row>
    <row r="40" spans="1:25">
      <c r="A40" s="56">
        <f t="shared" si="0"/>
        <v>33</v>
      </c>
      <c r="B40" s="23" t="s">
        <v>157</v>
      </c>
      <c r="C40" s="25"/>
      <c r="D40" s="319">
        <v>249</v>
      </c>
      <c r="E40" s="78">
        <v>242.21287999999998</v>
      </c>
      <c r="F40" s="316">
        <v>3</v>
      </c>
      <c r="G40" s="78">
        <v>40</v>
      </c>
      <c r="H40" s="13">
        <v>252</v>
      </c>
      <c r="I40" s="161">
        <v>80</v>
      </c>
      <c r="J40" s="78">
        <v>866.21288000000004</v>
      </c>
      <c r="K40" s="25"/>
      <c r="S40" s="331"/>
      <c r="T40" s="331"/>
      <c r="U40" s="331"/>
      <c r="V40" s="331"/>
      <c r="W40" s="331"/>
      <c r="X40" s="331"/>
      <c r="Y40" s="331"/>
    </row>
    <row r="41" spans="1:25">
      <c r="A41" s="56">
        <f t="shared" si="0"/>
        <v>34</v>
      </c>
      <c r="B41" s="23" t="s">
        <v>158</v>
      </c>
      <c r="C41" s="25"/>
      <c r="D41" s="319">
        <v>223</v>
      </c>
      <c r="E41" s="78">
        <v>298.10816</v>
      </c>
      <c r="F41" s="316">
        <v>2</v>
      </c>
      <c r="G41" s="78">
        <v>42</v>
      </c>
      <c r="H41" s="13">
        <v>252</v>
      </c>
      <c r="I41" s="161">
        <v>80</v>
      </c>
      <c r="J41" s="78">
        <v>897.10816</v>
      </c>
      <c r="K41" s="25"/>
      <c r="S41" s="331"/>
      <c r="T41" s="331"/>
      <c r="U41" s="331"/>
      <c r="V41" s="331"/>
      <c r="W41" s="331"/>
      <c r="X41" s="331"/>
      <c r="Y41" s="331"/>
    </row>
    <row r="42" spans="1:25" ht="13.5" thickBot="1">
      <c r="A42" s="56">
        <f t="shared" si="0"/>
        <v>35</v>
      </c>
      <c r="B42" s="26" t="s">
        <v>183</v>
      </c>
      <c r="C42" s="27"/>
      <c r="D42" s="320">
        <v>318</v>
      </c>
      <c r="E42" s="79">
        <v>324.19262400000002</v>
      </c>
      <c r="F42" s="317">
        <v>2</v>
      </c>
      <c r="G42" s="79">
        <v>55</v>
      </c>
      <c r="H42" s="317">
        <v>252</v>
      </c>
      <c r="I42" s="162">
        <v>80</v>
      </c>
      <c r="J42" s="79">
        <v>1031.192624</v>
      </c>
      <c r="K42" s="25"/>
      <c r="S42" s="331"/>
      <c r="T42" s="331"/>
      <c r="U42" s="331"/>
      <c r="V42" s="331"/>
      <c r="W42" s="331"/>
      <c r="X42" s="331"/>
      <c r="Y42" s="331"/>
    </row>
    <row r="43" spans="1:25" ht="13.5" thickBot="1">
      <c r="A43" s="56">
        <f t="shared" si="0"/>
        <v>36</v>
      </c>
      <c r="B43" s="163"/>
      <c r="C43" s="25"/>
      <c r="D43" s="17"/>
      <c r="E43" s="17"/>
      <c r="F43" s="17"/>
      <c r="G43" s="12"/>
      <c r="H43" s="13"/>
      <c r="I43" s="15"/>
      <c r="J43" s="80"/>
      <c r="K43" s="25"/>
      <c r="S43" s="331"/>
      <c r="T43" s="331"/>
      <c r="U43" s="331"/>
      <c r="V43" s="331"/>
      <c r="W43" s="331"/>
      <c r="X43" s="331"/>
      <c r="Y43" s="331"/>
    </row>
    <row r="44" spans="1:25" ht="13.5" thickBot="1">
      <c r="A44" s="56">
        <f t="shared" si="0"/>
        <v>37</v>
      </c>
      <c r="B44" s="164" t="s">
        <v>118</v>
      </c>
      <c r="C44" s="165"/>
      <c r="D44" s="18">
        <f t="shared" ref="D44:J44" si="3">SUM(D31:D42)/12</f>
        <v>287.66666666666669</v>
      </c>
      <c r="E44" s="18">
        <f t="shared" si="3"/>
        <v>279.75999566666673</v>
      </c>
      <c r="F44" s="18">
        <f t="shared" si="3"/>
        <v>2.8333333333333335</v>
      </c>
      <c r="G44" s="18">
        <f t="shared" si="3"/>
        <v>54.036666666666669</v>
      </c>
      <c r="H44" s="18">
        <f t="shared" si="3"/>
        <v>253.25</v>
      </c>
      <c r="I44" s="18">
        <f t="shared" si="3"/>
        <v>80</v>
      </c>
      <c r="J44" s="18">
        <f t="shared" si="3"/>
        <v>957.54666233333319</v>
      </c>
      <c r="K44" s="70"/>
      <c r="S44" s="331"/>
      <c r="T44" s="331"/>
      <c r="U44" s="331"/>
      <c r="V44" s="331"/>
      <c r="W44" s="331"/>
      <c r="X44" s="331"/>
      <c r="Y44" s="331"/>
    </row>
    <row r="45" spans="1:25">
      <c r="A45" s="56">
        <f t="shared" si="0"/>
        <v>38</v>
      </c>
      <c r="S45" s="331"/>
      <c r="T45" s="331"/>
      <c r="U45" s="331"/>
      <c r="V45" s="331"/>
      <c r="W45" s="331"/>
      <c r="X45" s="331"/>
      <c r="Y45" s="331"/>
    </row>
    <row r="46" spans="1:25">
      <c r="A46" s="56">
        <f t="shared" si="0"/>
        <v>39</v>
      </c>
      <c r="B46" s="29" t="s">
        <v>410</v>
      </c>
      <c r="C46" s="168"/>
      <c r="D46" s="169"/>
      <c r="E46" s="169"/>
      <c r="F46" s="169"/>
      <c r="G46" s="170"/>
      <c r="H46" s="170"/>
      <c r="I46" s="171"/>
    </row>
    <row r="47" spans="1:25">
      <c r="A47" s="56">
        <f t="shared" si="0"/>
        <v>40</v>
      </c>
      <c r="B47" s="29" t="s">
        <v>411</v>
      </c>
      <c r="C47" s="168"/>
      <c r="G47" s="170"/>
    </row>
    <row r="48" spans="1:25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72"/>
      <c r="C59" s="172"/>
      <c r="D59" s="172"/>
      <c r="E59" s="172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  <pageSetUpPr fitToPage="1"/>
  </sheetPr>
  <dimension ref="A1:R120"/>
  <sheetViews>
    <sheetView zoomScaleNormal="100" zoomScalePageLayoutView="125" workbookViewId="0">
      <selection activeCell="B3" sqref="B3:H3"/>
    </sheetView>
  </sheetViews>
  <sheetFormatPr defaultColWidth="8.5546875" defaultRowHeight="11.25"/>
  <cols>
    <col min="1" max="1" width="3.77734375" style="33" customWidth="1"/>
    <col min="2" max="2" width="18.44140625" style="33" customWidth="1"/>
    <col min="3" max="3" width="11.777343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0" width="8.5546875" style="33"/>
    <col min="11" max="11" width="9.33203125" style="33" bestFit="1" customWidth="1"/>
    <col min="12" max="12" width="8.5546875" style="33"/>
    <col min="13" max="13" width="11.88671875" style="33" customWidth="1"/>
    <col min="14" max="16384" width="8.5546875" style="33"/>
  </cols>
  <sheetData>
    <row r="1" spans="1:11" ht="12.75">
      <c r="C1" s="144"/>
      <c r="H1" s="53" t="str">
        <f>'CU AC Rate Design - True-Up'!H1</f>
        <v>Date: May 31, 2021</v>
      </c>
      <c r="J1" s="145"/>
    </row>
    <row r="2" spans="1:11">
      <c r="C2" s="39"/>
      <c r="D2" s="39"/>
      <c r="H2" s="53" t="s">
        <v>483</v>
      </c>
    </row>
    <row r="3" spans="1:11" ht="12.75">
      <c r="B3" s="356"/>
      <c r="C3" s="356"/>
      <c r="D3" s="356"/>
      <c r="E3" s="356"/>
      <c r="F3" s="356"/>
      <c r="G3" s="356"/>
      <c r="H3" s="356"/>
      <c r="J3" s="145"/>
    </row>
    <row r="4" spans="1:11" ht="12.75">
      <c r="B4" s="146"/>
      <c r="C4" s="144"/>
    </row>
    <row r="5" spans="1:11" ht="12" customHeight="1">
      <c r="B5" s="147"/>
    </row>
    <row r="8" spans="1:11" ht="13.5" customHeight="1">
      <c r="A8" s="148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49" t="s">
        <v>197</v>
      </c>
      <c r="B9" s="44" t="s">
        <v>322</v>
      </c>
      <c r="C9" s="149" t="s">
        <v>302</v>
      </c>
      <c r="D9" s="149" t="s">
        <v>198</v>
      </c>
      <c r="F9" s="149" t="s">
        <v>303</v>
      </c>
      <c r="G9" s="149" t="s">
        <v>199</v>
      </c>
      <c r="H9" s="149" t="s">
        <v>198</v>
      </c>
    </row>
    <row r="10" spans="1:11" ht="13.5" customHeight="1">
      <c r="G10" s="37"/>
    </row>
    <row r="11" spans="1:11">
      <c r="A11" s="36">
        <v>1</v>
      </c>
      <c r="B11" s="33" t="s">
        <v>476</v>
      </c>
      <c r="C11" s="33" t="s">
        <v>397</v>
      </c>
      <c r="D11" s="45">
        <f>75329+801658+218417+316188+965028+1492+54824+295871</f>
        <v>2728807</v>
      </c>
      <c r="F11" s="36" t="s">
        <v>387</v>
      </c>
      <c r="G11" s="37">
        <v>1</v>
      </c>
      <c r="H11" s="45">
        <f>D11*G11</f>
        <v>2728807</v>
      </c>
      <c r="J11" s="45"/>
    </row>
    <row r="12" spans="1:11">
      <c r="A12" s="36">
        <f>+A11+1</f>
        <v>2</v>
      </c>
      <c r="B12" s="33" t="s">
        <v>65</v>
      </c>
      <c r="C12" s="33" t="s">
        <v>399</v>
      </c>
      <c r="D12" s="45">
        <v>1492</v>
      </c>
      <c r="F12" s="36" t="s">
        <v>387</v>
      </c>
      <c r="G12" s="37">
        <f>+G11</f>
        <v>1</v>
      </c>
      <c r="H12" s="45">
        <f>D12*G12</f>
        <v>1492</v>
      </c>
      <c r="J12" s="45"/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54824</v>
      </c>
      <c r="F13" s="36" t="s">
        <v>387</v>
      </c>
      <c r="G13" s="37">
        <f>+G12</f>
        <v>1</v>
      </c>
      <c r="H13" s="45">
        <f>D13*G13</f>
        <v>54824</v>
      </c>
      <c r="J13" s="45"/>
      <c r="K13" s="282"/>
    </row>
    <row r="14" spans="1:11" ht="12" thickBot="1">
      <c r="A14" s="36">
        <f t="shared" si="0"/>
        <v>4</v>
      </c>
      <c r="B14" s="38" t="s">
        <v>325</v>
      </c>
      <c r="C14" s="39"/>
      <c r="D14" s="40">
        <f>+D11-D12-D13</f>
        <v>2672491</v>
      </c>
      <c r="H14" s="41">
        <f>+H11-H12-H13</f>
        <v>2672491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477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162681+663072+236767+287696+742738+78512-76296+84140</f>
        <v>2179310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78512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-76296</v>
      </c>
      <c r="F19" s="84"/>
      <c r="G19" s="84"/>
    </row>
    <row r="20" spans="1:7" ht="12" thickBot="1">
      <c r="A20" s="36">
        <f t="shared" si="0"/>
        <v>10</v>
      </c>
      <c r="D20" s="40">
        <f>+D17-D18-D19</f>
        <v>2177094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-495397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2177094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927750</v>
      </c>
      <c r="F28" s="150" t="s">
        <v>308</v>
      </c>
      <c r="G28" s="33" t="s">
        <v>465</v>
      </c>
    </row>
    <row r="29" spans="1:7" ht="12">
      <c r="A29" s="36">
        <f t="shared" si="0"/>
        <v>19</v>
      </c>
      <c r="F29" s="150"/>
    </row>
    <row r="30" spans="1:7" ht="12.75">
      <c r="A30" s="36">
        <f t="shared" si="0"/>
        <v>20</v>
      </c>
      <c r="B30" s="53" t="s">
        <v>309</v>
      </c>
      <c r="D30" s="54">
        <f>D27/D28</f>
        <v>2.3466386418755052</v>
      </c>
      <c r="E30" s="33" t="s">
        <v>310</v>
      </c>
      <c r="F30" s="151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0.19555322015629209</v>
      </c>
      <c r="E31" s="33" t="s">
        <v>310</v>
      </c>
      <c r="F31" s="151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4.5127666189913561E-2</v>
      </c>
      <c r="E32" s="33" t="s">
        <v>310</v>
      </c>
      <c r="F32" s="151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6.4291469640424797E-3</v>
      </c>
      <c r="E33" s="33" t="s">
        <v>310</v>
      </c>
      <c r="F33" s="151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0.26788112350177001</v>
      </c>
      <c r="E34" s="33" t="s">
        <v>310</v>
      </c>
      <c r="F34" s="151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52"/>
    </row>
    <row r="47" spans="1:8" ht="15">
      <c r="H47" s="153"/>
    </row>
    <row r="48" spans="1:8">
      <c r="H48" s="33" t="s">
        <v>194</v>
      </c>
    </row>
    <row r="52" spans="1:9" ht="14.25">
      <c r="C52" s="154"/>
    </row>
    <row r="53" spans="1:9" ht="14.25">
      <c r="C53" s="154"/>
    </row>
    <row r="54" spans="1:9" ht="14.25">
      <c r="C54" s="155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6"/>
      <c r="O92" s="156"/>
      <c r="P92" s="156"/>
      <c r="Q92" s="156"/>
      <c r="R92" s="156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6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6"/>
      <c r="O94" s="156"/>
      <c r="P94" s="156"/>
      <c r="Q94" s="156"/>
      <c r="R94" s="156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2019-04-05T14:41:30Z</cp:lastPrinted>
  <dcterms:created xsi:type="dcterms:W3CDTF">1997-04-03T19:40:56Z</dcterms:created>
  <dcterms:modified xsi:type="dcterms:W3CDTF">2022-03-04T15:22:29Z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