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Rates\BHE BHP\FERC\Common Use System\2019 CUS Filing (2020 rate)\"/>
    </mc:Choice>
  </mc:AlternateContent>
  <bookViews>
    <workbookView xWindow="360" yWindow="300" windowWidth="9720" windowHeight="7050" tabRatio="893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Additions'!$B$1:$G$59</definedName>
    <definedName name="_xlnm.Print_Area" localSheetId="3">'BHP WP3 Capital Additions'!$A$1:$F$30</definedName>
    <definedName name="_xlnm.Print_Area" localSheetId="0">'CU AC Rate Design'!$A$1:$H$36</definedName>
    <definedName name="_xlnm.Print_Area" localSheetId="1">Estimate!$A$1:$K$234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52511" iterate="1"/>
</workbook>
</file>

<file path=xl/calcChain.xml><?xml version="1.0" encoding="utf-8"?>
<calcChain xmlns="http://schemas.openxmlformats.org/spreadsheetml/2006/main">
  <c r="H28" i="41" l="1"/>
  <c r="J136" i="35" l="1"/>
  <c r="J144" i="35"/>
  <c r="J160" i="35" l="1"/>
  <c r="E28" i="42"/>
  <c r="E96" i="35" l="1"/>
  <c r="E93" i="35"/>
  <c r="J22" i="24"/>
  <c r="J21" i="24"/>
  <c r="J20" i="24"/>
  <c r="J19" i="24"/>
  <c r="J18" i="24"/>
  <c r="J17" i="24"/>
  <c r="J16" i="24"/>
  <c r="J15" i="24"/>
  <c r="J14" i="24"/>
  <c r="J13" i="24"/>
  <c r="J12" i="24"/>
  <c r="J11" i="24"/>
  <c r="D180" i="35" l="1"/>
  <c r="D179" i="35"/>
  <c r="D107" i="35"/>
  <c r="D89" i="35"/>
  <c r="D67" i="35"/>
  <c r="D65" i="35"/>
  <c r="D56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J184" i="35" l="1"/>
  <c r="H196" i="35" s="1"/>
  <c r="E90" i="35" l="1"/>
  <c r="E61" i="35" s="1"/>
  <c r="J140" i="35" l="1"/>
  <c r="J158" i="35"/>
  <c r="J58" i="35"/>
  <c r="F56" i="37"/>
  <c r="Q19" i="37"/>
  <c r="F12" i="41"/>
  <c r="E41" i="37"/>
  <c r="E40" i="37"/>
  <c r="E39" i="37"/>
  <c r="E38" i="37"/>
  <c r="E42" i="37"/>
  <c r="E37" i="37"/>
  <c r="E36" i="37"/>
  <c r="E35" i="37"/>
  <c r="Q29" i="37"/>
  <c r="Q25" i="37"/>
  <c r="F65" i="37"/>
  <c r="E65" i="37"/>
  <c r="E56" i="37"/>
  <c r="E55" i="35"/>
  <c r="E176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5" i="35"/>
  <c r="C94" i="35"/>
  <c r="C40" i="35"/>
  <c r="F21" i="42"/>
  <c r="F25" i="43" s="1"/>
  <c r="E64" i="35"/>
  <c r="E63" i="35"/>
  <c r="E62" i="35"/>
  <c r="E54" i="35"/>
  <c r="E53" i="35"/>
  <c r="E52" i="35"/>
  <c r="E51" i="35"/>
  <c r="E50" i="35"/>
  <c r="E33" i="35"/>
  <c r="E31" i="35"/>
  <c r="E30" i="35"/>
  <c r="J165" i="35" s="1"/>
  <c r="J166" i="35" s="1"/>
  <c r="E28" i="35"/>
  <c r="E27" i="35"/>
  <c r="E23" i="35"/>
  <c r="J23" i="35"/>
  <c r="E22" i="35"/>
  <c r="E21" i="35"/>
  <c r="E20" i="35"/>
  <c r="E19" i="35"/>
  <c r="J147" i="35" s="1"/>
  <c r="E16" i="35"/>
  <c r="E15" i="35"/>
  <c r="E38" i="35" s="1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24" i="24"/>
  <c r="D24" i="24"/>
  <c r="E24" i="24"/>
  <c r="F24" i="24"/>
  <c r="G24" i="24"/>
  <c r="H24" i="24"/>
  <c r="I24" i="24"/>
  <c r="R15" i="37"/>
  <c r="A16" i="37"/>
  <c r="R16" i="37"/>
  <c r="R36" i="37" s="1"/>
  <c r="A17" i="37"/>
  <c r="R17" i="37"/>
  <c r="R18" i="37"/>
  <c r="R38" i="37" s="1"/>
  <c r="R19" i="37"/>
  <c r="R20" i="37"/>
  <c r="R21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R25" i="37"/>
  <c r="R26" i="37"/>
  <c r="R27" i="37"/>
  <c r="R37" i="37" s="1"/>
  <c r="C28" i="37"/>
  <c r="C38" i="37" s="1"/>
  <c r="R28" i="37"/>
  <c r="C30" i="37"/>
  <c r="R30" i="37"/>
  <c r="R40" i="37" s="1"/>
  <c r="C31" i="37"/>
  <c r="R31" i="37"/>
  <c r="E34" i="35"/>
  <c r="E32" i="37"/>
  <c r="F32" i="37"/>
  <c r="G32" i="37"/>
  <c r="H32" i="37"/>
  <c r="I32" i="37"/>
  <c r="J32" i="37"/>
  <c r="K32" i="37"/>
  <c r="L32" i="37"/>
  <c r="M32" i="37"/>
  <c r="N32" i="37"/>
  <c r="O32" i="37"/>
  <c r="P32" i="37"/>
  <c r="C35" i="37"/>
  <c r="F35" i="37"/>
  <c r="G35" i="37"/>
  <c r="H35" i="37"/>
  <c r="I35" i="37"/>
  <c r="J35" i="37"/>
  <c r="K35" i="37"/>
  <c r="L35" i="37"/>
  <c r="M35" i="37"/>
  <c r="N35" i="37"/>
  <c r="O35" i="37"/>
  <c r="P35" i="37"/>
  <c r="P42" i="37" s="1"/>
  <c r="Q35" i="37"/>
  <c r="F36" i="37"/>
  <c r="G36" i="37"/>
  <c r="H36" i="37"/>
  <c r="I36" i="37"/>
  <c r="J36" i="37"/>
  <c r="K36" i="37"/>
  <c r="L36" i="37"/>
  <c r="M36" i="37"/>
  <c r="N36" i="37"/>
  <c r="O36" i="37"/>
  <c r="O42" i="37" s="1"/>
  <c r="P36" i="37"/>
  <c r="Q36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F38" i="37"/>
  <c r="G38" i="37"/>
  <c r="G42" i="37" s="1"/>
  <c r="H38" i="37"/>
  <c r="I38" i="37"/>
  <c r="J38" i="37"/>
  <c r="J42" i="37"/>
  <c r="K38" i="37"/>
  <c r="L38" i="37"/>
  <c r="M38" i="37"/>
  <c r="N38" i="37"/>
  <c r="O38" i="37"/>
  <c r="P38" i="37"/>
  <c r="Q38" i="37"/>
  <c r="F39" i="37"/>
  <c r="G39" i="37"/>
  <c r="H39" i="37"/>
  <c r="I39" i="37"/>
  <c r="J39" i="37"/>
  <c r="K39" i="37"/>
  <c r="K42" i="37" s="1"/>
  <c r="L39" i="37"/>
  <c r="M39" i="37"/>
  <c r="N39" i="37"/>
  <c r="O39" i="37"/>
  <c r="P39" i="37"/>
  <c r="C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C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G51" i="37"/>
  <c r="G56" i="37" s="1"/>
  <c r="G52" i="37"/>
  <c r="G53" i="37"/>
  <c r="G54" i="37"/>
  <c r="G58" i="37"/>
  <c r="G62" i="37"/>
  <c r="G65" i="37" s="1"/>
  <c r="G63" i="37"/>
  <c r="G64" i="37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/>
  <c r="B12" i="42" s="1"/>
  <c r="B13" i="42" s="1"/>
  <c r="B14" i="42" s="1"/>
  <c r="B15" i="42"/>
  <c r="B16" i="42" s="1"/>
  <c r="B17" i="42" s="1"/>
  <c r="B18" i="42" s="1"/>
  <c r="B19" i="42" s="1"/>
  <c r="B20" i="42" s="1"/>
  <c r="H115" i="42"/>
  <c r="H116" i="42" s="1"/>
  <c r="C27" i="35"/>
  <c r="G27" i="35"/>
  <c r="G50" i="35" s="1"/>
  <c r="G106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/>
  <c r="G54" i="35" s="1"/>
  <c r="G55" i="35" s="1"/>
  <c r="J68" i="35"/>
  <c r="I69" i="35"/>
  <c r="J69" i="35"/>
  <c r="G77" i="35"/>
  <c r="G78" i="35"/>
  <c r="G82" i="35"/>
  <c r="J84" i="35"/>
  <c r="G85" i="35"/>
  <c r="G86" i="35" s="1"/>
  <c r="G87" i="35"/>
  <c r="G88" i="35"/>
  <c r="H89" i="35"/>
  <c r="J89" i="35" s="1"/>
  <c r="E65" i="35"/>
  <c r="C93" i="35"/>
  <c r="C97" i="35"/>
  <c r="G103" i="35"/>
  <c r="G107" i="35"/>
  <c r="E108" i="35"/>
  <c r="E112" i="35"/>
  <c r="J124" i="35"/>
  <c r="I125" i="35"/>
  <c r="J125" i="35"/>
  <c r="E147" i="35"/>
  <c r="H174" i="35"/>
  <c r="H175" i="35"/>
  <c r="J193" i="35"/>
  <c r="J196" i="35"/>
  <c r="H197" i="35"/>
  <c r="J198" i="35"/>
  <c r="J200" i="35"/>
  <c r="I201" i="35"/>
  <c r="J201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A81" i="35"/>
  <c r="A82" i="35"/>
  <c r="A83" i="35" s="1"/>
  <c r="A84" i="35" s="1"/>
  <c r="A85" i="35" s="1"/>
  <c r="A86" i="35" s="1"/>
  <c r="A87" i="35" s="1"/>
  <c r="A88" i="35" s="1"/>
  <c r="A89" i="35" s="1"/>
  <c r="A90" i="35" s="1"/>
  <c r="J34" i="35"/>
  <c r="R41" i="37"/>
  <c r="G55" i="37"/>
  <c r="J46" i="35"/>
  <c r="E45" i="35"/>
  <c r="E43" i="35"/>
  <c r="I42" i="37"/>
  <c r="L42" i="37"/>
  <c r="H42" i="37"/>
  <c r="F42" i="37"/>
  <c r="E46" i="35"/>
  <c r="E39" i="35"/>
  <c r="J169" i="35"/>
  <c r="E42" i="35"/>
  <c r="E180" i="35" s="1"/>
  <c r="B21" i="42" l="1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1" i="35"/>
  <c r="A91" i="35"/>
  <c r="A92" i="35" s="1"/>
  <c r="A93" i="35" s="1"/>
  <c r="J148" i="35"/>
  <c r="J152" i="35"/>
  <c r="R29" i="37"/>
  <c r="R39" i="37" s="1"/>
  <c r="E32" i="35"/>
  <c r="E44" i="35" s="1"/>
  <c r="Q39" i="37"/>
  <c r="Q42" i="37" s="1"/>
  <c r="Q32" i="37"/>
  <c r="N42" i="37"/>
  <c r="A18" i="37"/>
  <c r="R35" i="37"/>
  <c r="R42" i="37" s="1"/>
  <c r="R22" i="37"/>
  <c r="C90" i="35"/>
  <c r="M42" i="37"/>
  <c r="H97" i="35"/>
  <c r="J97" i="35" s="1"/>
  <c r="E199" i="35"/>
  <c r="F197" i="35" s="1"/>
  <c r="J197" i="35" s="1"/>
  <c r="J199" i="35" s="1"/>
  <c r="E113" i="35" s="1"/>
  <c r="E198" i="35"/>
  <c r="J44" i="24"/>
  <c r="G22" i="41" s="1"/>
  <c r="E45" i="41" s="1"/>
  <c r="F15" i="41"/>
  <c r="G14" i="41" s="1"/>
  <c r="H14" i="41" s="1"/>
  <c r="E24" i="41" s="1"/>
  <c r="F24" i="41" s="1"/>
  <c r="H24" i="41" s="1"/>
  <c r="B41" i="42" l="1"/>
  <c r="B42" i="42" s="1"/>
  <c r="G23" i="41"/>
  <c r="G13" i="41"/>
  <c r="H13" i="41" s="1"/>
  <c r="E23" i="41" s="1"/>
  <c r="C22" i="42"/>
  <c r="A19" i="37"/>
  <c r="A94" i="35"/>
  <c r="A95" i="35" s="1"/>
  <c r="A96" i="35" s="1"/>
  <c r="A97" i="35" s="1"/>
  <c r="A98" i="35" s="1"/>
  <c r="R32" i="37"/>
  <c r="G15" i="41"/>
  <c r="G12" i="41"/>
  <c r="H12" i="41" s="1"/>
  <c r="E22" i="41" s="1"/>
  <c r="F23" i="41" l="1"/>
  <c r="H23" i="41" s="1"/>
  <c r="E25" i="41"/>
  <c r="E43" i="41" s="1"/>
  <c r="H15" i="41"/>
  <c r="G24" i="4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A99" i="35"/>
  <c r="A100" i="35" s="1"/>
  <c r="A101" i="35" s="1"/>
  <c r="A102" i="35" s="1"/>
  <c r="C98" i="35"/>
  <c r="A21" i="37" l="1"/>
  <c r="A103" i="35"/>
  <c r="A104" i="35" s="1"/>
  <c r="A105" i="35" s="1"/>
  <c r="A106" i="35" s="1"/>
  <c r="A107" i="35" s="1"/>
  <c r="A108" i="35" s="1"/>
  <c r="C108" i="35"/>
  <c r="D55" i="42"/>
  <c r="B55" i="42"/>
  <c r="D54" i="42"/>
  <c r="A109" i="35" l="1"/>
  <c r="A110" i="35" s="1"/>
  <c r="A111" i="35" s="1"/>
  <c r="A112" i="35" s="1"/>
  <c r="A113" i="35" s="1"/>
  <c r="B56" i="42"/>
  <c r="B57" i="42" s="1"/>
  <c r="B58" i="42" s="1"/>
  <c r="B59" i="42" s="1"/>
  <c r="D57" i="42"/>
  <c r="A22" i="37"/>
  <c r="A23" i="37" s="1"/>
  <c r="A24" i="37" s="1"/>
  <c r="A25" i="37" s="1"/>
  <c r="D22" i="37"/>
  <c r="A114" i="35" l="1"/>
  <c r="A115" i="35" s="1"/>
  <c r="A116" i="35" s="1"/>
  <c r="A117" i="35" s="1"/>
  <c r="A26" i="37"/>
  <c r="D35" i="37"/>
  <c r="A118" i="35" l="1"/>
  <c r="A119" i="35" s="1"/>
  <c r="A120" i="35" s="1"/>
  <c r="C122" i="35"/>
  <c r="A27" i="37"/>
  <c r="D36" i="37"/>
  <c r="A28" i="37" l="1"/>
  <c r="D37" i="37"/>
  <c r="A121" i="35"/>
  <c r="A122" i="35" s="1"/>
  <c r="A136" i="35" s="1"/>
  <c r="D117" i="35"/>
  <c r="A137" i="35" l="1"/>
  <c r="A138" i="35" s="1"/>
  <c r="A139" i="35" s="1"/>
  <c r="A29" i="37"/>
  <c r="D38" i="37"/>
  <c r="A140" i="35" l="1"/>
  <c r="A141" i="35" s="1"/>
  <c r="A30" i="37"/>
  <c r="D39" i="37"/>
  <c r="C139" i="35"/>
  <c r="A142" i="35" l="1"/>
  <c r="A143" i="35" s="1"/>
  <c r="A144" i="35" s="1"/>
  <c r="A145" i="35" s="1"/>
  <c r="A146" i="35" s="1"/>
  <c r="A147" i="35" s="1"/>
  <c r="C141" i="35"/>
  <c r="A31" i="37"/>
  <c r="D40" i="37"/>
  <c r="A32" i="37" l="1"/>
  <c r="A33" i="37" s="1"/>
  <c r="A34" i="37" s="1"/>
  <c r="A35" i="37" s="1"/>
  <c r="D41" i="37"/>
  <c r="D32" i="37"/>
  <c r="C152" i="35"/>
  <c r="A148" i="35"/>
  <c r="A149" i="35" s="1"/>
  <c r="A150" i="35" s="1"/>
  <c r="C144" i="35"/>
  <c r="A151" i="35" l="1"/>
  <c r="A152" i="35" s="1"/>
  <c r="A153" i="35" s="1"/>
  <c r="A154" i="35" s="1"/>
  <c r="A155" i="35" s="1"/>
  <c r="C140" i="35"/>
  <c r="C142" i="35"/>
  <c r="C150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6" i="35"/>
  <c r="A157" i="35" s="1"/>
  <c r="C157" i="35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l="1"/>
  <c r="A63" i="37" s="1"/>
  <c r="A64" i="37" s="1"/>
  <c r="A65" i="37" s="1"/>
  <c r="A158" i="35"/>
  <c r="C159" i="35"/>
  <c r="D56" i="37"/>
  <c r="D65" i="37" l="1"/>
  <c r="A159" i="35"/>
  <c r="C160" i="35"/>
  <c r="A160" i="35" l="1"/>
  <c r="A161" i="35" s="1"/>
  <c r="A162" i="35" s="1"/>
  <c r="A163" i="35" s="1"/>
  <c r="A164" i="35" s="1"/>
  <c r="A165" i="35" s="1"/>
  <c r="C162" i="35"/>
  <c r="A166" i="35" l="1"/>
  <c r="A167" i="35" s="1"/>
  <c r="C167" i="35"/>
  <c r="A168" i="35" l="1"/>
  <c r="A169" i="35" s="1"/>
  <c r="A170" i="35" s="1"/>
  <c r="A171" i="35" s="1"/>
  <c r="A172" i="35" s="1"/>
  <c r="A173" i="35" s="1"/>
  <c r="A174" i="35" s="1"/>
  <c r="C169" i="35"/>
  <c r="C158" i="35"/>
  <c r="A175" i="35" l="1"/>
  <c r="A176" i="35" s="1"/>
  <c r="A177" i="35" s="1"/>
  <c r="A178" i="35" s="1"/>
  <c r="A179" i="35" s="1"/>
  <c r="C176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E193" i="35"/>
  <c r="D198" i="35" l="1"/>
  <c r="A194" i="35"/>
  <c r="A195" i="35" s="1"/>
  <c r="A196" i="35" s="1"/>
  <c r="C114" i="35" l="1"/>
  <c r="C199" i="35"/>
  <c r="A197" i="35"/>
  <c r="A198" i="35" s="1"/>
  <c r="A199" i="35" s="1"/>
  <c r="C120" i="35" s="1"/>
  <c r="F20" i="42" l="1"/>
  <c r="F21" i="43"/>
  <c r="F15" i="43"/>
  <c r="F22" i="42" l="1"/>
  <c r="E94" i="35" s="1"/>
  <c r="E17" i="35"/>
  <c r="D23" i="43"/>
  <c r="F14" i="43"/>
  <c r="F23" i="43" s="1"/>
  <c r="F27" i="43" l="1"/>
  <c r="E95" i="35" s="1"/>
  <c r="E18" i="35"/>
  <c r="E24" i="35"/>
  <c r="E98" i="35"/>
  <c r="E122" i="35" s="1"/>
  <c r="E41" i="35" l="1"/>
  <c r="J139" i="35" l="1"/>
  <c r="J141" i="35" s="1"/>
  <c r="J142" i="35"/>
  <c r="H81" i="35" l="1"/>
  <c r="H93" i="35"/>
  <c r="G179" i="35"/>
  <c r="H16" i="35"/>
  <c r="F173" i="35"/>
  <c r="H173" i="35" s="1"/>
  <c r="H176" i="35" s="1"/>
  <c r="J176" i="35" s="1"/>
  <c r="H63" i="35"/>
  <c r="J63" i="35" s="1"/>
  <c r="H17" i="35" l="1"/>
  <c r="J16" i="35"/>
  <c r="J93" i="35"/>
  <c r="H94" i="35"/>
  <c r="H102" i="35"/>
  <c r="H20" i="35"/>
  <c r="J81" i="35"/>
  <c r="H88" i="35"/>
  <c r="J88" i="35" s="1"/>
  <c r="H82" i="35"/>
  <c r="J82" i="35" s="1"/>
  <c r="H95" i="35" l="1"/>
  <c r="J95" i="35" s="1"/>
  <c r="J94" i="35"/>
  <c r="H21" i="35"/>
  <c r="J21" i="35" s="1"/>
  <c r="J20" i="35"/>
  <c r="H31" i="35"/>
  <c r="J102" i="35"/>
  <c r="H103" i="35"/>
  <c r="J103" i="35" s="1"/>
  <c r="J17" i="35"/>
  <c r="H18" i="35"/>
  <c r="J18" i="35" s="1"/>
  <c r="J41" i="35" s="1"/>
  <c r="F28" i="42" l="1"/>
  <c r="E29" i="42"/>
  <c r="J31" i="35"/>
  <c r="J43" i="35" s="1"/>
  <c r="H83" i="35"/>
  <c r="H32" i="35"/>
  <c r="J32" i="35" s="1"/>
  <c r="J44" i="35" s="1"/>
  <c r="E30" i="42" l="1"/>
  <c r="F29" i="42"/>
  <c r="H85" i="35"/>
  <c r="H96" i="35"/>
  <c r="J96" i="35" s="1"/>
  <c r="J98" i="35" s="1"/>
  <c r="H87" i="35"/>
  <c r="J87" i="35" s="1"/>
  <c r="J83" i="35"/>
  <c r="H86" i="35" l="1"/>
  <c r="J86" i="35" s="1"/>
  <c r="J85" i="35"/>
  <c r="E31" i="42"/>
  <c r="F30" i="42"/>
  <c r="J90" i="35" l="1"/>
  <c r="J61" i="35" s="1"/>
  <c r="E32" i="42"/>
  <c r="F31" i="42"/>
  <c r="F32" i="42" l="1"/>
  <c r="E33" i="42"/>
  <c r="E34" i="42" l="1"/>
  <c r="F33" i="42"/>
  <c r="E35" i="42" l="1"/>
  <c r="F34" i="42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F57" i="42" s="1"/>
  <c r="E29" i="35" s="1"/>
  <c r="J155" i="35" l="1"/>
  <c r="E35" i="35"/>
  <c r="E47" i="35" s="1"/>
  <c r="E40" i="35"/>
  <c r="E179" i="35" s="1"/>
  <c r="E181" i="35" s="1"/>
  <c r="F180" i="35" l="1"/>
  <c r="F179" i="35"/>
  <c r="J157" i="35"/>
  <c r="J159" i="35" s="1"/>
  <c r="J162" i="35" l="1"/>
  <c r="H28" i="35" s="1"/>
  <c r="H29" i="35" s="1"/>
  <c r="J29" i="35" s="1"/>
  <c r="J40" i="35" s="1"/>
  <c r="F181" i="35"/>
  <c r="H179" i="35"/>
  <c r="J181" i="35" s="1"/>
  <c r="J28" i="35" l="1"/>
  <c r="J39" i="35" s="1"/>
  <c r="H22" i="35"/>
  <c r="H62" i="35"/>
  <c r="J62" i="35" s="1"/>
  <c r="J22" i="35" l="1"/>
  <c r="H33" i="35"/>
  <c r="J33" i="35" s="1"/>
  <c r="J35" i="35" s="1"/>
  <c r="J45" i="35" l="1"/>
  <c r="J47" i="35" s="1"/>
  <c r="H47" i="35" s="1"/>
  <c r="J24" i="35"/>
  <c r="H24" i="35" s="1"/>
  <c r="H64" i="35" l="1"/>
  <c r="J64" i="35" s="1"/>
  <c r="J65" i="35" s="1"/>
  <c r="H105" i="35"/>
  <c r="H51" i="35"/>
  <c r="H52" i="35"/>
  <c r="H53" i="35" l="1"/>
  <c r="J53" i="35" s="1"/>
  <c r="H54" i="35"/>
  <c r="J52" i="35"/>
  <c r="J105" i="35"/>
  <c r="J108" i="35" s="1"/>
  <c r="H107" i="35"/>
  <c r="J107" i="35" s="1"/>
  <c r="H55" i="35" l="1"/>
  <c r="J55" i="35" s="1"/>
  <c r="J54" i="35"/>
  <c r="J56" i="35" l="1"/>
  <c r="J67" i="35" s="1"/>
  <c r="J120" i="35" s="1"/>
  <c r="J117" i="35" s="1"/>
  <c r="J122" i="35" s="1"/>
  <c r="D22" i="41" s="1"/>
  <c r="F22" i="41" l="1"/>
  <c r="H22" i="41" s="1"/>
  <c r="D25" i="41"/>
  <c r="E42" i="41" s="1"/>
  <c r="H25" i="41" l="1"/>
  <c r="F28" i="41" s="1"/>
  <c r="F25" i="41"/>
  <c r="E44" i="41" s="1"/>
  <c r="E46" i="41" s="1"/>
  <c r="F29" i="41" l="1"/>
  <c r="H29" i="41" s="1"/>
  <c r="F30" i="41"/>
  <c r="F32" i="41" l="1"/>
  <c r="F31" i="41"/>
  <c r="H30" i="41"/>
  <c r="F33" i="41" l="1"/>
  <c r="H33" i="41" s="1"/>
  <c r="H31" i="41"/>
  <c r="H32" i="41"/>
  <c r="F34" i="41"/>
  <c r="H34" i="41" s="1"/>
</calcChain>
</file>

<file path=xl/comments1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>
  <authors>
    <author>Godsell, Karen</author>
  </authors>
  <commentList>
    <comment ref="Q26" authorId="0" shapeId="0">
      <text>
        <r>
          <rPr>
            <b/>
            <sz val="9"/>
            <color indexed="81"/>
            <rFont val="Tahoma"/>
            <family val="2"/>
          </rPr>
          <t>Godsell, Karen:</t>
        </r>
        <r>
          <rPr>
            <sz val="9"/>
            <color indexed="81"/>
            <rFont val="Tahoma"/>
            <family val="2"/>
          </rPr>
          <t xml:space="preserve">
Balance differs from FF1 Dec 2018.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>Godsell, Karen:</t>
        </r>
        <r>
          <rPr>
            <sz val="9"/>
            <color indexed="81"/>
            <rFont val="Tahoma"/>
            <family val="2"/>
          </rPr>
          <t xml:space="preserve">
Balance differs from FF1 Dec 2018.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Godsell, Karen:</t>
        </r>
        <r>
          <rPr>
            <sz val="9"/>
            <color indexed="81"/>
            <rFont val="Tahoma"/>
            <family val="2"/>
          </rPr>
          <t xml:space="preserve">
Is this description correct? Calc in 2019 rates is:
(232.1.f*0.21) - 278.3.f. (On 2018 filing, def tax (acct 254015,  is on line 278.2.f)</t>
        </r>
      </text>
    </comment>
  </commentList>
</comments>
</file>

<file path=xl/comments3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<sst xmlns="http://schemas.openxmlformats.org/spreadsheetml/2006/main" count="632" uniqueCount="400">
  <si>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</si>
  <si>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</si>
  <si>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</si>
  <si>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</si>
  <si>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</si>
  <si>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</si>
  <si>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</si>
  <si>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</si>
  <si>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</si>
  <si>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</si>
  <si>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</si>
  <si>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Total General Plant</t>
  </si>
  <si>
    <t>Tools, Shop and Garage Equipment</t>
  </si>
  <si>
    <t>Proprietary Capital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</si>
  <si>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</si>
  <si>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</si>
  <si>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</si>
  <si>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</si>
  <si>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</si>
  <si>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</si>
  <si>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</si>
  <si>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</si>
  <si>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</si>
  <si>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</si>
  <si>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</si>
  <si>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</si>
  <si>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</si>
  <si>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</si>
  <si>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</si>
  <si>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</si>
  <si>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</si>
  <si>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</si>
  <si>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</si>
  <si>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</si>
  <si>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</si>
  <si>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</si>
  <si>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</si>
  <si>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BHP</t>
  </si>
  <si>
    <t>Allocation of the Revenue Credits to the Common Use AC Facilities: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</si>
  <si>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</si>
  <si>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</si>
  <si>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</si>
  <si>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</si>
  <si>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</si>
  <si>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</si>
  <si>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</si>
  <si>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</si>
  <si>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</si>
  <si>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</si>
  <si>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</si>
  <si>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</si>
  <si>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</si>
  <si>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</si>
  <si>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</si>
  <si>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</si>
  <si>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</si>
  <si>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</si>
  <si>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</si>
  <si>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</si>
  <si>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</si>
  <si>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</si>
  <si>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</si>
  <si>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</si>
  <si>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</si>
  <si>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</si>
  <si>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</si>
  <si>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</si>
  <si>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</si>
  <si>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</si>
  <si>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</si>
  <si>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</si>
  <si>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</si>
  <si>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</si>
  <si>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</si>
  <si>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</si>
  <si>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</si>
  <si>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</si>
  <si>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</si>
  <si>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</si>
  <si>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</si>
  <si>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</si>
  <si>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</si>
  <si>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</si>
  <si>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</si>
  <si>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</si>
  <si>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</si>
  <si>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</si>
  <si>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</si>
  <si>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</si>
  <si>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</si>
  <si>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</si>
  <si>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</si>
  <si>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</si>
  <si>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</si>
  <si>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</si>
  <si>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</si>
  <si>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</si>
  <si>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</si>
  <si>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</si>
  <si>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</si>
  <si>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</si>
  <si>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</si>
  <si>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</si>
  <si>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</si>
  <si>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</si>
  <si>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</si>
  <si>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</si>
  <si>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</si>
  <si>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</si>
  <si>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</si>
  <si>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August</t>
  </si>
  <si>
    <t>October</t>
  </si>
  <si>
    <t>November</t>
  </si>
  <si>
    <t>January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</si>
  <si>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</si>
  <si>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</si>
  <si>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</si>
  <si>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</si>
  <si>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</si>
  <si>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</si>
  <si>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</si>
  <si>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</si>
  <si>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</si>
  <si>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</si>
  <si>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</si>
  <si>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</si>
  <si>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</si>
  <si>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</si>
  <si>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</si>
  <si>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</si>
  <si>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</si>
  <si>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</si>
  <si>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</si>
  <si>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</si>
  <si>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</si>
  <si>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</si>
  <si>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</si>
  <si>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</si>
  <si>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</si>
  <si>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</si>
  <si>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</si>
  <si>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</si>
  <si>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</si>
  <si>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</si>
  <si>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</si>
  <si>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</si>
  <si>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</si>
  <si>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</si>
  <si>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</si>
  <si>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</si>
  <si>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</si>
  <si>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</si>
  <si>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</si>
  <si>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</si>
  <si>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</si>
  <si>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</si>
  <si>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</si>
  <si>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</si>
  <si>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</si>
  <si>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</si>
  <si>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</si>
  <si>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</si>
  <si>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</si>
  <si>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</si>
  <si>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</si>
  <si>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</si>
  <si>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</si>
  <si>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</si>
  <si>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</si>
  <si>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</si>
  <si>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</si>
  <si>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</si>
  <si>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</si>
  <si>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</si>
  <si>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</si>
  <si>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</si>
  <si>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</si>
  <si>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</si>
  <si>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</si>
  <si>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</si>
  <si>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</si>
  <si>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</si>
  <si>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</si>
  <si>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</si>
  <si>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</si>
  <si>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</si>
  <si>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</si>
  <si>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</si>
  <si>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</si>
  <si>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</si>
  <si>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</si>
  <si>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</si>
  <si>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</si>
  <si>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</si>
  <si>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</si>
  <si>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</si>
  <si>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</si>
  <si>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</si>
  <si>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</si>
  <si>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</si>
  <si>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</si>
  <si>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</si>
  <si>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</si>
  <si>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</si>
  <si>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</si>
  <si>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</si>
  <si>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</si>
  <si>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</si>
  <si>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</si>
  <si>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</si>
  <si>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</si>
  <si>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</si>
  <si>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</si>
  <si>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</si>
  <si>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</si>
  <si>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</si>
  <si>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</si>
  <si>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</si>
  <si>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</si>
  <si>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</si>
  <si>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</si>
  <si>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</si>
  <si>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</si>
  <si>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</si>
  <si>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</si>
  <si>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</si>
  <si>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</si>
  <si>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</si>
  <si>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</si>
  <si>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</si>
  <si>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</si>
  <si>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</si>
  <si>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</si>
  <si>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</si>
  <si>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 xml:space="preserve">  Distribution </t>
  </si>
  <si>
    <t>WORKING CAPITAL  (Notes C &amp; H)</t>
  </si>
  <si>
    <t>Annual Rate</t>
  </si>
  <si>
    <t>Black Hills Power, Inc.</t>
  </si>
  <si>
    <t>Cost of Service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</si>
  <si>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</si>
  <si>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</si>
  <si>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</si>
  <si>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</si>
  <si>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</si>
  <si>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</si>
  <si>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</si>
  <si>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</si>
  <si>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</si>
  <si>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</si>
  <si>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</si>
  <si>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</si>
  <si>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</si>
  <si>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</si>
  <si>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</si>
  <si>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</si>
  <si>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</si>
  <si>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</si>
  <si>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</si>
  <si>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</si>
  <si>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</si>
  <si>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</si>
  <si>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</si>
  <si>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</si>
  <si>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</si>
  <si>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</si>
  <si>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</si>
  <si>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</si>
  <si>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</si>
  <si>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</si>
  <si>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</si>
  <si>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</si>
  <si>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</si>
  <si>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</si>
  <si>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</si>
  <si>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</si>
  <si>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</si>
  <si>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</si>
  <si>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</si>
  <si>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</si>
  <si>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</si>
  <si>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</si>
  <si>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</si>
  <si>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</si>
  <si>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</si>
  <si>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</si>
  <si>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</si>
  <si>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</si>
  <si>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</si>
  <si>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</si>
  <si>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</si>
  <si>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</si>
  <si>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</si>
  <si>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</si>
  <si>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</si>
  <si>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</si>
  <si>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</si>
  <si>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</si>
  <si>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</si>
  <si>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</si>
  <si>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</si>
  <si>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</si>
  <si>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</si>
  <si>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</si>
  <si>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</si>
  <si>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</si>
  <si>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</si>
  <si>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</si>
  <si>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</si>
  <si>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</si>
  <si>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</si>
  <si>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</si>
  <si>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</si>
  <si>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</si>
  <si>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207.99.g - line 6</t>
  </si>
  <si>
    <t>219.20-24.c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</si>
  <si>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</si>
  <si>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</si>
  <si>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</si>
  <si>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</si>
  <si>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</si>
  <si>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Rates*</t>
  </si>
  <si>
    <t>Date</t>
  </si>
  <si>
    <t>(Note H)</t>
  </si>
  <si>
    <t>321.84-92.b &amp; 96.b</t>
  </si>
  <si>
    <t>336.7.b</t>
  </si>
  <si>
    <t>336.10.b &amp; 336.1.d&amp;e</t>
  </si>
  <si>
    <t>263.3i, 263.4i, 263.12i</t>
  </si>
  <si>
    <t>263.23i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</si>
  <si>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</si>
  <si>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</si>
  <si>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</si>
  <si>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</si>
  <si>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</si>
  <si>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Expense</t>
  </si>
  <si>
    <t>in Service</t>
  </si>
  <si>
    <t>Depreciation</t>
  </si>
  <si>
    <t>Asset Placed</t>
  </si>
  <si>
    <t>(Col A * Depr Rate/12)</t>
  </si>
  <si>
    <t>(A)</t>
  </si>
  <si>
    <t>Transmission Plant Depreciation Rate (WP 5 line 11)</t>
  </si>
  <si>
    <t>Monthly Additions to the CUS System (over $1,000,000)</t>
  </si>
  <si>
    <t>Amount Placed</t>
  </si>
  <si>
    <t xml:space="preserve"> WORKPAPER 2
CAPITAL ADDITIONS
BLACK HILLS POWER, INC.</t>
  </si>
  <si>
    <t>BHP-11 Page 6</t>
  </si>
  <si>
    <t>Annual Transmission Depreciation Expense (line 19 x line 21)</t>
  </si>
  <si>
    <t>Weighted Amount in Service</t>
  </si>
  <si>
    <t>Weighting</t>
  </si>
  <si>
    <t>Monthly Incremental Addition to the CUS System</t>
  </si>
  <si>
    <t>(D) = (B) * (C)/12</t>
  </si>
  <si>
    <t>(C)</t>
  </si>
  <si>
    <t>(B)</t>
  </si>
  <si>
    <t>WORKPAPER 3
CAPITAL ADDITIONS
BLACK HILLS POWER, INC.</t>
  </si>
  <si>
    <t>BHP-11 Page 7</t>
  </si>
  <si>
    <t>BHP-11 Page 11</t>
  </si>
  <si>
    <t>BHP-11 Page 9</t>
  </si>
  <si>
    <t>(line 4)</t>
  </si>
  <si>
    <t xml:space="preserve">  New Construction CUS Assets</t>
  </si>
  <si>
    <t>See Workpaper 2 (line 9)</t>
  </si>
  <si>
    <t>See Workpaper 3 (line 19 col D)</t>
  </si>
  <si>
    <t xml:space="preserve">  Additional Transmission Depr</t>
  </si>
  <si>
    <t>See Workpaper 2 (line 13)</t>
  </si>
  <si>
    <t>See Workpaper 3 (line 23)</t>
  </si>
  <si>
    <t>BHP-11 Page 8</t>
  </si>
  <si>
    <t>WORKPAPER 5
DEPRECIATION RATES
BLACK HILLS POWER, INC</t>
  </si>
  <si>
    <t>See Workpaper 4 (line 5 col 1)</t>
  </si>
  <si>
    <t>See Workpaper 5 (line 5)</t>
  </si>
  <si>
    <t>207.94g</t>
  </si>
  <si>
    <t>See Workpaper 4 (line 24 col 1)</t>
  </si>
  <si>
    <t>See Workpaper 5 (line 11)</t>
  </si>
  <si>
    <t>See Workpaper 4 (line 22 col 2)</t>
  </si>
  <si>
    <t>(Note A)</t>
  </si>
  <si>
    <t>214.x.d  (Notes B)</t>
  </si>
  <si>
    <t>(Workpaper 1 line 11)</t>
  </si>
  <si>
    <t>Column (3) lines 2 - 4</t>
  </si>
  <si>
    <t>Column (3) lines 14 - 15</t>
  </si>
  <si>
    <t>MW-year</t>
  </si>
  <si>
    <t>Amount based on actual calendar year 2018</t>
  </si>
  <si>
    <t>FOR RATES EFFECTIVE JANUARY 1, 2020</t>
  </si>
  <si>
    <t>Projected 2020 Load</t>
  </si>
  <si>
    <t>Total 2019 CUS Transmission Assets Place in Service</t>
  </si>
  <si>
    <t xml:space="preserve">Jan-19 - See line 2 col 5 of Estimate </t>
  </si>
  <si>
    <t>Transmission Accumulated Depreciation for 2019 &amp; 2020</t>
  </si>
  <si>
    <t>Subtotal of 2019 Increase for Accumulated Depreciation</t>
  </si>
  <si>
    <t>See WP3 for additional information on 2020 Transmission Additions</t>
  </si>
  <si>
    <t>2020 Weighted Average Plant in Service Additions for projects over $1,000,000</t>
  </si>
  <si>
    <t>12/31/17 &amp; 12/31/18 average balance</t>
  </si>
  <si>
    <r>
      <t>2020 Projected Load Data</t>
    </r>
    <r>
      <rPr>
        <b/>
        <vertAlign val="superscript"/>
        <sz val="12"/>
        <rFont val="Arial"/>
        <family val="2"/>
      </rPr>
      <t>2</t>
    </r>
  </si>
  <si>
    <t>(232.1.f - 278.3.f)*0.21</t>
  </si>
  <si>
    <t>BHP-11 Page 1 
Date: September 30, 2019</t>
  </si>
  <si>
    <t>* The above rates were developed in June 2006. See Note I on tab: Estimate.</t>
  </si>
  <si>
    <t>214.x.d  (Notes B &amp; H on tab: Estimate)</t>
  </si>
  <si>
    <t>WORKING CAPITAL  EXCLUDING CASH WORKING CAPITAL (Notes C &amp; H on tab: Estimate)</t>
  </si>
  <si>
    <t>For the True-Up calculation only, Gross Plant, Accumulated Depreciation and Net Plant are based on the 13-monthly plant balances.</t>
  </si>
  <si>
    <t>ADJUSTMENTS TO RATE BASE       (Notes A &amp; H on tab: Estimate)</t>
  </si>
  <si>
    <t>(232.1.f - 278.1.f - 278.3.f)*.35</t>
  </si>
  <si>
    <t>Note 1: The capital additions in May 2020 (line 10) are for the West Rapid City 230KV Line and the West Rapid City Substation</t>
  </si>
  <si>
    <t>Note 1: The capital additions in September 2019 (line 11) are for the State Line - Stegall  230KV Rebuild</t>
  </si>
  <si>
    <t>Note 2: The capital additions in December 2019 (line 14) are for the Sagebrush 230/69KV Substation</t>
  </si>
  <si>
    <r>
      <t>2018 Actual Load Data</t>
    </r>
    <r>
      <rPr>
        <b/>
        <vertAlign val="superscript"/>
        <sz val="12"/>
        <rFont val="Arial"/>
        <family val="2"/>
      </rPr>
      <t>1</t>
    </r>
  </si>
  <si>
    <t xml:space="preserve">Note 2: The capital additions in December 2020 (line 17) are for the Lange - SRC 230KV Rebuild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</si>
</sst>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4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172" fontId="0" fillId="0" borderId="0" applyProtection="0"/>
    <xf numFmtId="0" fontId="6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6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38" fontId="39" fillId="0" borderId="0" applyBorder="0" applyAlignment="0"/>
    <xf numFmtId="184" fontId="35" fillId="20" borderId="1">
      <alignment horizontal="center" vertical="center"/>
    </xf>
    <xf numFmtId="185" fontId="6" fillId="0" borderId="2">
      <alignment horizontal="left"/>
    </xf>
    <xf numFmtId="0" fontId="40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1" fillId="0" borderId="0" applyNumberFormat="0" applyFill="0" applyBorder="0" applyAlignment="0" applyProtection="0"/>
    <xf numFmtId="186" fontId="42" fillId="0" borderId="3" applyNumberFormat="0" applyFill="0" applyAlignment="0" applyProtection="0">
      <alignment horizontal="center"/>
    </xf>
    <xf numFmtId="187" fontId="42" fillId="0" borderId="4" applyFill="0" applyAlignment="0" applyProtection="0">
      <alignment horizontal="center"/>
    </xf>
    <xf numFmtId="38" fontId="6" fillId="0" borderId="0">
      <alignment horizontal="right"/>
    </xf>
    <xf numFmtId="37" fontId="7" fillId="0" borderId="0" applyFill="0">
      <alignment horizontal="right"/>
    </xf>
    <xf numFmtId="37" fontId="7" fillId="0" borderId="0">
      <alignment horizontal="right"/>
    </xf>
    <xf numFmtId="0" fontId="7" fillId="0" borderId="0" applyFill="0">
      <alignment horizontal="center"/>
    </xf>
    <xf numFmtId="37" fontId="7" fillId="0" borderId="5" applyFill="0">
      <alignment horizontal="right"/>
    </xf>
    <xf numFmtId="37" fontId="7" fillId="0" borderId="0">
      <alignment horizontal="right"/>
    </xf>
    <xf numFmtId="0" fontId="43" fillId="0" borderId="0" applyFill="0">
      <alignment vertical="top"/>
    </xf>
    <xf numFmtId="0" fontId="44" fillId="0" borderId="0" applyFill="0">
      <alignment horizontal="left" vertical="top"/>
    </xf>
    <xf numFmtId="37" fontId="7" fillId="0" borderId="6" applyFill="0">
      <alignment horizontal="right"/>
    </xf>
    <xf numFmtId="0" fontId="6" fillId="0" borderId="0" applyNumberFormat="0" applyFont="0" applyAlignment="0"/>
    <xf numFmtId="0" fontId="43" fillId="0" borderId="0" applyFill="0">
      <alignment wrapText="1"/>
    </xf>
    <xf numFmtId="0" fontId="44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6" fillId="0" borderId="0" applyFill="0">
      <alignment vertical="top" wrapText="1"/>
    </xf>
    <xf numFmtId="0" fontId="5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7" fillId="0" borderId="0" applyFill="0">
      <alignment vertical="center" wrapText="1"/>
    </xf>
    <xf numFmtId="0" fontId="3" fillId="0" borderId="0">
      <alignment horizontal="left" vertical="center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0" fillId="0" borderId="0" applyFill="0">
      <alignment horizontal="center" vertical="center" wrapText="1"/>
    </xf>
    <xf numFmtId="0" fontId="51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2" fillId="0" borderId="0">
      <alignment horizontal="center" wrapText="1"/>
    </xf>
    <xf numFmtId="0" fontId="53" fillId="0" borderId="0" applyFill="0">
      <alignment horizontal="center" wrapText="1"/>
    </xf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22" borderId="8" applyNumberFormat="0" applyAlignment="0" applyProtection="0"/>
    <xf numFmtId="0" fontId="20" fillId="22" borderId="8" applyNumberFormat="0" applyAlignment="0" applyProtection="0"/>
    <xf numFmtId="43" fontId="6" fillId="0" borderId="0" applyFont="0" applyFill="0" applyBorder="0" applyAlignment="0" applyProtection="0"/>
    <xf numFmtId="188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2">
      <alignment horizontal="center"/>
    </xf>
    <xf numFmtId="190" fontId="5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1" fontId="6" fillId="0" borderId="0">
      <protection locked="0"/>
    </xf>
    <xf numFmtId="0" fontId="57" fillId="0" borderId="0"/>
    <xf numFmtId="0" fontId="58" fillId="0" borderId="0"/>
    <xf numFmtId="0" fontId="59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7" fillId="23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1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2" fillId="0" borderId="14" applyNumberFormat="0" applyFill="0" applyAlignment="0" applyProtection="0"/>
    <xf numFmtId="0" fontId="26" fillId="7" borderId="7" applyNumberFormat="0" applyAlignment="0" applyProtection="0"/>
    <xf numFmtId="10" fontId="7" fillId="24" borderId="2" applyNumberFormat="0" applyBorder="0" applyAlignment="0" applyProtection="0"/>
    <xf numFmtId="0" fontId="26" fillId="7" borderId="7" applyNumberFormat="0" applyAlignment="0" applyProtection="0"/>
    <xf numFmtId="0" fontId="7" fillId="23" borderId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193" fontId="6" fillId="0" borderId="2">
      <alignment horizontal="center"/>
    </xf>
    <xf numFmtId="194" fontId="63" fillId="0" borderId="0"/>
    <xf numFmtId="17" fontId="64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43" fontId="65" fillId="0" borderId="0" applyNumberFormat="0" applyFill="0" applyBorder="0" applyAlignment="0" applyProtection="0"/>
    <xf numFmtId="0" fontId="42" fillId="0" borderId="0" applyNumberFormat="0" applyFill="0" applyAlignment="0" applyProtection="0"/>
    <xf numFmtId="37" fontId="66" fillId="0" borderId="0"/>
    <xf numFmtId="197" fontId="67" fillId="0" borderId="0"/>
    <xf numFmtId="172" fontId="1" fillId="0" borderId="0" applyProtection="0"/>
    <xf numFmtId="0" fontId="6" fillId="0" borderId="0"/>
    <xf numFmtId="0" fontId="82" fillId="0" borderId="0"/>
    <xf numFmtId="0" fontId="55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9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29" fillId="21" borderId="17" applyNumberFormat="0" applyAlignment="0" applyProtection="0"/>
    <xf numFmtId="0" fontId="29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27" borderId="0" applyNumberFormat="0" applyFont="0" applyBorder="0" applyAlignment="0" applyProtection="0"/>
    <xf numFmtId="37" fontId="7" fillId="23" borderId="0" applyFill="0">
      <alignment horizontal="right"/>
    </xf>
    <xf numFmtId="0" fontId="49" fillId="0" borderId="0">
      <alignment horizontal="left"/>
    </xf>
    <xf numFmtId="0" fontId="7" fillId="0" borderId="0" applyFill="0">
      <alignment horizontal="left"/>
    </xf>
    <xf numFmtId="37" fontId="7" fillId="0" borderId="4" applyFill="0">
      <alignment horizontal="right"/>
    </xf>
    <xf numFmtId="0" fontId="9" fillId="0" borderId="2" applyNumberFormat="0" applyFont="0" applyBorder="0">
      <alignment horizontal="right"/>
    </xf>
    <xf numFmtId="0" fontId="68" fillId="0" borderId="0" applyFill="0"/>
    <xf numFmtId="0" fontId="7" fillId="0" borderId="0" applyFill="0">
      <alignment horizontal="left"/>
    </xf>
    <xf numFmtId="199" fontId="7" fillId="0" borderId="4" applyFill="0">
      <alignment horizontal="right"/>
    </xf>
    <xf numFmtId="0" fontId="6" fillId="0" borderId="0" applyNumberFormat="0" applyFont="0" applyBorder="0" applyAlignment="0"/>
    <xf numFmtId="0" fontId="46" fillId="0" borderId="0" applyFill="0">
      <alignment horizontal="left" indent="1"/>
    </xf>
    <xf numFmtId="0" fontId="49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Fill="0" applyBorder="0" applyAlignment="0"/>
    <xf numFmtId="0" fontId="46" fillId="0" borderId="0" applyFill="0">
      <alignment horizontal="left" indent="2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69" fillId="0" borderId="0">
      <alignment horizontal="left" indent="3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48" fillId="0" borderId="0">
      <alignment horizontal="left" indent="4"/>
    </xf>
    <xf numFmtId="0" fontId="7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Border="0" applyAlignment="0"/>
    <xf numFmtId="0" fontId="50" fillId="0" borderId="0">
      <alignment horizontal="left" indent="5"/>
    </xf>
    <xf numFmtId="0" fontId="49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Fill="0" applyBorder="0" applyAlignment="0"/>
    <xf numFmtId="0" fontId="52" fillId="0" borderId="0" applyFill="0">
      <alignment horizontal="left" indent="6"/>
    </xf>
    <xf numFmtId="0" fontId="49" fillId="0" borderId="0" applyFill="0">
      <alignment horizontal="left"/>
    </xf>
    <xf numFmtId="38" fontId="8" fillId="28" borderId="4">
      <alignment horizontal="right"/>
    </xf>
    <xf numFmtId="38" fontId="6" fillId="29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2" fillId="0" borderId="4" applyNumberFormat="0" applyFill="0" applyAlignment="0" applyProtection="0"/>
    <xf numFmtId="37" fontId="71" fillId="0" borderId="0" applyNumberFormat="0">
      <alignment horizontal="left"/>
    </xf>
    <xf numFmtId="200" fontId="6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4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37" fontId="7" fillId="28" borderId="0" applyNumberFormat="0" applyBorder="0" applyAlignment="0" applyProtection="0"/>
    <xf numFmtId="37" fontId="7" fillId="0" borderId="0"/>
    <xf numFmtId="3" fontId="77" fillId="0" borderId="14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52">
    <xf numFmtId="172" fontId="0" fillId="0" borderId="0" xfId="0" applyAlignment="1"/>
    <xf numFmtId="0" fontId="3" fillId="0" borderId="0" xfId="0" applyNumberFormat="1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172" fontId="3" fillId="0" borderId="0" xfId="0" applyFont="1" applyAlignment="1"/>
    <xf numFmtId="0" fontId="5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49" fontId="3" fillId="0" borderId="0" xfId="0" applyNumberFormat="1" applyFont="1"/>
    <xf numFmtId="3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Fill="1" applyAlignment="1"/>
    <xf numFmtId="0" fontId="3" fillId="0" borderId="3" xfId="0" applyNumberFormat="1" applyFont="1" applyBorder="1" applyAlignment="1" applyProtection="1">
      <alignment horizontal="center"/>
      <protection locked="0"/>
    </xf>
    <xf numFmtId="172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65" applyAlignment="1">
      <alignment horizontal="center"/>
    </xf>
    <xf numFmtId="0" fontId="6" fillId="0" borderId="0" xfId="165"/>
    <xf numFmtId="0" fontId="9" fillId="0" borderId="0" xfId="165" applyFont="1"/>
    <xf numFmtId="0" fontId="6" fillId="0" borderId="3" xfId="165" applyBorder="1" applyAlignment="1">
      <alignment horizontal="center"/>
    </xf>
    <xf numFmtId="0" fontId="6" fillId="0" borderId="3" xfId="165" applyBorder="1"/>
    <xf numFmtId="0" fontId="6" fillId="0" borderId="3" xfId="165" applyBorder="1" applyAlignment="1">
      <alignment horizontal="center" wrapText="1"/>
    </xf>
    <xf numFmtId="0" fontId="6" fillId="0" borderId="0" xfId="165" applyAlignment="1">
      <alignment horizontal="center" wrapText="1"/>
    </xf>
    <xf numFmtId="3" fontId="6" fillId="0" borderId="0" xfId="165" applyNumberFormat="1"/>
    <xf numFmtId="9" fontId="6" fillId="0" borderId="0" xfId="173"/>
    <xf numFmtId="41" fontId="6" fillId="0" borderId="0" xfId="165" applyNumberFormat="1"/>
    <xf numFmtId="174" fontId="6" fillId="0" borderId="0" xfId="165" applyNumberFormat="1"/>
    <xf numFmtId="43" fontId="6" fillId="0" borderId="0" xfId="165" applyNumberFormat="1"/>
    <xf numFmtId="173" fontId="6" fillId="0" borderId="0" xfId="165" applyNumberFormat="1"/>
    <xf numFmtId="174" fontId="6" fillId="0" borderId="3" xfId="165" applyNumberFormat="1" applyBorder="1"/>
    <xf numFmtId="0" fontId="6" fillId="0" borderId="0" xfId="165" quotePrefix="1"/>
    <xf numFmtId="44" fontId="6" fillId="0" borderId="0" xfId="111"/>
    <xf numFmtId="0" fontId="6" fillId="0" borderId="0" xfId="166"/>
    <xf numFmtId="0" fontId="6" fillId="0" borderId="0" xfId="166" applyAlignment="1">
      <alignment horizontal="center"/>
    </xf>
    <xf numFmtId="0" fontId="9" fillId="0" borderId="0" xfId="166" applyFont="1"/>
    <xf numFmtId="44" fontId="6" fillId="0" borderId="0" xfId="166" applyNumberFormat="1"/>
    <xf numFmtId="0" fontId="6" fillId="0" borderId="0" xfId="166" applyFont="1"/>
    <xf numFmtId="0" fontId="6" fillId="0" borderId="0" xfId="165" applyFont="1"/>
    <xf numFmtId="0" fontId="9" fillId="0" borderId="0" xfId="165" applyFont="1" applyAlignment="1">
      <alignment horizontal="right"/>
    </xf>
    <xf numFmtId="0" fontId="9" fillId="0" borderId="0" xfId="165" applyFont="1" applyAlignment="1">
      <alignment horizontal="center"/>
    </xf>
    <xf numFmtId="0" fontId="6" fillId="0" borderId="0" xfId="166" applyFill="1"/>
    <xf numFmtId="173" fontId="6" fillId="0" borderId="0" xfId="105" applyNumberFormat="1" applyFont="1" applyFill="1"/>
    <xf numFmtId="0" fontId="6" fillId="0" borderId="19" xfId="163" applyBorder="1" applyAlignment="1">
      <alignment horizontal="center"/>
    </xf>
    <xf numFmtId="0" fontId="6" fillId="0" borderId="20" xfId="163" applyBorder="1" applyAlignment="1">
      <alignment horizontal="center"/>
    </xf>
    <xf numFmtId="0" fontId="6" fillId="0" borderId="0" xfId="163"/>
    <xf numFmtId="0" fontId="6" fillId="0" borderId="21" xfId="163" applyBorder="1" applyAlignment="1">
      <alignment horizontal="center"/>
    </xf>
    <xf numFmtId="0" fontId="6" fillId="0" borderId="0" xfId="163" applyBorder="1" applyAlignment="1">
      <alignment horizontal="center"/>
    </xf>
    <xf numFmtId="0" fontId="6" fillId="0" borderId="22" xfId="163" applyBorder="1" applyAlignment="1">
      <alignment horizontal="center"/>
    </xf>
    <xf numFmtId="0" fontId="6" fillId="0" borderId="3" xfId="163" applyBorder="1" applyAlignment="1">
      <alignment horizontal="center"/>
    </xf>
    <xf numFmtId="0" fontId="6" fillId="0" borderId="0" xfId="163" applyBorder="1"/>
    <xf numFmtId="0" fontId="6" fillId="0" borderId="21" xfId="163" applyBorder="1"/>
    <xf numFmtId="0" fontId="6" fillId="0" borderId="9" xfId="163" applyBorder="1"/>
    <xf numFmtId="10" fontId="6" fillId="0" borderId="0" xfId="163" applyNumberFormat="1"/>
    <xf numFmtId="10" fontId="6" fillId="0" borderId="0" xfId="163" applyNumberFormat="1" applyBorder="1" applyAlignment="1">
      <alignment horizontal="center"/>
    </xf>
    <xf numFmtId="0" fontId="6" fillId="0" borderId="23" xfId="163" applyFont="1" applyBorder="1"/>
    <xf numFmtId="0" fontId="6" fillId="0" borderId="0" xfId="163" applyAlignment="1">
      <alignment horizontal="left"/>
    </xf>
    <xf numFmtId="0" fontId="6" fillId="0" borderId="0" xfId="163" applyFont="1"/>
    <xf numFmtId="0" fontId="6" fillId="0" borderId="0" xfId="163" applyAlignment="1"/>
    <xf numFmtId="0" fontId="6" fillId="0" borderId="0" xfId="163" applyFont="1" applyAlignment="1">
      <alignment horizontal="left"/>
    </xf>
    <xf numFmtId="0" fontId="6" fillId="0" borderId="3" xfId="165" applyFont="1" applyBorder="1" applyAlignment="1">
      <alignment horizontal="center" wrapText="1"/>
    </xf>
    <xf numFmtId="44" fontId="6" fillId="0" borderId="0" xfId="111" applyNumberFormat="1"/>
    <xf numFmtId="44" fontId="6" fillId="0" borderId="0" xfId="165" applyNumberFormat="1"/>
    <xf numFmtId="178" fontId="6" fillId="0" borderId="0" xfId="111" applyNumberFormat="1"/>
    <xf numFmtId="179" fontId="6" fillId="0" borderId="0" xfId="111" applyNumberFormat="1"/>
    <xf numFmtId="0" fontId="6" fillId="0" borderId="0" xfId="165" applyFont="1" applyFill="1"/>
    <xf numFmtId="0" fontId="6" fillId="0" borderId="0" xfId="165" applyFill="1"/>
    <xf numFmtId="173" fontId="3" fillId="0" borderId="0" xfId="105" applyNumberFormat="1" applyFont="1" applyAlignment="1"/>
    <xf numFmtId="0" fontId="3" fillId="0" borderId="0" xfId="0" applyNumberFormat="1" applyFont="1" applyAlignment="1">
      <alignment horizontal="fill"/>
    </xf>
    <xf numFmtId="3" fontId="3" fillId="0" borderId="0" xfId="0" applyNumberFormat="1" applyFont="1" applyAlignment="1">
      <alignment horizontal="fill"/>
    </xf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24" xfId="163" applyFill="1" applyBorder="1" applyAlignment="1">
      <alignment horizontal="center"/>
    </xf>
    <xf numFmtId="0" fontId="6" fillId="0" borderId="20" xfId="163" applyFill="1" applyBorder="1" applyAlignment="1">
      <alignment horizontal="center"/>
    </xf>
    <xf numFmtId="0" fontId="6" fillId="0" borderId="25" xfId="163" applyFill="1" applyBorder="1" applyAlignment="1">
      <alignment horizontal="center"/>
    </xf>
    <xf numFmtId="0" fontId="6" fillId="0" borderId="0" xfId="163" applyFill="1" applyBorder="1" applyAlignment="1">
      <alignment horizontal="center"/>
    </xf>
    <xf numFmtId="0" fontId="6" fillId="0" borderId="25" xfId="163" applyFont="1" applyFill="1" applyBorder="1" applyAlignment="1">
      <alignment horizontal="center"/>
    </xf>
    <xf numFmtId="0" fontId="6" fillId="0" borderId="26" xfId="163" applyFill="1" applyBorder="1" applyAlignment="1">
      <alignment horizontal="center"/>
    </xf>
    <xf numFmtId="0" fontId="6" fillId="0" borderId="3" xfId="163" applyFill="1" applyBorder="1" applyAlignment="1">
      <alignment horizontal="center"/>
    </xf>
    <xf numFmtId="0" fontId="6" fillId="0" borderId="25" xfId="163" applyFill="1" applyBorder="1"/>
    <xf numFmtId="1" fontId="6" fillId="0" borderId="27" xfId="163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0" xfId="166" applyFont="1" applyAlignment="1">
      <alignment horizontal="center"/>
    </xf>
    <xf numFmtId="0" fontId="6" fillId="0" borderId="4" xfId="166" applyFont="1" applyBorder="1" applyAlignment="1">
      <alignment horizontal="center"/>
    </xf>
    <xf numFmtId="0" fontId="6" fillId="0" borderId="24" xfId="163" applyFont="1" applyFill="1" applyBorder="1" applyAlignment="1">
      <alignment horizontal="center"/>
    </xf>
    <xf numFmtId="0" fontId="6" fillId="0" borderId="26" xfId="163" applyFont="1" applyFill="1" applyBorder="1" applyAlignment="1">
      <alignment horizontal="center"/>
    </xf>
    <xf numFmtId="0" fontId="6" fillId="0" borderId="25" xfId="163" quotePrefix="1" applyFont="1" applyFill="1" applyBorder="1" applyAlignment="1">
      <alignment horizontal="left"/>
    </xf>
    <xf numFmtId="0" fontId="6" fillId="0" borderId="20" xfId="163" applyFill="1" applyBorder="1"/>
    <xf numFmtId="0" fontId="6" fillId="0" borderId="0" xfId="163" applyFill="1" applyBorder="1"/>
    <xf numFmtId="0" fontId="6" fillId="0" borderId="26" xfId="163" quotePrefix="1" applyFont="1" applyFill="1" applyBorder="1" applyAlignment="1">
      <alignment horizontal="left"/>
    </xf>
    <xf numFmtId="0" fontId="6" fillId="0" borderId="3" xfId="163" applyFill="1" applyBorder="1"/>
    <xf numFmtId="0" fontId="6" fillId="0" borderId="0" xfId="163" applyFont="1" applyFill="1" applyAlignment="1">
      <alignment horizontal="left"/>
    </xf>
    <xf numFmtId="0" fontId="6" fillId="0" borderId="0" xfId="163" applyFill="1"/>
    <xf numFmtId="0" fontId="6" fillId="0" borderId="0" xfId="163" applyFill="1" applyAlignment="1">
      <alignment horizontal="left"/>
    </xf>
    <xf numFmtId="0" fontId="6" fillId="0" borderId="4" xfId="166" applyFont="1" applyBorder="1"/>
    <xf numFmtId="44" fontId="6" fillId="0" borderId="4" xfId="166" applyNumberFormat="1" applyFont="1" applyBorder="1" applyAlignment="1">
      <alignment horizontal="center"/>
    </xf>
    <xf numFmtId="0" fontId="6" fillId="0" borderId="0" xfId="166" applyFont="1" applyAlignment="1">
      <alignment horizontal="right"/>
    </xf>
    <xf numFmtId="172" fontId="11" fillId="0" borderId="0" xfId="0" applyFont="1" applyFill="1"/>
    <xf numFmtId="173" fontId="3" fillId="0" borderId="0" xfId="105" applyNumberFormat="1" applyFont="1" applyAlignment="1">
      <alignment horizontal="center"/>
    </xf>
    <xf numFmtId="3" fontId="36" fillId="0" borderId="0" xfId="0" applyNumberFormat="1" applyFont="1" applyAlignment="1"/>
    <xf numFmtId="0" fontId="11" fillId="0" borderId="0" xfId="0" applyNumberFormat="1" applyFont="1" applyAlignment="1">
      <alignment horizontal="center"/>
    </xf>
    <xf numFmtId="0" fontId="6" fillId="0" borderId="0" xfId="166" applyFont="1" applyFill="1"/>
    <xf numFmtId="172" fontId="11" fillId="0" borderId="0" xfId="0" applyFont="1" applyAlignment="1">
      <alignment horizontal="center"/>
    </xf>
    <xf numFmtId="172" fontId="11" fillId="0" borderId="4" xfId="0" applyFont="1" applyBorder="1" applyAlignment="1">
      <alignment horizontal="center"/>
    </xf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2" fontId="1" fillId="0" borderId="0" xfId="0" applyFont="1" applyAlignment="1"/>
    <xf numFmtId="183" fontId="3" fillId="0" borderId="0" xfId="0" applyNumberFormat="1" applyFont="1" applyAlignment="1">
      <alignment horizontal="center"/>
    </xf>
    <xf numFmtId="173" fontId="3" fillId="0" borderId="6" xfId="105" applyNumberFormat="1" applyFont="1" applyFill="1" applyBorder="1" applyAlignment="1"/>
    <xf numFmtId="173" fontId="3" fillId="0" borderId="6" xfId="105" applyNumberFormat="1" applyFont="1" applyBorder="1" applyAlignment="1"/>
    <xf numFmtId="0" fontId="6" fillId="0" borderId="3" xfId="165" applyFont="1" applyBorder="1"/>
    <xf numFmtId="44" fontId="6" fillId="0" borderId="3" xfId="165" applyNumberFormat="1" applyFont="1" applyBorder="1"/>
    <xf numFmtId="170" fontId="6" fillId="0" borderId="3" xfId="173" applyNumberFormat="1" applyFont="1" applyBorder="1" applyAlignment="1">
      <alignment horizontal="right"/>
    </xf>
    <xf numFmtId="174" fontId="6" fillId="0" borderId="3" xfId="111" applyNumberFormat="1" applyFont="1" applyBorder="1"/>
    <xf numFmtId="175" fontId="10" fillId="0" borderId="0" xfId="165" applyNumberFormat="1" applyFont="1"/>
    <xf numFmtId="174" fontId="38" fillId="0" borderId="0" xfId="165" applyNumberFormat="1" applyFont="1" applyFill="1"/>
    <xf numFmtId="172" fontId="15" fillId="0" borderId="0" xfId="0" applyFont="1" applyAlignment="1"/>
    <xf numFmtId="43" fontId="6" fillId="0" borderId="0" xfId="105"/>
    <xf numFmtId="3" fontId="3" fillId="30" borderId="0" xfId="0" applyNumberFormat="1" applyFont="1" applyFill="1" applyAlignment="1"/>
    <xf numFmtId="0" fontId="3" fillId="30" borderId="0" xfId="0" applyNumberFormat="1" applyFont="1" applyFill="1" applyAlignment="1" applyProtection="1">
      <protection locked="0"/>
    </xf>
    <xf numFmtId="0" fontId="6" fillId="30" borderId="24" xfId="163" applyFill="1" applyBorder="1" applyAlignment="1">
      <alignment horizontal="center"/>
    </xf>
    <xf numFmtId="0" fontId="6" fillId="30" borderId="25" xfId="163" applyFill="1" applyBorder="1" applyAlignment="1">
      <alignment horizontal="center"/>
    </xf>
    <xf numFmtId="0" fontId="6" fillId="30" borderId="26" xfId="163" applyFill="1" applyBorder="1" applyAlignment="1">
      <alignment horizontal="center"/>
    </xf>
    <xf numFmtId="173" fontId="3" fillId="0" borderId="0" xfId="0" applyNumberFormat="1" applyFont="1" applyAlignment="1">
      <alignment horizontal="fill"/>
    </xf>
    <xf numFmtId="0" fontId="6" fillId="0" borderId="28" xfId="165" applyBorder="1"/>
    <xf numFmtId="0" fontId="6" fillId="0" borderId="6" xfId="165" applyBorder="1"/>
    <xf numFmtId="0" fontId="6" fillId="0" borderId="29" xfId="165" applyBorder="1"/>
    <xf numFmtId="0" fontId="6" fillId="0" borderId="30" xfId="165" applyBorder="1"/>
    <xf numFmtId="0" fontId="6" fillId="0" borderId="0" xfId="165" applyBorder="1"/>
    <xf numFmtId="0" fontId="6" fillId="0" borderId="31" xfId="165" applyBorder="1"/>
    <xf numFmtId="0" fontId="6" fillId="0" borderId="32" xfId="165" applyBorder="1"/>
    <xf numFmtId="0" fontId="6" fillId="0" borderId="4" xfId="165" applyBorder="1"/>
    <xf numFmtId="0" fontId="6" fillId="0" borderId="33" xfId="165" applyBorder="1"/>
    <xf numFmtId="0" fontId="6" fillId="0" borderId="3" xfId="165" applyFont="1" applyBorder="1" applyAlignment="1">
      <alignment horizontal="center"/>
    </xf>
    <xf numFmtId="0" fontId="6" fillId="0" borderId="0" xfId="165" applyFont="1" applyAlignment="1">
      <alignment horizontal="center"/>
    </xf>
    <xf numFmtId="0" fontId="6" fillId="0" borderId="0" xfId="165" applyFont="1" applyAlignment="1">
      <alignment horizontal="center" wrapText="1"/>
    </xf>
    <xf numFmtId="170" fontId="6" fillId="0" borderId="0" xfId="173" applyNumberFormat="1" applyFont="1" applyAlignment="1">
      <alignment horizontal="right"/>
    </xf>
    <xf numFmtId="174" fontId="6" fillId="0" borderId="0" xfId="111" applyNumberFormat="1" applyFont="1"/>
    <xf numFmtId="9" fontId="6" fillId="0" borderId="0" xfId="173" applyFont="1" applyAlignment="1">
      <alignment horizontal="right"/>
    </xf>
    <xf numFmtId="174" fontId="6" fillId="0" borderId="0" xfId="165" applyNumberFormat="1" applyFont="1"/>
    <xf numFmtId="43" fontId="6" fillId="0" borderId="0" xfId="165" applyNumberFormat="1" applyFont="1" applyFill="1"/>
    <xf numFmtId="173" fontId="6" fillId="0" borderId="0" xfId="165" applyNumberFormat="1" applyFont="1" applyFill="1"/>
    <xf numFmtId="173" fontId="6" fillId="0" borderId="3" xfId="165" applyNumberFormat="1" applyFont="1" applyFill="1" applyBorder="1"/>
    <xf numFmtId="43" fontId="6" fillId="0" borderId="3" xfId="165" applyNumberFormat="1" applyFont="1" applyFill="1" applyBorder="1"/>
    <xf numFmtId="0" fontId="6" fillId="30" borderId="20" xfId="163" applyFill="1" applyBorder="1" applyAlignment="1">
      <alignment horizontal="center"/>
    </xf>
    <xf numFmtId="0" fontId="6" fillId="30" borderId="0" xfId="163" applyFill="1" applyBorder="1" applyAlignment="1">
      <alignment horizontal="center"/>
    </xf>
    <xf numFmtId="1" fontId="6" fillId="30" borderId="27" xfId="163" applyNumberFormat="1" applyFill="1" applyBorder="1" applyAlignment="1">
      <alignment horizontal="center"/>
    </xf>
    <xf numFmtId="0" fontId="6" fillId="30" borderId="0" xfId="163" applyFill="1"/>
    <xf numFmtId="0" fontId="6" fillId="30" borderId="24" xfId="163" applyFont="1" applyFill="1" applyBorder="1" applyAlignment="1">
      <alignment horizontal="center"/>
    </xf>
    <xf numFmtId="0" fontId="6" fillId="30" borderId="25" xfId="163" applyFont="1" applyFill="1" applyBorder="1" applyAlignment="1">
      <alignment horizontal="center"/>
    </xf>
    <xf numFmtId="0" fontId="6" fillId="30" borderId="3" xfId="163" applyFill="1" applyBorder="1" applyAlignment="1">
      <alignment horizontal="center"/>
    </xf>
    <xf numFmtId="0" fontId="6" fillId="30" borderId="26" xfId="163" applyFont="1" applyFill="1" applyBorder="1" applyAlignment="1">
      <alignment horizontal="center"/>
    </xf>
    <xf numFmtId="10" fontId="6" fillId="0" borderId="0" xfId="166" applyNumberFormat="1" applyFont="1"/>
    <xf numFmtId="1" fontId="6" fillId="0" borderId="0" xfId="163" applyNumberFormat="1" applyFill="1" applyBorder="1" applyAlignment="1">
      <alignment horizontal="center"/>
    </xf>
    <xf numFmtId="3" fontId="37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3" fontId="3" fillId="0" borderId="0" xfId="0" applyNumberFormat="1" applyFont="1" applyFill="1" applyAlignment="1">
      <alignment horizontal="center"/>
    </xf>
    <xf numFmtId="173" fontId="3" fillId="0" borderId="4" xfId="105" applyNumberFormat="1" applyFont="1" applyFill="1" applyBorder="1" applyAlignment="1"/>
    <xf numFmtId="0" fontId="3" fillId="0" borderId="0" xfId="0" applyNumberFormat="1" applyFont="1" applyFill="1"/>
    <xf numFmtId="172" fontId="0" fillId="0" borderId="0" xfId="0" applyFill="1" applyAlignment="1"/>
    <xf numFmtId="172" fontId="3" fillId="0" borderId="0" xfId="0" applyFont="1" applyAlignment="1">
      <alignment horizontal="right"/>
    </xf>
    <xf numFmtId="172" fontId="1" fillId="0" borderId="0" xfId="0" applyFont="1" applyAlignment="1">
      <alignment horizontal="right"/>
    </xf>
    <xf numFmtId="1" fontId="6" fillId="0" borderId="24" xfId="163" applyNumberFormat="1" applyFill="1" applyBorder="1" applyAlignment="1">
      <alignment horizontal="center"/>
    </xf>
    <xf numFmtId="1" fontId="6" fillId="0" borderId="25" xfId="163" applyNumberFormat="1" applyFill="1" applyBorder="1" applyAlignment="1">
      <alignment horizontal="center"/>
    </xf>
    <xf numFmtId="1" fontId="6" fillId="0" borderId="26" xfId="163" applyNumberFormat="1" applyFill="1" applyBorder="1" applyAlignment="1">
      <alignment horizontal="center"/>
    </xf>
    <xf numFmtId="0" fontId="6" fillId="0" borderId="0" xfId="166" applyFill="1" applyAlignment="1">
      <alignment horizontal="center"/>
    </xf>
    <xf numFmtId="44" fontId="6" fillId="0" borderId="0" xfId="166" applyNumberFormat="1" applyAlignment="1">
      <alignment horizontal="center"/>
    </xf>
    <xf numFmtId="10" fontId="6" fillId="0" borderId="0" xfId="173" applyNumberFormat="1" applyFill="1"/>
    <xf numFmtId="3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/>
    <xf numFmtId="42" fontId="6" fillId="0" borderId="0" xfId="165" applyNumberFormat="1" applyFill="1"/>
    <xf numFmtId="0" fontId="6" fillId="0" borderId="19" xfId="163" applyFill="1" applyBorder="1" applyAlignment="1">
      <alignment horizontal="center"/>
    </xf>
    <xf numFmtId="0" fontId="6" fillId="0" borderId="34" xfId="163" applyFill="1" applyBorder="1" applyAlignment="1">
      <alignment horizontal="center"/>
    </xf>
    <xf numFmtId="0" fontId="6" fillId="0" borderId="21" xfId="163" applyFill="1" applyBorder="1" applyAlignment="1">
      <alignment horizontal="center"/>
    </xf>
    <xf numFmtId="0" fontId="6" fillId="0" borderId="35" xfId="163" applyFill="1" applyBorder="1" applyAlignment="1">
      <alignment horizontal="center"/>
    </xf>
    <xf numFmtId="0" fontId="6" fillId="0" borderId="22" xfId="163" applyFill="1" applyBorder="1" applyAlignment="1">
      <alignment horizontal="center"/>
    </xf>
    <xf numFmtId="0" fontId="6" fillId="0" borderId="36" xfId="163" applyFill="1" applyBorder="1" applyAlignment="1">
      <alignment horizontal="center"/>
    </xf>
    <xf numFmtId="0" fontId="9" fillId="31" borderId="0" xfId="165" applyFont="1" applyFill="1"/>
    <xf numFmtId="0" fontId="6" fillId="31" borderId="0" xfId="165" applyFill="1"/>
    <xf numFmtId="0" fontId="6" fillId="31" borderId="0" xfId="165" applyFont="1" applyFill="1"/>
    <xf numFmtId="173" fontId="6" fillId="0" borderId="37" xfId="166" applyNumberFormat="1" applyBorder="1"/>
    <xf numFmtId="44" fontId="6" fillId="0" borderId="0" xfId="166" applyNumberFormat="1" applyFont="1" applyAlignment="1">
      <alignment horizontal="right"/>
    </xf>
    <xf numFmtId="173" fontId="6" fillId="0" borderId="0" xfId="105" applyNumberFormat="1"/>
    <xf numFmtId="173" fontId="6" fillId="0" borderId="6" xfId="166" applyNumberFormat="1" applyBorder="1"/>
    <xf numFmtId="17" fontId="6" fillId="0" borderId="0" xfId="166" applyNumberFormat="1" applyFont="1" applyAlignment="1">
      <alignment horizontal="right"/>
    </xf>
    <xf numFmtId="173" fontId="6" fillId="0" borderId="0" xfId="166" applyNumberFormat="1"/>
    <xf numFmtId="17" fontId="6" fillId="0" borderId="0" xfId="166" applyNumberFormat="1" applyFont="1"/>
    <xf numFmtId="173" fontId="6" fillId="0" borderId="6" xfId="105" applyNumberFormat="1" applyFont="1" applyFill="1" applyBorder="1"/>
    <xf numFmtId="173" fontId="6" fillId="0" borderId="0" xfId="105" applyNumberFormat="1" applyFont="1"/>
    <xf numFmtId="44" fontId="6" fillId="0" borderId="0" xfId="166" applyNumberFormat="1" applyFont="1" applyAlignment="1">
      <alignment horizontal="center"/>
    </xf>
    <xf numFmtId="173" fontId="6" fillId="0" borderId="0" xfId="105" applyNumberFormat="1" applyFont="1" applyAlignment="1">
      <alignment horizontal="center"/>
    </xf>
    <xf numFmtId="174" fontId="6" fillId="0" borderId="38" xfId="111" applyNumberFormat="1" applyFont="1" applyFill="1" applyBorder="1"/>
    <xf numFmtId="10" fontId="6" fillId="0" borderId="0" xfId="173" applyNumberFormat="1" applyFont="1"/>
    <xf numFmtId="0" fontId="9" fillId="0" borderId="0" xfId="166" applyFont="1" applyFill="1"/>
    <xf numFmtId="180" fontId="6" fillId="0" borderId="0" xfId="166" applyNumberFormat="1" applyAlignment="1">
      <alignment horizontal="left"/>
    </xf>
    <xf numFmtId="173" fontId="9" fillId="0" borderId="4" xfId="105" applyNumberFormat="1" applyFont="1" applyBorder="1" applyAlignment="1">
      <alignment horizontal="center"/>
    </xf>
    <xf numFmtId="173" fontId="9" fillId="0" borderId="0" xfId="105" applyNumberFormat="1" applyFont="1" applyAlignment="1">
      <alignment horizontal="center"/>
    </xf>
    <xf numFmtId="49" fontId="9" fillId="0" borderId="0" xfId="166" applyNumberFormat="1" applyFont="1" applyAlignment="1">
      <alignment horizontal="right"/>
    </xf>
    <xf numFmtId="44" fontId="6" fillId="0" borderId="0" xfId="166" applyNumberFormat="1" applyFont="1"/>
    <xf numFmtId="0" fontId="6" fillId="0" borderId="6" xfId="166" applyBorder="1"/>
    <xf numFmtId="177" fontId="6" fillId="0" borderId="0" xfId="105" applyNumberFormat="1" applyFont="1" applyFill="1" applyAlignment="1">
      <alignment horizontal="center"/>
    </xf>
    <xf numFmtId="0" fontId="6" fillId="0" borderId="0" xfId="166" applyFont="1" applyAlignment="1">
      <alignment horizontal="center" wrapText="1"/>
    </xf>
    <xf numFmtId="0" fontId="6" fillId="0" borderId="0" xfId="164" applyFont="1" applyAlignment="1">
      <alignment horizontal="center"/>
    </xf>
    <xf numFmtId="0" fontId="5" fillId="0" borderId="0" xfId="166" applyFont="1" applyAlignment="1">
      <alignment horizontal="center"/>
    </xf>
    <xf numFmtId="1" fontId="6" fillId="30" borderId="24" xfId="163" applyNumberFormat="1" applyFill="1" applyBorder="1" applyAlignment="1">
      <alignment horizontal="center"/>
    </xf>
    <xf numFmtId="0" fontId="6" fillId="30" borderId="34" xfId="163" applyFill="1" applyBorder="1" applyAlignment="1">
      <alignment horizontal="center"/>
    </xf>
    <xf numFmtId="1" fontId="6" fillId="30" borderId="25" xfId="163" applyNumberFormat="1" applyFill="1" applyBorder="1" applyAlignment="1">
      <alignment horizontal="center"/>
    </xf>
    <xf numFmtId="0" fontId="6" fillId="30" borderId="35" xfId="163" applyFill="1" applyBorder="1" applyAlignment="1">
      <alignment horizontal="center"/>
    </xf>
    <xf numFmtId="1" fontId="6" fillId="30" borderId="26" xfId="163" applyNumberFormat="1" applyFill="1" applyBorder="1" applyAlignment="1">
      <alignment horizontal="center"/>
    </xf>
    <xf numFmtId="0" fontId="6" fillId="30" borderId="36" xfId="163" applyFill="1" applyBorder="1" applyAlignment="1">
      <alignment horizontal="center"/>
    </xf>
    <xf numFmtId="0" fontId="6" fillId="30" borderId="25" xfId="163" applyFill="1" applyBorder="1"/>
    <xf numFmtId="1" fontId="6" fillId="30" borderId="23" xfId="163" applyNumberFormat="1" applyFill="1" applyBorder="1" applyAlignment="1">
      <alignment horizontal="center"/>
    </xf>
    <xf numFmtId="1" fontId="6" fillId="30" borderId="39" xfId="163" applyNumberFormat="1" applyFill="1" applyBorder="1" applyAlignment="1">
      <alignment horizontal="center"/>
    </xf>
    <xf numFmtId="1" fontId="6" fillId="30" borderId="9" xfId="163" applyNumberFormat="1" applyFill="1" applyBorder="1" applyAlignment="1">
      <alignment horizontal="center"/>
    </xf>
    <xf numFmtId="1" fontId="6" fillId="0" borderId="23" xfId="163" applyNumberFormat="1" applyFill="1" applyBorder="1" applyAlignment="1">
      <alignment horizontal="center"/>
    </xf>
    <xf numFmtId="17" fontId="6" fillId="0" borderId="0" xfId="166" applyNumberFormat="1" applyFont="1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172" fontId="0" fillId="0" borderId="0" xfId="0" applyFill="1" applyAlignment="1">
      <alignment horizontal="right"/>
    </xf>
    <xf numFmtId="172" fontId="3" fillId="0" borderId="0" xfId="0" applyFont="1" applyFill="1" applyAlignment="1">
      <alignment horizontal="right"/>
    </xf>
    <xf numFmtId="172" fontId="2" fillId="0" borderId="0" xfId="0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165" fontId="3" fillId="0" borderId="0" xfId="0" applyNumberFormat="1" applyFont="1" applyFill="1" applyAlignment="1"/>
    <xf numFmtId="182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201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173" fontId="2" fillId="0" borderId="0" xfId="105" applyNumberFormat="1" applyFont="1" applyFill="1" applyAlignment="1"/>
    <xf numFmtId="173" fontId="0" fillId="0" borderId="0" xfId="105" applyNumberFormat="1" applyFont="1" applyFill="1" applyAlignment="1"/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68" fontId="3" fillId="0" borderId="0" xfId="0" applyNumberFormat="1" applyFont="1" applyFill="1" applyAlignment="1">
      <alignment horizontal="right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201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182" fontId="3" fillId="0" borderId="0" xfId="0" applyNumberFormat="1" applyFont="1" applyFill="1" applyAlignment="1">
      <alignment horizontal="right"/>
    </xf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6" fontId="3" fillId="0" borderId="0" xfId="167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10" fontId="3" fillId="0" borderId="0" xfId="173" applyNumberFormat="1" applyFont="1" applyFill="1"/>
    <xf numFmtId="0" fontId="35" fillId="0" borderId="0" xfId="0" applyNumberFormat="1" applyFont="1" applyFill="1"/>
    <xf numFmtId="0" fontId="3" fillId="0" borderId="4" xfId="0" applyNumberFormat="1" applyFont="1" applyFill="1" applyBorder="1" applyAlignment="1"/>
    <xf numFmtId="172" fontId="35" fillId="0" borderId="0" xfId="0" applyFont="1" applyFill="1" applyAlignment="1"/>
    <xf numFmtId="49" fontId="3" fillId="0" borderId="3" xfId="0" applyNumberFormat="1" applyFont="1" applyFill="1" applyBorder="1" applyAlignment="1">
      <alignment horizontal="center"/>
    </xf>
    <xf numFmtId="3" fontId="3" fillId="0" borderId="0" xfId="0" quotePrefix="1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3" fontId="3" fillId="0" borderId="3" xfId="105" applyNumberFormat="1" applyFont="1" applyFill="1" applyBorder="1" applyAlignment="1"/>
    <xf numFmtId="3" fontId="3" fillId="0" borderId="37" xfId="0" applyNumberFormat="1" applyFont="1" applyFill="1" applyBorder="1" applyAlignment="1"/>
    <xf numFmtId="171" fontId="3" fillId="0" borderId="0" xfId="0" applyNumberFormat="1" applyFont="1" applyFill="1" applyAlignment="1">
      <alignment horizontal="left"/>
    </xf>
    <xf numFmtId="0" fontId="3" fillId="0" borderId="0" xfId="105" applyNumberFormat="1" applyFont="1" applyFill="1" applyAlignment="1"/>
    <xf numFmtId="1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3" fontId="3" fillId="0" borderId="38" xfId="0" applyNumberFormat="1" applyFont="1" applyFill="1" applyBorder="1" applyAlignment="1"/>
    <xf numFmtId="3" fontId="3" fillId="0" borderId="10" xfId="0" applyNumberFormat="1" applyFont="1" applyFill="1" applyBorder="1" applyAlignment="1"/>
    <xf numFmtId="0" fontId="3" fillId="0" borderId="3" xfId="0" applyNumberFormat="1" applyFont="1" applyFill="1" applyBorder="1" applyProtection="1">
      <protection locked="0"/>
    </xf>
    <xf numFmtId="172" fontId="3" fillId="0" borderId="6" xfId="0" applyFont="1" applyFill="1" applyBorder="1" applyAlignment="1"/>
    <xf numFmtId="0" fontId="3" fillId="0" borderId="6" xfId="0" applyNumberFormat="1" applyFont="1" applyFill="1" applyBorder="1" applyProtection="1">
      <protection locked="0"/>
    </xf>
    <xf numFmtId="4" fontId="3" fillId="0" borderId="0" xfId="0" applyNumberFormat="1" applyFont="1" applyFill="1" applyAlignment="1"/>
    <xf numFmtId="10" fontId="3" fillId="0" borderId="0" xfId="173" applyNumberFormat="1" applyFont="1" applyFill="1" applyAlignment="1"/>
    <xf numFmtId="9" fontId="3" fillId="0" borderId="0" xfId="173" applyFont="1" applyFill="1" applyAlignment="1"/>
    <xf numFmtId="10" fontId="3" fillId="0" borderId="0" xfId="173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73" applyFont="1" applyFill="1" applyBorder="1" applyAlignment="1"/>
    <xf numFmtId="0" fontId="3" fillId="0" borderId="0" xfId="0" quotePrefix="1" applyNumberFormat="1" applyFont="1" applyFill="1"/>
    <xf numFmtId="0" fontId="3" fillId="0" borderId="0" xfId="166" applyFont="1" applyFill="1" applyAlignment="1">
      <alignment horizontal="left"/>
    </xf>
    <xf numFmtId="10" fontId="3" fillId="0" borderId="0" xfId="0" applyNumberFormat="1" applyFont="1" applyFill="1" applyAlignment="1"/>
    <xf numFmtId="168" fontId="3" fillId="0" borderId="0" xfId="0" applyNumberFormat="1" applyFont="1" applyFill="1" applyAlignment="1"/>
    <xf numFmtId="10" fontId="3" fillId="0" borderId="3" xfId="173" applyNumberFormat="1" applyFont="1" applyFill="1" applyBorder="1" applyAlignment="1"/>
    <xf numFmtId="201" fontId="3" fillId="0" borderId="0" xfId="173" applyNumberFormat="1" applyFont="1" applyFill="1" applyAlignment="1">
      <alignment horizontal="right"/>
    </xf>
    <xf numFmtId="3" fontId="3" fillId="32" borderId="0" xfId="0" applyNumberFormat="1" applyFont="1" applyFill="1" applyAlignment="1"/>
    <xf numFmtId="3" fontId="3" fillId="32" borderId="3" xfId="0" applyNumberFormat="1" applyFont="1" applyFill="1" applyBorder="1" applyAlignment="1"/>
    <xf numFmtId="173" fontId="3" fillId="32" borderId="0" xfId="105" applyNumberFormat="1" applyFont="1" applyFill="1" applyAlignment="1"/>
    <xf numFmtId="173" fontId="3" fillId="32" borderId="3" xfId="105" applyNumberFormat="1" applyFont="1" applyFill="1" applyBorder="1" applyAlignment="1"/>
    <xf numFmtId="3" fontId="3" fillId="32" borderId="4" xfId="0" applyNumberFormat="1" applyFont="1" applyFill="1" applyBorder="1" applyAlignment="1"/>
    <xf numFmtId="3" fontId="83" fillId="0" borderId="0" xfId="0" applyNumberFormat="1" applyFont="1" applyFill="1" applyAlignment="1"/>
    <xf numFmtId="173" fontId="3" fillId="32" borderId="0" xfId="105" applyNumberFormat="1" applyFont="1" applyFill="1" applyBorder="1" applyAlignment="1"/>
    <xf numFmtId="10" fontId="3" fillId="32" borderId="0" xfId="173" applyNumberFormat="1" applyFont="1" applyFill="1" applyAlignment="1"/>
    <xf numFmtId="42" fontId="6" fillId="0" borderId="3" xfId="165" applyNumberFormat="1" applyFill="1" applyBorder="1"/>
    <xf numFmtId="176" fontId="6" fillId="31" borderId="0" xfId="165" applyNumberFormat="1" applyFill="1"/>
    <xf numFmtId="44" fontId="6" fillId="0" borderId="0" xfId="166" applyNumberFormat="1" applyFill="1"/>
    <xf numFmtId="43" fontId="3" fillId="0" borderId="0" xfId="105" applyFont="1" applyAlignment="1">
      <alignment horizontal="center"/>
    </xf>
    <xf numFmtId="1" fontId="3" fillId="0" borderId="0" xfId="0" applyNumberFormat="1" applyFont="1" applyFill="1" applyAlignment="1"/>
    <xf numFmtId="44" fontId="6" fillId="0" borderId="0" xfId="165" applyNumberFormat="1" applyFill="1"/>
    <xf numFmtId="173" fontId="3" fillId="32" borderId="4" xfId="105" applyNumberFormat="1" applyFont="1" applyFill="1" applyBorder="1" applyAlignment="1"/>
    <xf numFmtId="10" fontId="3" fillId="32" borderId="0" xfId="0" applyNumberFormat="1" applyFont="1" applyFill="1" applyProtection="1">
      <protection locked="0"/>
    </xf>
    <xf numFmtId="3" fontId="83" fillId="32" borderId="0" xfId="0" applyNumberFormat="1" applyFont="1" applyFill="1" applyAlignment="1"/>
    <xf numFmtId="173" fontId="3" fillId="33" borderId="0" xfId="105" applyNumberFormat="1" applyFont="1" applyFill="1" applyAlignment="1"/>
    <xf numFmtId="173" fontId="3" fillId="33" borderId="4" xfId="105" applyNumberFormat="1" applyFont="1" applyFill="1" applyBorder="1" applyAlignment="1"/>
    <xf numFmtId="173" fontId="3" fillId="33" borderId="0" xfId="105" applyNumberFormat="1" applyFont="1" applyFill="1" applyBorder="1" applyAlignment="1"/>
    <xf numFmtId="14" fontId="3" fillId="0" borderId="0" xfId="0" applyNumberFormat="1" applyFont="1" applyFill="1" applyAlignment="1"/>
    <xf numFmtId="3" fontId="3" fillId="32" borderId="6" xfId="0" applyNumberFormat="1" applyFont="1" applyFill="1" applyBorder="1" applyAlignment="1"/>
    <xf numFmtId="0" fontId="6" fillId="32" borderId="3" xfId="165" applyFont="1" applyFill="1" applyBorder="1" applyAlignment="1">
      <alignment horizontal="center" wrapText="1"/>
    </xf>
    <xf numFmtId="173" fontId="3" fillId="32" borderId="6" xfId="105" applyNumberFormat="1" applyFont="1" applyFill="1" applyBorder="1" applyAlignment="1"/>
    <xf numFmtId="201" fontId="0" fillId="32" borderId="0" xfId="0" applyNumberFormat="1" applyFill="1" applyAlignment="1">
      <alignment horizontal="right"/>
    </xf>
    <xf numFmtId="0" fontId="3" fillId="32" borderId="0" xfId="0" applyNumberFormat="1" applyFont="1" applyFill="1"/>
    <xf numFmtId="174" fontId="6" fillId="32" borderId="0" xfId="111" applyNumberFormat="1" applyFont="1" applyFill="1"/>
    <xf numFmtId="0" fontId="9" fillId="0" borderId="0" xfId="165" applyFont="1" applyAlignment="1">
      <alignment horizontal="center"/>
    </xf>
    <xf numFmtId="0" fontId="6" fillId="31" borderId="0" xfId="165" applyFill="1" applyAlignment="1">
      <alignment horizontal="left" wrapText="1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9" fillId="0" borderId="0" xfId="166" applyFont="1" applyAlignment="1">
      <alignment horizontal="center" wrapText="1"/>
    </xf>
    <xf numFmtId="0" fontId="9" fillId="0" borderId="0" xfId="166" applyFont="1" applyAlignment="1">
      <alignment horizontal="center"/>
    </xf>
    <xf numFmtId="0" fontId="6" fillId="0" borderId="0" xfId="166" applyAlignment="1">
      <alignment horizontal="left"/>
    </xf>
    <xf numFmtId="0" fontId="5" fillId="0" borderId="0" xfId="166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40" xfId="165" applyFont="1" applyBorder="1" applyAlignment="1">
      <alignment horizontal="center"/>
    </xf>
    <xf numFmtId="0" fontId="5" fillId="0" borderId="10" xfId="165" applyFont="1" applyBorder="1" applyAlignment="1">
      <alignment horizontal="center"/>
    </xf>
    <xf numFmtId="0" fontId="5" fillId="0" borderId="41" xfId="165" applyFont="1" applyBorder="1" applyAlignment="1">
      <alignment horizontal="center"/>
    </xf>
    <xf numFmtId="0" fontId="5" fillId="30" borderId="40" xfId="165" applyFont="1" applyFill="1" applyBorder="1" applyAlignment="1">
      <alignment horizontal="center"/>
    </xf>
    <xf numFmtId="0" fontId="5" fillId="30" borderId="10" xfId="165" applyFont="1" applyFill="1" applyBorder="1" applyAlignment="1">
      <alignment horizontal="center"/>
    </xf>
    <xf numFmtId="0" fontId="5" fillId="30" borderId="41" xfId="165" applyFont="1" applyFill="1" applyBorder="1" applyAlignment="1">
      <alignment horizontal="center"/>
    </xf>
  </cellXfs>
  <cellStyles count="237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0 - Style1" xfId="110"/>
    <cellStyle name="Currency" xfId="111" builtinId="4"/>
    <cellStyle name="Currency 2" xfId="112"/>
    <cellStyle name="Date" xfId="113"/>
    <cellStyle name="Euro" xfId="114"/>
    <cellStyle name="Explanatory Text" xfId="115" builtinId="53" customBuiltin="1"/>
    <cellStyle name="Explanatory Text 2" xfId="116"/>
    <cellStyle name="Fixed" xfId="117"/>
    <cellStyle name="Fixed1 - Style1" xfId="118"/>
    <cellStyle name="Gilsans" xfId="119"/>
    <cellStyle name="Gilsansl" xfId="120"/>
    <cellStyle name="Good" xfId="121" builtinId="26" customBuiltin="1"/>
    <cellStyle name="Good 2" xfId="122"/>
    <cellStyle name="Grey" xfId="123"/>
    <cellStyle name="HEADER" xfId="124"/>
    <cellStyle name="Header1" xfId="125"/>
    <cellStyle name="Header2" xfId="126"/>
    <cellStyle name="Heading" xfId="127"/>
    <cellStyle name="Heading 1" xfId="128" builtinId="16" customBuiltin="1"/>
    <cellStyle name="Heading 1 2" xfId="129"/>
    <cellStyle name="Heading 2" xfId="130" builtinId="17" customBuiltin="1"/>
    <cellStyle name="Heading 2 2" xfId="131"/>
    <cellStyle name="Heading 3" xfId="132" builtinId="18" customBuiltin="1"/>
    <cellStyle name="Heading 3 2" xfId="133"/>
    <cellStyle name="Heading 4" xfId="134" builtinId="19" customBuiltin="1"/>
    <cellStyle name="Heading 4 2" xfId="135"/>
    <cellStyle name="Heading1" xfId="136"/>
    <cellStyle name="Heading2" xfId="137"/>
    <cellStyle name="HIGHLIGHT" xfId="138"/>
    <cellStyle name="Input" xfId="139" builtinId="20" customBuiltin="1"/>
    <cellStyle name="Input [yellow]" xfId="140"/>
    <cellStyle name="Input 2" xfId="141"/>
    <cellStyle name="Lines" xfId="142"/>
    <cellStyle name="Linked Cell" xfId="143" builtinId="24" customBuiltin="1"/>
    <cellStyle name="Linked Cell 2" xfId="144"/>
    <cellStyle name="MEM SSN" xfId="145"/>
    <cellStyle name="Mine" xfId="146"/>
    <cellStyle name="mmm-yy" xfId="147"/>
    <cellStyle name="Monétaire [0]_pldt" xfId="148"/>
    <cellStyle name="Monétaire_pldt" xfId="149"/>
    <cellStyle name="Neutral" xfId="150" builtinId="28" customBuiltin="1"/>
    <cellStyle name="Neutral 2" xfId="151"/>
    <cellStyle name="New" xfId="152"/>
    <cellStyle name="No Border" xfId="153"/>
    <cellStyle name="no dec" xfId="154"/>
    <cellStyle name="Normal" xfId="0" builtinId="0"/>
    <cellStyle name="Normal - Style1" xfId="155"/>
    <cellStyle name="Normal 2" xfId="156"/>
    <cellStyle name="Normal 2 2" xfId="157"/>
    <cellStyle name="Normal 3" xfId="158"/>
    <cellStyle name="Normal 3 2" xfId="159"/>
    <cellStyle name="Normal CEN" xfId="160"/>
    <cellStyle name="Normal Centered" xfId="161"/>
    <cellStyle name="NORMAL CTR" xfId="162"/>
    <cellStyle name="Normal_2002 AREA LOADS FOR JNT TARIFF" xfId="163"/>
    <cellStyle name="Normal_BHP WP2" xfId="164"/>
    <cellStyle name="Normal_CU AC Rate Design" xfId="165"/>
    <cellStyle name="Normal_PRECorp2002HeintzResponse 8-21-03" xfId="166"/>
    <cellStyle name="Normal_TopSheet Type Ancillaries Worksheet-Updated 81903" xfId="167"/>
    <cellStyle name="Note" xfId="168" builtinId="10" customBuiltin="1"/>
    <cellStyle name="Note 2" xfId="169"/>
    <cellStyle name="nUMBER" xfId="170"/>
    <cellStyle name="Output" xfId="171" builtinId="21" customBuiltin="1"/>
    <cellStyle name="Output 2" xfId="172"/>
    <cellStyle name="Percent" xfId="173" builtinId="5"/>
    <cellStyle name="Percent [2]" xfId="174"/>
    <cellStyle name="Percent 2" xfId="175"/>
    <cellStyle name="PSChar" xfId="176"/>
    <cellStyle name="PSDate" xfId="177"/>
    <cellStyle name="PSDec" xfId="178"/>
    <cellStyle name="PSHeading" xfId="179"/>
    <cellStyle name="PSInt" xfId="180"/>
    <cellStyle name="PSSpacer" xfId="181"/>
    <cellStyle name="R00A" xfId="182"/>
    <cellStyle name="R00B" xfId="183"/>
    <cellStyle name="R00L" xfId="184"/>
    <cellStyle name="R01A" xfId="185"/>
    <cellStyle name="R01B" xfId="186"/>
    <cellStyle name="R01H" xfId="187"/>
    <cellStyle name="R01L" xfId="188"/>
    <cellStyle name="R02A" xfId="189"/>
    <cellStyle name="R02B" xfId="190"/>
    <cellStyle name="R02H" xfId="191"/>
    <cellStyle name="R02L" xfId="192"/>
    <cellStyle name="R03A" xfId="193"/>
    <cellStyle name="R03B" xfId="194"/>
    <cellStyle name="R03H" xfId="195"/>
    <cellStyle name="R03L" xfId="196"/>
    <cellStyle name="R04A" xfId="197"/>
    <cellStyle name="R04B" xfId="198"/>
    <cellStyle name="R04H" xfId="199"/>
    <cellStyle name="R04L" xfId="200"/>
    <cellStyle name="R05A" xfId="201"/>
    <cellStyle name="R05B" xfId="202"/>
    <cellStyle name="R05H" xfId="203"/>
    <cellStyle name="R05L" xfId="204"/>
    <cellStyle name="R06A" xfId="205"/>
    <cellStyle name="R06B" xfId="206"/>
    <cellStyle name="R06H" xfId="207"/>
    <cellStyle name="R06L" xfId="208"/>
    <cellStyle name="R07A" xfId="209"/>
    <cellStyle name="R07B" xfId="210"/>
    <cellStyle name="R07H" xfId="211"/>
    <cellStyle name="R07L" xfId="212"/>
    <cellStyle name="Resource Detail" xfId="213"/>
    <cellStyle name="Shade" xfId="214"/>
    <cellStyle name="single acct" xfId="215"/>
    <cellStyle name="Single Border" xfId="216"/>
    <cellStyle name="Small Page Heading" xfId="217"/>
    <cellStyle name="ssn" xfId="218"/>
    <cellStyle name="Style 1" xfId="219"/>
    <cellStyle name="Style 2" xfId="220"/>
    <cellStyle name="Style 27" xfId="221"/>
    <cellStyle name="Style 28" xfId="222"/>
    <cellStyle name="Table Sub Heading" xfId="223"/>
    <cellStyle name="Table Title" xfId="224"/>
    <cellStyle name="Table Units" xfId="225"/>
    <cellStyle name="Theirs" xfId="226"/>
    <cellStyle name="Times New Roman" xfId="227"/>
    <cellStyle name="Title" xfId="228" builtinId="15" customBuiltin="1"/>
    <cellStyle name="Title 2" xfId="229"/>
    <cellStyle name="Total" xfId="230" builtinId="25" customBuiltin="1"/>
    <cellStyle name="Total 2" xfId="231"/>
    <cellStyle name="Unprot" xfId="232"/>
    <cellStyle name="Unprot$" xfId="233"/>
    <cellStyle name="Unprotect" xfId="234"/>
    <cellStyle name="Warning Text" xfId="235" builtinId="11" customBuiltin="1"/>
    <cellStyle name="Warning Text 2" xfId="23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P46"/>
  <sheetViews>
    <sheetView tabSelected="1" zoomScaleNormal="100" workbookViewId="0">
      <selection activeCell="H28" sqref="H28"/>
    </sheetView>
  </sheetViews>
  <sheetFormatPr defaultColWidth="7.109375" defaultRowHeight="12.75"/>
  <cols>
    <col min="1" max="1" width="3.77734375" style="22" customWidth="1"/>
    <col min="2" max="2" width="9.6640625" style="23" customWidth="1"/>
    <col min="3" max="3" width="6.88671875" style="23" customWidth="1"/>
    <col min="4" max="4" width="11.5546875" style="23" customWidth="1"/>
    <col min="5" max="5" width="11.5546875" style="23" bestFit="1" customWidth="1"/>
    <col min="6" max="6" width="12.109375" style="23" customWidth="1"/>
    <col min="7" max="7" width="8.77734375" style="23" bestFit="1" customWidth="1"/>
    <col min="8" max="8" width="9.5546875" style="23" bestFit="1" customWidth="1"/>
    <col min="9" max="9" width="7.109375" style="23" customWidth="1"/>
    <col min="10" max="10" width="8.77734375" style="23" bestFit="1" customWidth="1"/>
    <col min="11" max="11" width="7.109375" style="23" customWidth="1"/>
    <col min="12" max="12" width="11.44140625" style="23" customWidth="1"/>
    <col min="13" max="16384" width="7.109375" style="23"/>
  </cols>
  <sheetData>
    <row r="1" spans="1:11" ht="27" customHeight="1">
      <c r="G1" s="334" t="s">
        <v>388</v>
      </c>
      <c r="H1" s="334"/>
    </row>
    <row r="2" spans="1:11">
      <c r="G2" s="70"/>
      <c r="H2" s="71"/>
      <c r="I2" s="71"/>
      <c r="J2" s="71"/>
    </row>
    <row r="3" spans="1:11" ht="15" customHeight="1">
      <c r="A3" s="333" t="s">
        <v>273</v>
      </c>
      <c r="B3" s="333"/>
      <c r="C3" s="333"/>
      <c r="D3" s="333"/>
      <c r="E3" s="333"/>
      <c r="F3" s="333"/>
      <c r="G3" s="333"/>
      <c r="H3" s="333"/>
    </row>
    <row r="4" spans="1:11" ht="15" customHeight="1">
      <c r="A4" s="333" t="s">
        <v>43</v>
      </c>
      <c r="B4" s="333"/>
      <c r="C4" s="333"/>
      <c r="D4" s="333"/>
      <c r="E4" s="333"/>
      <c r="F4" s="333"/>
      <c r="G4" s="333"/>
      <c r="H4" s="333"/>
    </row>
    <row r="6" spans="1:11">
      <c r="A6" s="24" t="s">
        <v>38</v>
      </c>
    </row>
    <row r="8" spans="1:11">
      <c r="A8" s="22">
        <v>1</v>
      </c>
      <c r="B8" s="43" t="s">
        <v>80</v>
      </c>
      <c r="D8" s="70"/>
      <c r="E8" s="71"/>
      <c r="G8" s="43"/>
      <c r="H8" s="332">
        <v>401990.97</v>
      </c>
      <c r="I8" s="70" t="s">
        <v>376</v>
      </c>
      <c r="K8" s="71"/>
    </row>
    <row r="9" spans="1:11">
      <c r="G9" s="43"/>
      <c r="H9" s="43"/>
    </row>
    <row r="10" spans="1:11" ht="39" thickBot="1">
      <c r="D10" s="25" t="str">
        <f>+B20</f>
        <v>Entity</v>
      </c>
      <c r="E10" s="26"/>
      <c r="F10" s="65" t="s">
        <v>114</v>
      </c>
      <c r="G10" s="137" t="s">
        <v>192</v>
      </c>
      <c r="H10" s="65" t="s">
        <v>275</v>
      </c>
    </row>
    <row r="11" spans="1:11">
      <c r="D11" s="22"/>
      <c r="F11" s="28"/>
      <c r="G11" s="138"/>
      <c r="H11" s="139"/>
    </row>
    <row r="12" spans="1:11">
      <c r="A12" s="22">
        <v>2</v>
      </c>
      <c r="D12" s="23" t="s">
        <v>276</v>
      </c>
      <c r="F12" s="66">
        <f>+L22</f>
        <v>28.387686573314586</v>
      </c>
      <c r="G12" s="140">
        <f>+F12/F$15</f>
        <v>0.59577328633829352</v>
      </c>
      <c r="H12" s="141">
        <f>+H$8*G12</f>
        <v>239495.48127521834</v>
      </c>
      <c r="J12" s="29"/>
      <c r="K12" s="30"/>
    </row>
    <row r="13" spans="1:11">
      <c r="A13" s="22">
        <v>3</v>
      </c>
      <c r="D13" s="23" t="s">
        <v>277</v>
      </c>
      <c r="F13" s="67">
        <f>+L23</f>
        <v>17.062542062574192</v>
      </c>
      <c r="G13" s="140">
        <f>+F13/F$15</f>
        <v>0.35809211615930081</v>
      </c>
      <c r="H13" s="141">
        <f>+H$8*G13</f>
        <v>143949.79712423001</v>
      </c>
      <c r="J13" s="31"/>
      <c r="K13" s="30"/>
    </row>
    <row r="14" spans="1:11" ht="13.5" thickBot="1">
      <c r="A14" s="22">
        <v>4</v>
      </c>
      <c r="D14" s="114" t="s">
        <v>278</v>
      </c>
      <c r="E14" s="114"/>
      <c r="F14" s="115">
        <f>+L24</f>
        <v>2.1982430634539445</v>
      </c>
      <c r="G14" s="116">
        <f>+F14/F$15</f>
        <v>4.6134597502405679E-2</v>
      </c>
      <c r="H14" s="117">
        <f>+H$8*G14</f>
        <v>18545.691600551636</v>
      </c>
      <c r="J14" s="31"/>
      <c r="K14" s="30"/>
    </row>
    <row r="15" spans="1:11">
      <c r="A15" s="22">
        <v>5</v>
      </c>
      <c r="D15" s="23" t="s">
        <v>137</v>
      </c>
      <c r="F15" s="67">
        <f>SUM(F12:F14)</f>
        <v>47.648471699342721</v>
      </c>
      <c r="G15" s="142">
        <f>+F15/F$15</f>
        <v>1</v>
      </c>
      <c r="H15" s="143">
        <f>SUM(H12:H14)</f>
        <v>401990.97000000003</v>
      </c>
      <c r="J15" s="29"/>
    </row>
    <row r="16" spans="1:11">
      <c r="G16" s="43"/>
      <c r="H16" s="43"/>
    </row>
    <row r="17" spans="1:16">
      <c r="G17" s="43"/>
      <c r="H17" s="43"/>
    </row>
    <row r="18" spans="1:16">
      <c r="A18" s="24" t="s">
        <v>279</v>
      </c>
      <c r="E18" s="181" t="s">
        <v>377</v>
      </c>
      <c r="F18" s="182"/>
      <c r="G18" s="183"/>
      <c r="H18" s="183"/>
    </row>
    <row r="19" spans="1:16">
      <c r="G19" s="43"/>
      <c r="H19" s="43"/>
    </row>
    <row r="20" spans="1:16" ht="39" thickBot="1">
      <c r="B20" s="26" t="s">
        <v>280</v>
      </c>
      <c r="C20" s="26"/>
      <c r="D20" s="27" t="s">
        <v>115</v>
      </c>
      <c r="E20" s="27" t="s">
        <v>117</v>
      </c>
      <c r="F20" s="27" t="s">
        <v>281</v>
      </c>
      <c r="G20" s="328" t="s">
        <v>378</v>
      </c>
      <c r="H20" s="65" t="s">
        <v>236</v>
      </c>
    </row>
    <row r="21" spans="1:16">
      <c r="G21" s="43"/>
      <c r="H21" s="43"/>
      <c r="M21" s="128" t="s">
        <v>302</v>
      </c>
      <c r="N21" s="129"/>
      <c r="O21" s="129"/>
      <c r="P21" s="130"/>
    </row>
    <row r="22" spans="1:16">
      <c r="A22" s="22">
        <v>6</v>
      </c>
      <c r="B22" s="23" t="str">
        <f>+D12</f>
        <v>Black Hills</v>
      </c>
      <c r="D22" s="119">
        <f>Estimate!J122</f>
        <v>27422030.010989904</v>
      </c>
      <c r="E22" s="32">
        <f>-H12</f>
        <v>-239495.48127521834</v>
      </c>
      <c r="F22" s="32">
        <f>+E22+D22</f>
        <v>27182534.529714685</v>
      </c>
      <c r="G22" s="47">
        <f>+'WP7 CU AC LOADS'!J44*1000</f>
        <v>957546.66233333317</v>
      </c>
      <c r="H22" s="144">
        <f>+F22/G22</f>
        <v>28.387686573390329</v>
      </c>
      <c r="J22" s="118" t="s">
        <v>83</v>
      </c>
      <c r="L22" s="315">
        <v>28.387686573314586</v>
      </c>
      <c r="M22" s="131" t="s">
        <v>303</v>
      </c>
      <c r="N22" s="132"/>
      <c r="O22" s="132"/>
      <c r="P22" s="133"/>
    </row>
    <row r="23" spans="1:16">
      <c r="A23" s="22">
        <v>7</v>
      </c>
      <c r="B23" s="23" t="str">
        <f>+D13</f>
        <v>Basin Electric</v>
      </c>
      <c r="D23" s="174">
        <v>16482130</v>
      </c>
      <c r="E23" s="32">
        <f>-H13</f>
        <v>-143949.79712423001</v>
      </c>
      <c r="F23" s="32">
        <f>+E23+D23</f>
        <v>16338180.202875771</v>
      </c>
      <c r="G23" s="145">
        <f>+G22</f>
        <v>957546.66233333317</v>
      </c>
      <c r="H23" s="144">
        <f>+F23/G23</f>
        <v>17.062542062507092</v>
      </c>
      <c r="J23" s="118" t="s">
        <v>83</v>
      </c>
      <c r="L23" s="315">
        <v>17.062542062574192</v>
      </c>
      <c r="M23" s="131" t="s">
        <v>304</v>
      </c>
      <c r="N23" s="132"/>
      <c r="O23" s="132"/>
      <c r="P23" s="133"/>
    </row>
    <row r="24" spans="1:16" ht="13.5" thickBot="1">
      <c r="A24" s="22">
        <v>8</v>
      </c>
      <c r="B24" s="26" t="str">
        <f>+D14</f>
        <v>PRECorp</v>
      </c>
      <c r="C24" s="26"/>
      <c r="D24" s="314">
        <v>2123466</v>
      </c>
      <c r="E24" s="35">
        <f>-H14</f>
        <v>-18545.691600551636</v>
      </c>
      <c r="F24" s="35">
        <f>+E24+D24</f>
        <v>2104920.3083994482</v>
      </c>
      <c r="G24" s="146">
        <f>+G23</f>
        <v>957546.66233333317</v>
      </c>
      <c r="H24" s="147">
        <f>+F24/G24</f>
        <v>2.1982430634452994</v>
      </c>
      <c r="J24" s="118" t="s">
        <v>83</v>
      </c>
      <c r="L24" s="315">
        <v>2.1982430634539445</v>
      </c>
      <c r="M24" s="134" t="s">
        <v>305</v>
      </c>
      <c r="N24" s="135"/>
      <c r="O24" s="135"/>
      <c r="P24" s="136"/>
    </row>
    <row r="25" spans="1:16">
      <c r="A25" s="22">
        <v>9</v>
      </c>
      <c r="B25" s="23" t="s">
        <v>137</v>
      </c>
      <c r="D25" s="32">
        <f>SUM(D22:D24)</f>
        <v>46027626.010989904</v>
      </c>
      <c r="E25" s="32">
        <f>SUM(E22:E24)</f>
        <v>-401990.97000000003</v>
      </c>
      <c r="F25" s="32">
        <f>SUM(F22:F24)</f>
        <v>45625635.040989898</v>
      </c>
      <c r="H25" s="33">
        <f>SUM(H22:H24)</f>
        <v>47.648471699342714</v>
      </c>
    </row>
    <row r="26" spans="1:16">
      <c r="F26" s="32"/>
      <c r="G26" s="34"/>
      <c r="H26" s="33"/>
    </row>
    <row r="27" spans="1:16">
      <c r="A27" s="24" t="s">
        <v>282</v>
      </c>
    </row>
    <row r="28" spans="1:16">
      <c r="A28" s="22">
        <v>10</v>
      </c>
      <c r="D28" s="23" t="s">
        <v>283</v>
      </c>
      <c r="F28" s="37">
        <f>+H25</f>
        <v>47.648471699342714</v>
      </c>
      <c r="G28" s="36" t="s">
        <v>284</v>
      </c>
      <c r="H28" s="319">
        <f>ROUND(F28,2)*1000</f>
        <v>47650</v>
      </c>
      <c r="I28" s="23" t="s">
        <v>375</v>
      </c>
    </row>
    <row r="29" spans="1:16">
      <c r="A29" s="22">
        <f t="shared" ref="A29:A34" si="0">+A28+1</f>
        <v>11</v>
      </c>
      <c r="D29" s="23" t="s">
        <v>285</v>
      </c>
      <c r="F29" s="66">
        <f>ROUND(F28/12,2)</f>
        <v>3.97</v>
      </c>
      <c r="G29" s="36" t="s">
        <v>286</v>
      </c>
      <c r="H29" s="319">
        <f t="shared" ref="H29:H34" si="1">F29*1000</f>
        <v>3970</v>
      </c>
      <c r="I29" s="23" t="s">
        <v>375</v>
      </c>
    </row>
    <row r="30" spans="1:16">
      <c r="A30" s="22">
        <f t="shared" si="0"/>
        <v>12</v>
      </c>
      <c r="D30" s="23" t="s">
        <v>287</v>
      </c>
      <c r="F30" s="66">
        <f>ROUND(F28/52,2)</f>
        <v>0.92</v>
      </c>
      <c r="G30" s="36" t="s">
        <v>288</v>
      </c>
      <c r="H30" s="319">
        <f t="shared" si="1"/>
        <v>920</v>
      </c>
      <c r="I30" s="23" t="s">
        <v>375</v>
      </c>
    </row>
    <row r="31" spans="1:16">
      <c r="A31" s="22">
        <f t="shared" si="0"/>
        <v>13</v>
      </c>
      <c r="D31" s="23" t="s">
        <v>289</v>
      </c>
      <c r="E31" s="23" t="s">
        <v>290</v>
      </c>
      <c r="F31" s="68">
        <f>+F30/6</f>
        <v>0.15333333333333335</v>
      </c>
      <c r="G31" s="36" t="s">
        <v>291</v>
      </c>
      <c r="H31" s="319">
        <f t="shared" si="1"/>
        <v>153.33333333333334</v>
      </c>
      <c r="I31" s="23" t="s">
        <v>375</v>
      </c>
    </row>
    <row r="32" spans="1:16">
      <c r="A32" s="22">
        <f t="shared" si="0"/>
        <v>14</v>
      </c>
      <c r="D32" s="23" t="s">
        <v>292</v>
      </c>
      <c r="E32" s="23" t="s">
        <v>293</v>
      </c>
      <c r="F32" s="68">
        <f>+F30/7</f>
        <v>0.13142857142857142</v>
      </c>
      <c r="G32" s="36" t="s">
        <v>291</v>
      </c>
      <c r="H32" s="319">
        <f t="shared" si="1"/>
        <v>131.42857142857142</v>
      </c>
      <c r="I32" s="23" t="s">
        <v>375</v>
      </c>
    </row>
    <row r="33" spans="1:9">
      <c r="A33" s="22">
        <f t="shared" si="0"/>
        <v>15</v>
      </c>
      <c r="D33" s="23" t="s">
        <v>294</v>
      </c>
      <c r="E33" s="23" t="s">
        <v>295</v>
      </c>
      <c r="F33" s="69">
        <f>+F31/16</f>
        <v>9.5833333333333343E-3</v>
      </c>
      <c r="G33" s="36" t="s">
        <v>296</v>
      </c>
      <c r="H33" s="319">
        <f t="shared" si="1"/>
        <v>9.5833333333333339</v>
      </c>
      <c r="I33" s="23" t="s">
        <v>375</v>
      </c>
    </row>
    <row r="34" spans="1:9">
      <c r="A34" s="22">
        <f t="shared" si="0"/>
        <v>16</v>
      </c>
      <c r="D34" s="23" t="s">
        <v>297</v>
      </c>
      <c r="E34" s="23" t="s">
        <v>298</v>
      </c>
      <c r="F34" s="69">
        <f>+F32/24</f>
        <v>5.4761904761904756E-3</v>
      </c>
      <c r="G34" s="36" t="s">
        <v>296</v>
      </c>
      <c r="H34" s="319">
        <f t="shared" si="1"/>
        <v>5.4761904761904754</v>
      </c>
      <c r="I34" s="23" t="s">
        <v>375</v>
      </c>
    </row>
    <row r="40" spans="1:9">
      <c r="A40" s="24" t="s">
        <v>299</v>
      </c>
    </row>
    <row r="42" spans="1:9">
      <c r="B42" s="23" t="str">
        <f>+D20</f>
        <v>Component Annual Revenue Requirements</v>
      </c>
      <c r="E42" s="32">
        <f>+D25</f>
        <v>46027626.010989904</v>
      </c>
    </row>
    <row r="43" spans="1:9">
      <c r="B43" s="43" t="s">
        <v>274</v>
      </c>
      <c r="E43" s="32">
        <f>+E25</f>
        <v>-401990.97000000003</v>
      </c>
    </row>
    <row r="44" spans="1:9">
      <c r="B44" s="23" t="str">
        <f>+F20</f>
        <v>Net Revenue Requirements</v>
      </c>
      <c r="E44" s="32">
        <f>+F25</f>
        <v>45625635.040989898</v>
      </c>
    </row>
    <row r="45" spans="1:9">
      <c r="B45" s="23" t="str">
        <f>+G20</f>
        <v>Projected 2020 Load</v>
      </c>
      <c r="E45" s="34">
        <f>+G22</f>
        <v>957546.66233333317</v>
      </c>
    </row>
    <row r="46" spans="1:9">
      <c r="B46" s="23" t="str">
        <f>+H20</f>
        <v>Annual Rate</v>
      </c>
      <c r="E46" s="37">
        <f>+E44/E45</f>
        <v>47.648471699342714</v>
      </c>
    </row>
  </sheetData>
  <mergeCells count="3">
    <mergeCell ref="A3:H3"/>
    <mergeCell ref="A4:H4"/>
    <mergeCell ref="G1:H1"/>
  </mergeCells>
  <phoneticPr fontId="14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N235"/>
  <sheetViews>
    <sheetView showGridLines="0" zoomScale="70" zoomScaleNormal="70" workbookViewId="0">
      <pane xSplit="3" ySplit="11" topLeftCell="D42" activePane="bottomRight" state="frozen"/>
      <selection pane="topRight" activeCell="D1" sqref="D1"/>
      <selection pane="bottomLeft" activeCell="A12" sqref="A12"/>
      <selection pane="bottomRight" activeCell="E63" sqref="E63"/>
    </sheetView>
  </sheetViews>
  <sheetFormatPr defaultRowHeight="15"/>
  <cols>
    <col min="1" max="1" width="6" style="163" customWidth="1"/>
    <col min="2" max="2" width="1.44140625" style="163" customWidth="1"/>
    <col min="3" max="3" width="48.5546875" style="163" customWidth="1"/>
    <col min="4" max="4" width="34.5546875" style="163" customWidth="1"/>
    <col min="5" max="5" width="23.109375" style="163" customWidth="1"/>
    <col min="6" max="6" width="7.77734375" style="163" customWidth="1"/>
    <col min="7" max="7" width="6.33203125" style="163" customWidth="1"/>
    <col min="8" max="8" width="14" style="163" customWidth="1"/>
    <col min="9" max="9" width="7.5546875" style="163" customWidth="1"/>
    <col min="10" max="10" width="17.21875" style="163" bestFit="1" customWidth="1"/>
    <col min="11" max="11" width="1.21875" style="163" customWidth="1"/>
    <col min="12" max="12" width="14.44140625" style="163" bestFit="1" customWidth="1"/>
    <col min="13" max="15" width="13.44140625" style="163" bestFit="1" customWidth="1"/>
    <col min="16" max="16384" width="8.88671875" style="163"/>
  </cols>
  <sheetData>
    <row r="1" spans="1:40">
      <c r="I1" s="222" t="s">
        <v>321</v>
      </c>
      <c r="J1" s="330">
        <v>43738</v>
      </c>
    </row>
    <row r="2" spans="1:40" ht="15.75">
      <c r="A2" s="20"/>
      <c r="B2" s="20"/>
      <c r="C2" s="20"/>
      <c r="D2" s="109"/>
      <c r="E2" s="20"/>
      <c r="F2" s="20"/>
      <c r="G2" s="20"/>
      <c r="I2" s="223" t="s">
        <v>116</v>
      </c>
      <c r="J2" s="331">
        <v>2020</v>
      </c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</row>
    <row r="3" spans="1:40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</row>
    <row r="4" spans="1:40" ht="15" customHeight="1">
      <c r="A4" s="335" t="s">
        <v>238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</row>
    <row r="5" spans="1:40" ht="15.75">
      <c r="A5" s="336" t="s">
        <v>134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</row>
    <row r="6" spans="1:40">
      <c r="A6" s="20"/>
      <c r="B6" s="20"/>
      <c r="C6" s="162"/>
      <c r="D6" s="162"/>
      <c r="F6" s="162"/>
      <c r="G6" s="162"/>
      <c r="H6" s="162"/>
      <c r="I6" s="162"/>
      <c r="J6" s="162"/>
      <c r="K6" s="162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</row>
    <row r="7" spans="1:40" ht="15" customHeight="1">
      <c r="A7" s="337" t="s">
        <v>237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</row>
    <row r="8" spans="1:40">
      <c r="A8" s="75"/>
      <c r="B8" s="20"/>
      <c r="C8" s="162"/>
      <c r="D8" s="162"/>
      <c r="E8" s="227"/>
      <c r="F8" s="162"/>
      <c r="G8" s="162"/>
      <c r="H8" s="162"/>
      <c r="I8" s="162"/>
      <c r="J8" s="162"/>
      <c r="K8" s="162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</row>
    <row r="9" spans="1:40">
      <c r="A9" s="20"/>
      <c r="B9" s="20"/>
      <c r="C9" s="228" t="s">
        <v>139</v>
      </c>
      <c r="D9" s="228" t="s">
        <v>140</v>
      </c>
      <c r="E9" s="228" t="s">
        <v>141</v>
      </c>
      <c r="F9" s="15" t="s">
        <v>133</v>
      </c>
      <c r="G9" s="15"/>
      <c r="H9" s="229" t="s">
        <v>142</v>
      </c>
      <c r="I9" s="15"/>
      <c r="J9" s="230" t="s">
        <v>143</v>
      </c>
      <c r="K9" s="15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</row>
    <row r="10" spans="1:40" ht="15.75">
      <c r="A10" s="20"/>
      <c r="B10" s="20"/>
      <c r="C10" s="220"/>
      <c r="D10" s="226" t="s">
        <v>144</v>
      </c>
      <c r="E10" s="15"/>
      <c r="F10" s="15"/>
      <c r="G10" s="231" t="s">
        <v>59</v>
      </c>
      <c r="H10" s="75"/>
      <c r="I10" s="15"/>
      <c r="J10" s="225" t="s">
        <v>145</v>
      </c>
      <c r="K10" s="15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</row>
    <row r="11" spans="1:40" ht="15.75">
      <c r="A11" s="75" t="s">
        <v>135</v>
      </c>
      <c r="B11" s="20"/>
      <c r="C11" s="220"/>
      <c r="D11" s="232" t="s">
        <v>146</v>
      </c>
      <c r="E11" s="225" t="s">
        <v>147</v>
      </c>
      <c r="F11" s="233"/>
      <c r="G11" s="234" t="s">
        <v>49</v>
      </c>
      <c r="H11" s="235"/>
      <c r="I11" s="233"/>
      <c r="J11" s="75" t="s">
        <v>148</v>
      </c>
      <c r="K11" s="15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</row>
    <row r="12" spans="1:40" ht="16.5" thickBot="1">
      <c r="A12" s="236" t="s">
        <v>136</v>
      </c>
      <c r="B12" s="20"/>
      <c r="C12" s="237" t="s">
        <v>149</v>
      </c>
      <c r="D12" s="15"/>
      <c r="E12" s="15"/>
      <c r="F12" s="15"/>
      <c r="G12" s="15"/>
      <c r="H12" s="15"/>
      <c r="I12" s="15"/>
      <c r="J12" s="15"/>
      <c r="K12" s="15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</row>
    <row r="13" spans="1:40">
      <c r="A13" s="75"/>
      <c r="B13" s="20"/>
      <c r="C13" s="220"/>
      <c r="D13" s="15"/>
      <c r="E13" s="15"/>
      <c r="F13" s="15"/>
      <c r="G13" s="15"/>
      <c r="H13" s="15"/>
      <c r="I13" s="15"/>
      <c r="J13" s="15"/>
      <c r="K13" s="15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</row>
    <row r="14" spans="1:40">
      <c r="A14" s="75"/>
      <c r="B14" s="20"/>
      <c r="C14" s="220" t="s">
        <v>150</v>
      </c>
      <c r="D14" s="15" t="s">
        <v>322</v>
      </c>
      <c r="E14" s="15"/>
      <c r="F14" s="15"/>
      <c r="G14" s="15"/>
      <c r="H14" s="15"/>
      <c r="I14" s="15"/>
      <c r="J14" s="15"/>
      <c r="K14" s="15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</row>
    <row r="15" spans="1:40">
      <c r="A15" s="75">
        <v>1</v>
      </c>
      <c r="B15" s="20"/>
      <c r="C15" s="220" t="s">
        <v>151</v>
      </c>
      <c r="D15" s="15" t="s">
        <v>39</v>
      </c>
      <c r="E15" s="306">
        <f>+'WP6 Rate Base'!Q15</f>
        <v>592246803</v>
      </c>
      <c r="F15" s="15"/>
      <c r="G15" s="15" t="s">
        <v>152</v>
      </c>
      <c r="H15" s="238" t="s">
        <v>133</v>
      </c>
      <c r="I15" s="15"/>
      <c r="J15" s="15" t="s">
        <v>133</v>
      </c>
      <c r="K15" s="15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</row>
    <row r="16" spans="1:40">
      <c r="A16" s="75">
        <v>2</v>
      </c>
      <c r="B16" s="20"/>
      <c r="C16" s="220" t="s">
        <v>153</v>
      </c>
      <c r="D16" s="15" t="s">
        <v>84</v>
      </c>
      <c r="E16" s="306">
        <f>+'WP6 Rate Base'!Q16</f>
        <v>208155662</v>
      </c>
      <c r="F16" s="15"/>
      <c r="G16" s="15" t="s">
        <v>138</v>
      </c>
      <c r="H16" s="238">
        <f>+J144</f>
        <v>0.89882399999999996</v>
      </c>
      <c r="I16" s="15"/>
      <c r="J16" s="15">
        <f>+H16*E16</f>
        <v>187095304.74148798</v>
      </c>
      <c r="K16" s="15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</row>
    <row r="17" spans="1:40">
      <c r="A17" s="75">
        <v>3</v>
      </c>
      <c r="B17" s="20"/>
      <c r="C17" s="220" t="s">
        <v>356</v>
      </c>
      <c r="D17" s="15" t="s">
        <v>357</v>
      </c>
      <c r="E17" s="15">
        <f>'BHP WP2 Capital Additions'!F20</f>
        <v>27665787.109999992</v>
      </c>
      <c r="F17" s="15"/>
      <c r="G17" s="15" t="s">
        <v>138</v>
      </c>
      <c r="H17" s="238">
        <f>H16</f>
        <v>0.89882399999999996</v>
      </c>
      <c r="I17" s="15"/>
      <c r="J17" s="15">
        <f>+H17*E17</f>
        <v>24866673.433358632</v>
      </c>
      <c r="K17" s="15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</row>
    <row r="18" spans="1:40">
      <c r="A18" s="75">
        <v>4</v>
      </c>
      <c r="B18" s="20"/>
      <c r="C18" s="220" t="s">
        <v>356</v>
      </c>
      <c r="D18" s="15" t="s">
        <v>358</v>
      </c>
      <c r="E18" s="15">
        <f>'BHP WP3 Capital Additions'!F23</f>
        <v>5453347.1841666661</v>
      </c>
      <c r="F18" s="15"/>
      <c r="G18" s="15" t="s">
        <v>138</v>
      </c>
      <c r="H18" s="238">
        <f>H17</f>
        <v>0.89882399999999996</v>
      </c>
      <c r="I18" s="15"/>
      <c r="J18" s="15">
        <f>+H18*E18</f>
        <v>4901599.329461419</v>
      </c>
      <c r="K18" s="15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</row>
    <row r="19" spans="1:40">
      <c r="A19" s="75">
        <v>5</v>
      </c>
      <c r="B19" s="20"/>
      <c r="C19" s="220" t="s">
        <v>154</v>
      </c>
      <c r="D19" s="15" t="s">
        <v>85</v>
      </c>
      <c r="E19" s="306">
        <f>+'WP6 Rate Base'!Q17</f>
        <v>394674921</v>
      </c>
      <c r="F19" s="15"/>
      <c r="G19" s="15" t="s">
        <v>152</v>
      </c>
      <c r="H19" s="239"/>
      <c r="I19" s="15"/>
      <c r="J19" s="15"/>
      <c r="K19" s="15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</row>
    <row r="20" spans="1:40">
      <c r="A20" s="75">
        <v>6</v>
      </c>
      <c r="B20" s="20"/>
      <c r="C20" s="220" t="s">
        <v>155</v>
      </c>
      <c r="D20" s="15" t="s">
        <v>364</v>
      </c>
      <c r="E20" s="306">
        <f>+'WP6 Rate Base'!Q18</f>
        <v>42832155.160000019</v>
      </c>
      <c r="F20" s="15"/>
      <c r="G20" s="15" t="s">
        <v>156</v>
      </c>
      <c r="H20" s="238">
        <f>J176</f>
        <v>0.13265686648493033</v>
      </c>
      <c r="I20" s="15"/>
      <c r="J20" s="15">
        <f>+H20*E20</f>
        <v>5681979.4883219423</v>
      </c>
      <c r="K20" s="15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</row>
    <row r="21" spans="1:40">
      <c r="A21" s="75">
        <v>7</v>
      </c>
      <c r="B21" s="20"/>
      <c r="C21" s="220" t="s">
        <v>101</v>
      </c>
      <c r="D21" s="15" t="s">
        <v>365</v>
      </c>
      <c r="E21" s="306">
        <f>+'WP6 Rate Base'!Q19</f>
        <v>29321754</v>
      </c>
      <c r="F21" s="15"/>
      <c r="G21" s="15" t="s">
        <v>156</v>
      </c>
      <c r="H21" s="238">
        <f>+H20</f>
        <v>0.13265686648493033</v>
      </c>
      <c r="I21" s="15"/>
      <c r="J21" s="15">
        <f>+H21*E21</f>
        <v>3889732.0054819719</v>
      </c>
      <c r="K21" s="15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</row>
    <row r="22" spans="1:40">
      <c r="A22" s="75">
        <v>8</v>
      </c>
      <c r="B22" s="20"/>
      <c r="C22" s="220" t="s">
        <v>68</v>
      </c>
      <c r="D22" s="15" t="s">
        <v>366</v>
      </c>
      <c r="E22" s="306">
        <f>+'WP6 Rate Base'!Q20</f>
        <v>7921110</v>
      </c>
      <c r="F22" s="15"/>
      <c r="G22" s="15" t="s">
        <v>95</v>
      </c>
      <c r="H22" s="238">
        <f>+J181</f>
        <v>0.38074573714987958</v>
      </c>
      <c r="I22" s="15"/>
      <c r="J22" s="15">
        <f>+H22*E22</f>
        <v>3015928.8659952828</v>
      </c>
      <c r="K22" s="15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</row>
    <row r="23" spans="1:40" ht="15.75" thickBot="1">
      <c r="A23" s="75">
        <v>9</v>
      </c>
      <c r="B23" s="20"/>
      <c r="C23" s="220" t="s">
        <v>157</v>
      </c>
      <c r="D23" s="15" t="s">
        <v>158</v>
      </c>
      <c r="E23" s="307">
        <f>+'WP6 Rate Base'!Q21</f>
        <v>0</v>
      </c>
      <c r="F23" s="15"/>
      <c r="G23" s="15" t="s">
        <v>189</v>
      </c>
      <c r="H23" s="238">
        <v>0</v>
      </c>
      <c r="I23" s="15"/>
      <c r="J23" s="21">
        <f>+H23*E23</f>
        <v>0</v>
      </c>
      <c r="K23" s="15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</row>
    <row r="24" spans="1:40">
      <c r="A24" s="75">
        <v>10</v>
      </c>
      <c r="B24" s="20"/>
      <c r="C24" s="221" t="s">
        <v>5</v>
      </c>
      <c r="D24" s="15" t="str">
        <f>"(sum lines "&amp;A15&amp;" - "&amp;A23&amp;")"</f>
        <v>(sum lines 1 - 9)</v>
      </c>
      <c r="E24" s="15">
        <f>SUM(E15:E23)</f>
        <v>1308271539.4541667</v>
      </c>
      <c r="F24" s="15"/>
      <c r="G24" s="15" t="s">
        <v>159</v>
      </c>
      <c r="H24" s="240">
        <f>IF(E24&gt;0,+J24/E24,0)</f>
        <v>0.17538501063765263</v>
      </c>
      <c r="I24" s="15"/>
      <c r="J24" s="15">
        <f>SUM(J15:J23)</f>
        <v>229451217.86410722</v>
      </c>
      <c r="K24" s="15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</row>
    <row r="25" spans="1:40">
      <c r="A25" s="75">
        <v>11</v>
      </c>
      <c r="B25" s="20"/>
      <c r="C25" s="220"/>
      <c r="D25" s="15"/>
      <c r="E25" s="15"/>
      <c r="F25" s="15"/>
      <c r="G25" s="15"/>
      <c r="H25" s="240"/>
      <c r="I25" s="15"/>
      <c r="J25" s="15"/>
      <c r="K25" s="15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</row>
    <row r="26" spans="1:40">
      <c r="A26" s="75">
        <v>12</v>
      </c>
      <c r="B26" s="20"/>
      <c r="C26" s="220" t="s">
        <v>160</v>
      </c>
      <c r="D26" s="15"/>
      <c r="E26" s="15"/>
      <c r="F26" s="15"/>
      <c r="G26" s="15"/>
      <c r="H26" s="15"/>
      <c r="I26" s="15"/>
      <c r="J26" s="15"/>
      <c r="K26" s="15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</row>
    <row r="27" spans="1:40">
      <c r="A27" s="75">
        <v>13</v>
      </c>
      <c r="B27" s="20"/>
      <c r="C27" s="220" t="str">
        <f>+C15</f>
        <v xml:space="preserve">  Production</v>
      </c>
      <c r="D27" s="15" t="s">
        <v>314</v>
      </c>
      <c r="E27" s="306">
        <f>+'WP6 Rate Base'!Q25</f>
        <v>202286781</v>
      </c>
      <c r="F27" s="15"/>
      <c r="G27" s="15" t="str">
        <f>+G15</f>
        <v>NA</v>
      </c>
      <c r="H27" s="238" t="str">
        <f>+H15</f>
        <v xml:space="preserve"> </v>
      </c>
      <c r="I27" s="15"/>
      <c r="J27" s="15" t="s">
        <v>133</v>
      </c>
      <c r="K27" s="15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</row>
    <row r="28" spans="1:40">
      <c r="A28" s="75">
        <v>14</v>
      </c>
      <c r="B28" s="20"/>
      <c r="C28" s="220" t="s">
        <v>153</v>
      </c>
      <c r="D28" s="15" t="s">
        <v>86</v>
      </c>
      <c r="E28" s="306">
        <f>+'WP6 Rate Base'!Q26</f>
        <v>47705701.420000002</v>
      </c>
      <c r="F28" s="15"/>
      <c r="G28" s="15" t="s">
        <v>46</v>
      </c>
      <c r="H28" s="238">
        <f>+J162</f>
        <v>0.84833099999999995</v>
      </c>
      <c r="I28" s="15"/>
      <c r="J28" s="15">
        <f>+H28*E28</f>
        <v>40470225.391330019</v>
      </c>
      <c r="K28" s="15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</row>
    <row r="29" spans="1:40">
      <c r="A29" s="75">
        <v>15</v>
      </c>
      <c r="B29" s="20"/>
      <c r="C29" s="220" t="s">
        <v>359</v>
      </c>
      <c r="D29" s="15" t="str">
        <f>"See Workpaper 2 (line 48)"</f>
        <v>See Workpaper 2 (line 48)</v>
      </c>
      <c r="E29" s="15">
        <f>'BHP WP2 Capital Additions'!F57</f>
        <v>7842370.9633276649</v>
      </c>
      <c r="F29" s="15"/>
      <c r="G29" s="15" t="s">
        <v>46</v>
      </c>
      <c r="H29" s="238">
        <f>H28</f>
        <v>0.84833099999999995</v>
      </c>
      <c r="I29" s="15"/>
      <c r="J29" s="15">
        <f>+H29*E29</f>
        <v>6652926.4016907206</v>
      </c>
      <c r="K29" s="15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</row>
    <row r="30" spans="1:40">
      <c r="A30" s="75">
        <v>16</v>
      </c>
      <c r="B30" s="20"/>
      <c r="C30" s="220" t="s">
        <v>154</v>
      </c>
      <c r="D30" s="15" t="s">
        <v>87</v>
      </c>
      <c r="E30" s="306">
        <f>+'WP6 Rate Base'!Q27</f>
        <v>141957768.58000001</v>
      </c>
      <c r="F30" s="15"/>
      <c r="G30" s="15" t="s">
        <v>152</v>
      </c>
      <c r="H30" s="238"/>
      <c r="I30" s="15"/>
      <c r="J30" s="15"/>
      <c r="K30" s="15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</row>
    <row r="31" spans="1:40">
      <c r="A31" s="75">
        <v>17</v>
      </c>
      <c r="B31" s="20"/>
      <c r="C31" s="220" t="str">
        <f>+C20</f>
        <v xml:space="preserve">  General &amp; Intangible</v>
      </c>
      <c r="D31" s="15" t="s">
        <v>367</v>
      </c>
      <c r="E31" s="306">
        <f>+'WP6 Rate Base'!Q28</f>
        <v>18229100.984651692</v>
      </c>
      <c r="F31" s="15"/>
      <c r="G31" s="15" t="str">
        <f>+G20</f>
        <v>W/S</v>
      </c>
      <c r="H31" s="238">
        <f>+H20</f>
        <v>0.13265686648493033</v>
      </c>
      <c r="I31" s="15"/>
      <c r="J31" s="15">
        <f>+H31*E31</f>
        <v>2418215.4154612515</v>
      </c>
      <c r="K31" s="15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</row>
    <row r="32" spans="1:40">
      <c r="A32" s="75">
        <v>18</v>
      </c>
      <c r="B32" s="20"/>
      <c r="C32" s="220" t="s">
        <v>101</v>
      </c>
      <c r="D32" s="15" t="s">
        <v>368</v>
      </c>
      <c r="E32" s="306">
        <f>+'WP6 Rate Base'!Q29</f>
        <v>13627289</v>
      </c>
      <c r="F32" s="15"/>
      <c r="G32" s="15" t="str">
        <f>+G21</f>
        <v>W/S</v>
      </c>
      <c r="H32" s="238">
        <f>+H31</f>
        <v>0.13265686648493033</v>
      </c>
      <c r="I32" s="15"/>
      <c r="J32" s="15">
        <f>+H32*E32</f>
        <v>1807753.4574245599</v>
      </c>
      <c r="K32" s="15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</row>
    <row r="33" spans="1:40">
      <c r="A33" s="75">
        <v>19</v>
      </c>
      <c r="B33" s="20"/>
      <c r="C33" s="220" t="str">
        <f>+C22</f>
        <v xml:space="preserve">  Communication System</v>
      </c>
      <c r="D33" s="15" t="s">
        <v>369</v>
      </c>
      <c r="E33" s="306">
        <f>+'WP6 Rate Base'!Q30</f>
        <v>2860353.6399999997</v>
      </c>
      <c r="F33" s="15"/>
      <c r="G33" s="15" t="str">
        <f>+G22</f>
        <v>T&amp;D</v>
      </c>
      <c r="H33" s="238">
        <f>+H22</f>
        <v>0.38074573714987958</v>
      </c>
      <c r="I33" s="15"/>
      <c r="J33" s="15">
        <f>+H33*E33</f>
        <v>1089067.4551711411</v>
      </c>
      <c r="K33" s="15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</row>
    <row r="34" spans="1:40" ht="15.75" thickBot="1">
      <c r="A34" s="75">
        <v>20</v>
      </c>
      <c r="B34" s="20"/>
      <c r="C34" s="220" t="str">
        <f>+C23</f>
        <v xml:space="preserve">  Common</v>
      </c>
      <c r="D34" s="15" t="s">
        <v>158</v>
      </c>
      <c r="E34" s="307">
        <f>+'WP6 Rate Base'!R31</f>
        <v>0</v>
      </c>
      <c r="F34" s="15"/>
      <c r="G34" s="15" t="str">
        <f>+G23</f>
        <v>CE</v>
      </c>
      <c r="H34" s="238">
        <f>+H23</f>
        <v>0</v>
      </c>
      <c r="I34" s="15"/>
      <c r="J34" s="21">
        <f>+H34*E34</f>
        <v>0</v>
      </c>
      <c r="K34" s="15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</row>
    <row r="35" spans="1:40">
      <c r="A35" s="75">
        <v>21</v>
      </c>
      <c r="B35" s="20"/>
      <c r="C35" s="220" t="s">
        <v>7</v>
      </c>
      <c r="D35" s="15" t="str">
        <f>"(sum lines "&amp;A27&amp;" - "&amp;A34&amp;")"</f>
        <v>(sum lines 13 - 20)</v>
      </c>
      <c r="E35" s="15">
        <f>SUM(E27:E34)</f>
        <v>434509365.58797938</v>
      </c>
      <c r="F35" s="15"/>
      <c r="G35" s="15"/>
      <c r="H35" s="15"/>
      <c r="I35" s="15"/>
      <c r="J35" s="15">
        <f>SUM(J27:J34)</f>
        <v>52438188.121077687</v>
      </c>
      <c r="K35" s="15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</row>
    <row r="36" spans="1:40">
      <c r="A36" s="75">
        <v>22</v>
      </c>
      <c r="B36" s="20"/>
      <c r="C36" s="20"/>
      <c r="D36" s="15" t="s">
        <v>133</v>
      </c>
      <c r="E36" s="20"/>
      <c r="F36" s="15"/>
      <c r="G36" s="15"/>
      <c r="H36" s="240"/>
      <c r="I36" s="15"/>
      <c r="J36" s="20"/>
      <c r="K36" s="15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</row>
    <row r="37" spans="1:40">
      <c r="A37" s="75">
        <v>23</v>
      </c>
      <c r="B37" s="20"/>
      <c r="C37" s="220" t="s">
        <v>161</v>
      </c>
      <c r="D37" s="15"/>
      <c r="E37" s="15"/>
      <c r="F37" s="15"/>
      <c r="G37" s="15"/>
      <c r="H37" s="15"/>
      <c r="I37" s="15"/>
      <c r="J37" s="15"/>
      <c r="K37" s="15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</row>
    <row r="38" spans="1:40">
      <c r="A38" s="75">
        <v>24</v>
      </c>
      <c r="B38" s="20"/>
      <c r="C38" s="220" t="str">
        <f>+C27</f>
        <v xml:space="preserve">  Production</v>
      </c>
      <c r="D38" s="15" t="str">
        <f>"(line "&amp;A15&amp;" - line "&amp;A27&amp;")"</f>
        <v>(line 1 - line 13)</v>
      </c>
      <c r="E38" s="15">
        <f>E15-E27</f>
        <v>389960022</v>
      </c>
      <c r="F38" s="15"/>
      <c r="G38" s="15" t="s">
        <v>57</v>
      </c>
      <c r="H38" s="240"/>
      <c r="I38" s="15"/>
      <c r="J38" s="15" t="s">
        <v>133</v>
      </c>
      <c r="K38" s="15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</row>
    <row r="39" spans="1:40">
      <c r="A39" s="75">
        <v>25</v>
      </c>
      <c r="B39" s="20"/>
      <c r="C39" s="220" t="s">
        <v>153</v>
      </c>
      <c r="D39" s="15" t="str">
        <f>"(line "&amp;A16&amp;" - line "&amp;A28&amp;")"</f>
        <v>(line 2 - line 14)</v>
      </c>
      <c r="E39" s="15">
        <f>E16-E28</f>
        <v>160449960.57999998</v>
      </c>
      <c r="F39" s="15"/>
      <c r="G39" s="15" t="s">
        <v>57</v>
      </c>
      <c r="H39" s="238"/>
      <c r="I39" s="15"/>
      <c r="J39" s="15">
        <f>J16-J28</f>
        <v>146625079.35015798</v>
      </c>
      <c r="K39" s="15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</row>
    <row r="40" spans="1:40">
      <c r="A40" s="75">
        <v>26</v>
      </c>
      <c r="B40" s="20"/>
      <c r="C40" s="220" t="str">
        <f>+C17</f>
        <v xml:space="preserve">  New Construction CUS Assets</v>
      </c>
      <c r="D40" s="15" t="str">
        <f>"(line "&amp;A17&amp;" - line "&amp;A29&amp;")"</f>
        <v>(line 3 - line 15)</v>
      </c>
      <c r="E40" s="15">
        <f>E17-E29</f>
        <v>19823416.146672327</v>
      </c>
      <c r="F40" s="15"/>
      <c r="G40" s="15" t="s">
        <v>57</v>
      </c>
      <c r="H40" s="238"/>
      <c r="I40" s="15"/>
      <c r="J40" s="15">
        <f>J17-J29</f>
        <v>18213747.031667911</v>
      </c>
      <c r="K40" s="15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</row>
    <row r="41" spans="1:40">
      <c r="A41" s="75">
        <v>27</v>
      </c>
      <c r="B41" s="20"/>
      <c r="C41" s="220" t="s">
        <v>356</v>
      </c>
      <c r="D41" s="15" t="s">
        <v>355</v>
      </c>
      <c r="E41" s="15">
        <f>E18</f>
        <v>5453347.1841666661</v>
      </c>
      <c r="F41" s="15"/>
      <c r="G41" s="15" t="s">
        <v>57</v>
      </c>
      <c r="H41" s="238"/>
      <c r="I41" s="15"/>
      <c r="J41" s="15">
        <f>J18</f>
        <v>4901599.329461419</v>
      </c>
      <c r="K41" s="15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</row>
    <row r="42" spans="1:40">
      <c r="A42" s="75">
        <v>28</v>
      </c>
      <c r="B42" s="20"/>
      <c r="C42" s="220" t="s">
        <v>234</v>
      </c>
      <c r="D42" s="15" t="str">
        <f>"(line "&amp;A19&amp;" - line "&amp;A30&amp;")"</f>
        <v>(line 5 - line 16)</v>
      </c>
      <c r="E42" s="15">
        <f t="shared" ref="E42:E47" si="0">E19-E30</f>
        <v>252717152.41999999</v>
      </c>
      <c r="F42" s="15"/>
      <c r="G42" s="15" t="s">
        <v>57</v>
      </c>
      <c r="H42" s="240"/>
      <c r="I42" s="15"/>
      <c r="J42" s="15"/>
      <c r="K42" s="15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</row>
    <row r="43" spans="1:40">
      <c r="A43" s="75">
        <v>29</v>
      </c>
      <c r="B43" s="20"/>
      <c r="C43" s="220" t="str">
        <f>+C31</f>
        <v xml:space="preserve">  General &amp; Intangible</v>
      </c>
      <c r="D43" s="15" t="str">
        <f>"(line "&amp;A20&amp;" - line "&amp;A31&amp;")"</f>
        <v>(line 6 - line 17)</v>
      </c>
      <c r="E43" s="15">
        <f t="shared" si="0"/>
        <v>24603054.175348327</v>
      </c>
      <c r="F43" s="15"/>
      <c r="G43" s="15" t="s">
        <v>57</v>
      </c>
      <c r="H43" s="240"/>
      <c r="I43" s="15"/>
      <c r="J43" s="15">
        <f>J20-J31</f>
        <v>3263764.0728606908</v>
      </c>
      <c r="K43" s="15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</row>
    <row r="44" spans="1:40">
      <c r="A44" s="75">
        <v>30</v>
      </c>
      <c r="B44" s="20"/>
      <c r="C44" s="220" t="s">
        <v>101</v>
      </c>
      <c r="D44" s="15" t="str">
        <f>"(line "&amp;A21&amp;" - line "&amp;A32&amp;")"</f>
        <v>(line 7 - line 18)</v>
      </c>
      <c r="E44" s="15">
        <f t="shared" si="0"/>
        <v>15694465</v>
      </c>
      <c r="F44" s="15"/>
      <c r="G44" s="15" t="s">
        <v>57</v>
      </c>
      <c r="H44" s="240"/>
      <c r="I44" s="15"/>
      <c r="J44" s="15">
        <f>J21-J32</f>
        <v>2081978.548057412</v>
      </c>
      <c r="K44" s="15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</row>
    <row r="45" spans="1:40">
      <c r="A45" s="75">
        <v>31</v>
      </c>
      <c r="B45" s="20"/>
      <c r="C45" s="220" t="str">
        <f>+C33</f>
        <v xml:space="preserve">  Communication System</v>
      </c>
      <c r="D45" s="15" t="str">
        <f>"(line "&amp;A22&amp;" - line "&amp;A33&amp;")"</f>
        <v>(line 8 - line 19)</v>
      </c>
      <c r="E45" s="15">
        <f t="shared" si="0"/>
        <v>5060756.3600000003</v>
      </c>
      <c r="F45" s="15"/>
      <c r="G45" s="15" t="s">
        <v>57</v>
      </c>
      <c r="H45" s="240"/>
      <c r="I45" s="15"/>
      <c r="J45" s="15">
        <f>J22-J33</f>
        <v>1926861.4108241417</v>
      </c>
      <c r="K45" s="15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</row>
    <row r="46" spans="1:40" ht="15.75" thickBot="1">
      <c r="A46" s="75">
        <v>32</v>
      </c>
      <c r="B46" s="20"/>
      <c r="C46" s="220" t="str">
        <f>+C34</f>
        <v xml:space="preserve">  Common</v>
      </c>
      <c r="D46" s="15" t="str">
        <f>"(line "&amp;A23&amp;" - line "&amp;A34&amp;")"</f>
        <v>(line 9 - line 20)</v>
      </c>
      <c r="E46" s="21">
        <f t="shared" si="0"/>
        <v>0</v>
      </c>
      <c r="F46" s="15"/>
      <c r="G46" s="15" t="s">
        <v>57</v>
      </c>
      <c r="H46" s="240"/>
      <c r="I46" s="15"/>
      <c r="J46" s="21">
        <f>J23-J34</f>
        <v>0</v>
      </c>
      <c r="K46" s="15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</row>
    <row r="47" spans="1:40">
      <c r="A47" s="75">
        <v>33</v>
      </c>
      <c r="B47" s="20"/>
      <c r="C47" s="220" t="s">
        <v>6</v>
      </c>
      <c r="D47" s="15" t="str">
        <f>"(sum lines "&amp;A38&amp;" - "&amp;A46&amp;")"</f>
        <v>(sum lines 24 - 32)</v>
      </c>
      <c r="E47" s="15">
        <f t="shared" si="0"/>
        <v>873762173.86618733</v>
      </c>
      <c r="F47" s="15"/>
      <c r="G47" s="15" t="s">
        <v>162</v>
      </c>
      <c r="H47" s="240">
        <f>IF(E47&gt;0,+J47/E47,0)</f>
        <v>0.20258719710855588</v>
      </c>
      <c r="I47" s="15"/>
      <c r="J47" s="15">
        <f>SUM(J38:J46)</f>
        <v>177013029.74302956</v>
      </c>
      <c r="K47" s="15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</row>
    <row r="48" spans="1:40">
      <c r="A48" s="75">
        <v>34</v>
      </c>
      <c r="B48" s="20"/>
      <c r="C48" s="20"/>
      <c r="D48" s="15"/>
      <c r="E48" s="85"/>
      <c r="F48" s="15"/>
      <c r="G48" s="20"/>
      <c r="H48" s="20"/>
      <c r="I48" s="15"/>
      <c r="J48" s="20"/>
      <c r="K48" s="15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</row>
    <row r="49" spans="1:40">
      <c r="A49" s="75">
        <v>35</v>
      </c>
      <c r="B49" s="20"/>
      <c r="C49" s="221" t="s">
        <v>28</v>
      </c>
      <c r="D49" s="15" t="s">
        <v>370</v>
      </c>
      <c r="E49" s="15"/>
      <c r="F49" s="15"/>
      <c r="G49" s="15"/>
      <c r="H49" s="15"/>
      <c r="I49" s="15"/>
      <c r="J49" s="15"/>
      <c r="K49" s="15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</row>
    <row r="50" spans="1:40">
      <c r="A50" s="75">
        <v>36</v>
      </c>
      <c r="B50" s="20"/>
      <c r="C50" s="220" t="s">
        <v>207</v>
      </c>
      <c r="D50" s="15" t="s">
        <v>163</v>
      </c>
      <c r="E50" s="308">
        <f>+'WP6 Rate Base'!F50</f>
        <v>0</v>
      </c>
      <c r="F50" s="15"/>
      <c r="G50" s="15" t="str">
        <f>+G27</f>
        <v>NA</v>
      </c>
      <c r="H50" s="241" t="s">
        <v>228</v>
      </c>
      <c r="I50" s="15"/>
      <c r="J50" s="85">
        <v>0</v>
      </c>
      <c r="K50" s="15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</row>
    <row r="51" spans="1:40">
      <c r="A51" s="75">
        <v>37</v>
      </c>
      <c r="B51" s="20"/>
      <c r="C51" s="220" t="s">
        <v>208</v>
      </c>
      <c r="D51" s="15" t="s">
        <v>165</v>
      </c>
      <c r="E51" s="308">
        <f>+'WP6 Rate Base'!F51</f>
        <v>-122562026</v>
      </c>
      <c r="F51" s="15"/>
      <c r="G51" s="15" t="s">
        <v>164</v>
      </c>
      <c r="H51" s="238">
        <f>+H47</f>
        <v>0.20258719710855588</v>
      </c>
      <c r="I51" s="15"/>
      <c r="J51" s="308">
        <v>-25956738.319285952</v>
      </c>
      <c r="K51" s="15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</row>
    <row r="52" spans="1:40">
      <c r="A52" s="75">
        <v>38</v>
      </c>
      <c r="B52" s="20"/>
      <c r="C52" s="220" t="s">
        <v>209</v>
      </c>
      <c r="D52" s="15" t="s">
        <v>166</v>
      </c>
      <c r="E52" s="308">
        <f>+'WP6 Rate Base'!F52</f>
        <v>-18552793</v>
      </c>
      <c r="F52" s="15"/>
      <c r="G52" s="15" t="str">
        <f>+G51</f>
        <v>NP</v>
      </c>
      <c r="H52" s="238">
        <f>H47</f>
        <v>0.20258719710855588</v>
      </c>
      <c r="I52" s="15"/>
      <c r="J52" s="85">
        <f>E52*H52</f>
        <v>-3758558.3324052356</v>
      </c>
      <c r="K52" s="15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</row>
    <row r="53" spans="1:40">
      <c r="A53" s="75">
        <v>39</v>
      </c>
      <c r="B53" s="20"/>
      <c r="C53" s="220" t="s">
        <v>211</v>
      </c>
      <c r="D53" s="15" t="s">
        <v>167</v>
      </c>
      <c r="E53" s="308">
        <f>+'WP6 Rate Base'!F53</f>
        <v>30263670</v>
      </c>
      <c r="F53" s="15"/>
      <c r="G53" s="15" t="str">
        <f>+G52</f>
        <v>NP</v>
      </c>
      <c r="H53" s="238">
        <f>+H52</f>
        <v>0.20258719710855588</v>
      </c>
      <c r="I53" s="15"/>
      <c r="J53" s="85">
        <f>E53*H53</f>
        <v>6131032.0795182893</v>
      </c>
      <c r="K53" s="15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</row>
    <row r="54" spans="1:40">
      <c r="A54" s="75">
        <v>40</v>
      </c>
      <c r="B54" s="20"/>
      <c r="C54" s="20" t="s">
        <v>210</v>
      </c>
      <c r="D54" s="20" t="s">
        <v>88</v>
      </c>
      <c r="E54" s="308">
        <f>+'WP6 Rate Base'!F54</f>
        <v>0</v>
      </c>
      <c r="F54" s="15"/>
      <c r="G54" s="15" t="str">
        <f>+G53</f>
        <v>NP</v>
      </c>
      <c r="H54" s="238">
        <f>+H52</f>
        <v>0.20258719710855588</v>
      </c>
      <c r="I54" s="15"/>
      <c r="J54" s="108">
        <f>E54*H54</f>
        <v>0</v>
      </c>
      <c r="K54" s="15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</row>
    <row r="55" spans="1:40" ht="15.75" thickBot="1">
      <c r="A55" s="75">
        <v>41</v>
      </c>
      <c r="B55" s="20"/>
      <c r="C55" s="220" t="s">
        <v>230</v>
      </c>
      <c r="D55" s="20" t="s">
        <v>394</v>
      </c>
      <c r="E55" s="309">
        <f>+'WP6 Rate Base'!F55</f>
        <v>-96693540</v>
      </c>
      <c r="F55" s="15"/>
      <c r="G55" s="15" t="str">
        <f>+G54</f>
        <v>NP</v>
      </c>
      <c r="H55" s="238">
        <f>+H54</f>
        <v>0.20258719710855588</v>
      </c>
      <c r="I55" s="15"/>
      <c r="J55" s="283">
        <f>+H55*E55</f>
        <v>-19588873.247104034</v>
      </c>
      <c r="K55" s="15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</row>
    <row r="56" spans="1:40">
      <c r="A56" s="75">
        <v>42</v>
      </c>
      <c r="B56" s="20"/>
      <c r="C56" s="220" t="s">
        <v>8</v>
      </c>
      <c r="D56" s="15" t="str">
        <f>"(sum lines "&amp;A50&amp;" - "&amp;A55&amp;")"</f>
        <v>(sum lines 36 - 41)</v>
      </c>
      <c r="E56" s="85"/>
      <c r="F56" s="15"/>
      <c r="G56" s="15"/>
      <c r="H56" s="15"/>
      <c r="I56" s="15"/>
      <c r="J56" s="85">
        <f>SUM(J50:J55)</f>
        <v>-43173137.819276929</v>
      </c>
      <c r="K56" s="15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</row>
    <row r="57" spans="1:40">
      <c r="A57" s="75">
        <v>43</v>
      </c>
      <c r="B57" s="20"/>
      <c r="C57" s="20"/>
      <c r="D57" s="15"/>
      <c r="E57" s="20"/>
      <c r="F57" s="15"/>
      <c r="G57" s="15"/>
      <c r="H57" s="240"/>
      <c r="I57" s="15"/>
      <c r="J57" s="20"/>
      <c r="K57" s="15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</row>
    <row r="58" spans="1:40">
      <c r="A58" s="75">
        <v>44</v>
      </c>
      <c r="B58" s="20"/>
      <c r="C58" s="221" t="s">
        <v>168</v>
      </c>
      <c r="D58" s="15" t="s">
        <v>371</v>
      </c>
      <c r="E58" s="308">
        <v>0</v>
      </c>
      <c r="F58" s="15"/>
      <c r="G58" s="15" t="s">
        <v>300</v>
      </c>
      <c r="H58" s="238">
        <v>0</v>
      </c>
      <c r="I58" s="15"/>
      <c r="J58" s="15">
        <f>+H58*E58</f>
        <v>0</v>
      </c>
      <c r="K58" s="15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</row>
    <row r="59" spans="1:40">
      <c r="A59" s="75">
        <v>45</v>
      </c>
      <c r="B59" s="20"/>
      <c r="C59" s="220"/>
      <c r="D59" s="15"/>
      <c r="E59" s="15"/>
      <c r="F59" s="15"/>
      <c r="G59" s="15"/>
      <c r="H59" s="15"/>
      <c r="I59" s="15"/>
      <c r="J59" s="15"/>
      <c r="K59" s="15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</row>
    <row r="60" spans="1:40">
      <c r="A60" s="75">
        <v>46</v>
      </c>
      <c r="B60" s="20"/>
      <c r="C60" s="220" t="s">
        <v>235</v>
      </c>
      <c r="D60" s="15" t="s">
        <v>133</v>
      </c>
      <c r="E60" s="15"/>
      <c r="F60" s="15"/>
      <c r="G60" s="15"/>
      <c r="H60" s="15"/>
      <c r="I60" s="15"/>
      <c r="J60" s="15"/>
      <c r="K60" s="15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</row>
    <row r="61" spans="1:40">
      <c r="A61" s="75">
        <v>47</v>
      </c>
      <c r="B61" s="20"/>
      <c r="C61" s="220" t="s">
        <v>227</v>
      </c>
      <c r="D61" s="20" t="str">
        <f>"(1/8 * line "&amp;A90&amp;")"</f>
        <v>(1/8 * line 63)</v>
      </c>
      <c r="E61" s="15">
        <f>+E90/8</f>
        <v>3802701.125</v>
      </c>
      <c r="F61" s="15"/>
      <c r="G61" s="15" t="s">
        <v>57</v>
      </c>
      <c r="H61" s="240"/>
      <c r="I61" s="15"/>
      <c r="J61" s="15">
        <f>+J90/8</f>
        <v>810037.56101509288</v>
      </c>
      <c r="K61" s="162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</row>
    <row r="62" spans="1:40">
      <c r="A62" s="75">
        <v>48</v>
      </c>
      <c r="B62" s="20"/>
      <c r="C62" s="220" t="s">
        <v>271</v>
      </c>
      <c r="D62" s="15" t="s">
        <v>98</v>
      </c>
      <c r="E62" s="306">
        <f>+'WP6 Rate Base'!F62</f>
        <v>4426257</v>
      </c>
      <c r="F62" s="15"/>
      <c r="G62" s="15" t="s">
        <v>95</v>
      </c>
      <c r="H62" s="238">
        <f>+J181</f>
        <v>0.38074573714987958</v>
      </c>
      <c r="I62" s="15"/>
      <c r="J62" s="15">
        <f>+H62*E62</f>
        <v>1685278.4842798146</v>
      </c>
      <c r="K62" s="15" t="s">
        <v>133</v>
      </c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</row>
    <row r="63" spans="1:40">
      <c r="A63" s="75">
        <v>49</v>
      </c>
      <c r="B63" s="20"/>
      <c r="C63" s="220" t="s">
        <v>271</v>
      </c>
      <c r="D63" s="15" t="s">
        <v>97</v>
      </c>
      <c r="E63" s="306">
        <f>+'WP6 Rate Base'!F63</f>
        <v>13114</v>
      </c>
      <c r="F63" s="15"/>
      <c r="G63" s="15" t="s">
        <v>138</v>
      </c>
      <c r="H63" s="238">
        <f>+J144</f>
        <v>0.89882399999999996</v>
      </c>
      <c r="I63" s="15"/>
      <c r="J63" s="15">
        <f>+H63*E63</f>
        <v>11787.177936</v>
      </c>
      <c r="K63" s="15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</row>
    <row r="64" spans="1:40" ht="15.75" thickBot="1">
      <c r="A64" s="75">
        <v>50</v>
      </c>
      <c r="B64" s="20"/>
      <c r="C64" s="220" t="s">
        <v>212</v>
      </c>
      <c r="D64" s="15" t="s">
        <v>40</v>
      </c>
      <c r="E64" s="310">
        <f>+'WP6 Rate Base'!F64</f>
        <v>3149219</v>
      </c>
      <c r="F64" s="15"/>
      <c r="G64" s="15" t="s">
        <v>169</v>
      </c>
      <c r="H64" s="238">
        <f>+H24</f>
        <v>0.17538501063765263</v>
      </c>
      <c r="I64" s="15"/>
      <c r="J64" s="21">
        <f>+H64*E64</f>
        <v>552325.80781529774</v>
      </c>
      <c r="K64" s="15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</row>
    <row r="65" spans="1:40">
      <c r="A65" s="75">
        <v>51</v>
      </c>
      <c r="B65" s="20"/>
      <c r="C65" s="220" t="s">
        <v>9</v>
      </c>
      <c r="D65" s="15" t="str">
        <f>"(sum lines "&amp;A61&amp;" - "&amp;A64&amp;")"</f>
        <v>(sum lines 47 - 50)</v>
      </c>
      <c r="E65" s="15">
        <f>SUM(E61:E64)</f>
        <v>11391291.125</v>
      </c>
      <c r="F65" s="162"/>
      <c r="G65" s="162"/>
      <c r="H65" s="162"/>
      <c r="I65" s="162"/>
      <c r="J65" s="15">
        <f>SUM(J61:J64)</f>
        <v>3059429.0310462052</v>
      </c>
      <c r="K65" s="162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</row>
    <row r="66" spans="1:40" ht="15.75" thickBot="1">
      <c r="A66" s="75">
        <v>52</v>
      </c>
      <c r="B66" s="20"/>
      <c r="C66" s="20"/>
      <c r="D66" s="15"/>
      <c r="E66" s="243"/>
      <c r="F66" s="15"/>
      <c r="G66" s="15"/>
      <c r="H66" s="15"/>
      <c r="I66" s="15"/>
      <c r="J66" s="244"/>
      <c r="K66" s="15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</row>
    <row r="67" spans="1:40" ht="15.75" thickBot="1">
      <c r="A67" s="75">
        <v>53</v>
      </c>
      <c r="B67" s="20"/>
      <c r="C67" s="220" t="s">
        <v>10</v>
      </c>
      <c r="D67" s="15" t="str">
        <f>"(sum lines "&amp;A47&amp;", "&amp;A56&amp;", "&amp;A58&amp;", &amp; "&amp;A65&amp;")"</f>
        <v>(sum lines 33, 42, 44, &amp; 51)</v>
      </c>
      <c r="E67" s="245"/>
      <c r="F67" s="15"/>
      <c r="G67" s="15"/>
      <c r="H67" s="240"/>
      <c r="I67" s="15"/>
      <c r="J67" s="284">
        <f>+J65+J58+J56+J47</f>
        <v>136899320.95479885</v>
      </c>
      <c r="K67" s="15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</row>
    <row r="68" spans="1:40" ht="15.75" thickTop="1">
      <c r="A68" s="75"/>
      <c r="B68" s="20"/>
      <c r="C68" s="220"/>
      <c r="D68" s="15"/>
      <c r="E68" s="245"/>
      <c r="F68" s="15"/>
      <c r="G68" s="15"/>
      <c r="H68" s="240"/>
      <c r="I68" s="223" t="s">
        <v>321</v>
      </c>
      <c r="J68" s="246">
        <f>J1</f>
        <v>43738</v>
      </c>
      <c r="K68" s="15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</row>
    <row r="69" spans="1:40">
      <c r="A69" s="75"/>
      <c r="B69" s="20"/>
      <c r="C69" s="220"/>
      <c r="D69" s="15"/>
      <c r="E69" s="15"/>
      <c r="F69" s="15"/>
      <c r="G69" s="15"/>
      <c r="I69" s="223" t="str">
        <f>$I$2</f>
        <v>Service Year</v>
      </c>
      <c r="J69" s="162">
        <f>$J$2</f>
        <v>2020</v>
      </c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</row>
    <row r="70" spans="1:40">
      <c r="A70" s="75"/>
      <c r="B70" s="20"/>
      <c r="C70" s="220"/>
      <c r="D70" s="15"/>
      <c r="E70" s="15"/>
      <c r="F70" s="15"/>
      <c r="G70" s="15"/>
      <c r="H70" s="15"/>
      <c r="I70" s="15"/>
      <c r="J70" s="15"/>
      <c r="K70" s="15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</row>
    <row r="71" spans="1:40" ht="15.75">
      <c r="A71" s="335" t="s">
        <v>238</v>
      </c>
      <c r="B71" s="335"/>
      <c r="C71" s="335"/>
      <c r="D71" s="335"/>
      <c r="E71" s="335"/>
      <c r="F71" s="335"/>
      <c r="G71" s="335"/>
      <c r="H71" s="335"/>
      <c r="I71" s="335"/>
      <c r="J71" s="335"/>
      <c r="K71" s="335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</row>
    <row r="72" spans="1:40" ht="15.75">
      <c r="A72" s="336" t="s">
        <v>134</v>
      </c>
      <c r="B72" s="336"/>
      <c r="C72" s="336"/>
      <c r="D72" s="336"/>
      <c r="E72" s="336"/>
      <c r="F72" s="336"/>
      <c r="G72" s="336"/>
      <c r="H72" s="336"/>
      <c r="I72" s="336"/>
      <c r="J72" s="336"/>
      <c r="K72" s="336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</row>
    <row r="73" spans="1:40">
      <c r="A73" s="20"/>
      <c r="B73" s="20"/>
      <c r="C73" s="162"/>
      <c r="D73" s="162"/>
      <c r="F73" s="162"/>
      <c r="G73" s="162"/>
      <c r="H73" s="162"/>
      <c r="I73" s="162"/>
      <c r="J73" s="162"/>
      <c r="K73" s="162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</row>
    <row r="74" spans="1:40" ht="15.75">
      <c r="A74" s="337" t="s">
        <v>237</v>
      </c>
      <c r="B74" s="337"/>
      <c r="C74" s="337"/>
      <c r="D74" s="337"/>
      <c r="E74" s="337"/>
      <c r="F74" s="337"/>
      <c r="G74" s="337"/>
      <c r="H74" s="337"/>
      <c r="I74" s="337"/>
      <c r="J74" s="337"/>
      <c r="K74" s="337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</row>
    <row r="75" spans="1:40">
      <c r="A75" s="75"/>
      <c r="B75" s="20"/>
      <c r="C75" s="228" t="s">
        <v>139</v>
      </c>
      <c r="D75" s="228" t="s">
        <v>140</v>
      </c>
      <c r="E75" s="228" t="s">
        <v>141</v>
      </c>
      <c r="F75" s="15" t="s">
        <v>133</v>
      </c>
      <c r="G75" s="15"/>
      <c r="H75" s="229" t="s">
        <v>142</v>
      </c>
      <c r="I75" s="15"/>
      <c r="J75" s="230" t="s">
        <v>143</v>
      </c>
      <c r="K75" s="15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</row>
    <row r="76" spans="1:40">
      <c r="A76" s="75"/>
      <c r="B76" s="20"/>
      <c r="C76" s="228"/>
      <c r="D76" s="19"/>
      <c r="E76" s="19"/>
      <c r="F76" s="19"/>
      <c r="G76" s="19"/>
      <c r="H76" s="19"/>
      <c r="I76" s="19"/>
      <c r="J76" s="19"/>
      <c r="K76" s="19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</row>
    <row r="77" spans="1:40" ht="15.75">
      <c r="A77" s="75" t="s">
        <v>135</v>
      </c>
      <c r="B77" s="20"/>
      <c r="C77" s="220"/>
      <c r="D77" s="226" t="s">
        <v>144</v>
      </c>
      <c r="E77" s="15"/>
      <c r="F77" s="15"/>
      <c r="G77" s="233" t="str">
        <f>+G10</f>
        <v xml:space="preserve">      Allocator</v>
      </c>
      <c r="H77" s="75"/>
      <c r="I77" s="15"/>
      <c r="J77" s="225" t="s">
        <v>145</v>
      </c>
      <c r="K77" s="15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</row>
    <row r="78" spans="1:40" ht="16.5" thickBot="1">
      <c r="A78" s="236" t="s">
        <v>136</v>
      </c>
      <c r="B78" s="20"/>
      <c r="C78" s="220"/>
      <c r="D78" s="232" t="s">
        <v>146</v>
      </c>
      <c r="E78" s="225" t="s">
        <v>147</v>
      </c>
      <c r="F78" s="233"/>
      <c r="G78" s="234" t="str">
        <f>+G11</f>
        <v xml:space="preserve">        (page 4)</v>
      </c>
      <c r="H78" s="20"/>
      <c r="I78" s="233"/>
      <c r="J78" s="75" t="s">
        <v>148</v>
      </c>
      <c r="K78" s="15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</row>
    <row r="79" spans="1:40" ht="15.75">
      <c r="A79" s="20"/>
      <c r="B79" s="20"/>
      <c r="C79" s="220"/>
      <c r="D79" s="15"/>
      <c r="E79" s="247"/>
      <c r="F79" s="248"/>
      <c r="G79" s="249"/>
      <c r="H79" s="20"/>
      <c r="I79" s="248"/>
      <c r="J79" s="247"/>
      <c r="K79" s="15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</row>
    <row r="80" spans="1:40">
      <c r="A80" s="75"/>
      <c r="B80" s="20"/>
      <c r="C80" s="220" t="s">
        <v>170</v>
      </c>
      <c r="D80" s="15"/>
      <c r="E80" s="15"/>
      <c r="F80" s="15"/>
      <c r="G80" s="15"/>
      <c r="H80" s="15"/>
      <c r="I80" s="15"/>
      <c r="J80" s="15"/>
      <c r="K80" s="15"/>
      <c r="L80" s="224"/>
      <c r="M80" s="224"/>
      <c r="N80" s="250"/>
      <c r="O80" s="250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</row>
    <row r="81" spans="1:40">
      <c r="A81" s="75">
        <f>+A67+1</f>
        <v>54</v>
      </c>
      <c r="B81" s="20"/>
      <c r="C81" s="220" t="s">
        <v>171</v>
      </c>
      <c r="D81" s="15" t="s">
        <v>102</v>
      </c>
      <c r="E81" s="308">
        <v>29068142</v>
      </c>
      <c r="F81" s="15"/>
      <c r="G81" s="15" t="s">
        <v>138</v>
      </c>
      <c r="H81" s="238">
        <f>+J144</f>
        <v>0.89882399999999996</v>
      </c>
      <c r="I81" s="15"/>
      <c r="J81" s="15">
        <f>+H81*E81</f>
        <v>26127143.665007997</v>
      </c>
      <c r="K81" s="162"/>
      <c r="L81" s="224"/>
      <c r="M81" s="224"/>
      <c r="N81" s="250"/>
      <c r="O81" s="250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</row>
    <row r="82" spans="1:40">
      <c r="A82" s="75">
        <f>+A81+1</f>
        <v>55</v>
      </c>
      <c r="B82" s="20"/>
      <c r="C82" s="220" t="s">
        <v>36</v>
      </c>
      <c r="D82" s="15" t="s">
        <v>323</v>
      </c>
      <c r="E82" s="308">
        <v>25425624</v>
      </c>
      <c r="F82" s="15"/>
      <c r="G82" s="15" t="str">
        <f>+G81</f>
        <v>TP</v>
      </c>
      <c r="H82" s="238">
        <f>+H81</f>
        <v>0.89882399999999996</v>
      </c>
      <c r="I82" s="15"/>
      <c r="J82" s="15">
        <f t="shared" ref="J82:J89" si="1">+H82*E82</f>
        <v>22853161.066175997</v>
      </c>
      <c r="K82" s="162"/>
      <c r="L82" s="251"/>
      <c r="M82" s="224"/>
      <c r="N82" s="250"/>
      <c r="O82" s="250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</row>
    <row r="83" spans="1:40">
      <c r="A83" s="75">
        <f>+A82+1</f>
        <v>56</v>
      </c>
      <c r="B83" s="20"/>
      <c r="C83" s="220" t="s">
        <v>172</v>
      </c>
      <c r="D83" s="15" t="s">
        <v>89</v>
      </c>
      <c r="E83" s="308">
        <v>27960284</v>
      </c>
      <c r="F83" s="15"/>
      <c r="G83" s="15" t="s">
        <v>156</v>
      </c>
      <c r="H83" s="238">
        <f>+H31</f>
        <v>0.13265686648493033</v>
      </c>
      <c r="I83" s="15"/>
      <c r="J83" s="15">
        <f t="shared" si="1"/>
        <v>3709123.6614687336</v>
      </c>
      <c r="K83" s="15"/>
      <c r="L83" s="251"/>
      <c r="M83" s="224"/>
      <c r="N83" s="250"/>
      <c r="O83" s="250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</row>
    <row r="84" spans="1:40">
      <c r="A84" s="75">
        <f>+A83+1</f>
        <v>57</v>
      </c>
      <c r="B84" s="20"/>
      <c r="C84" s="220" t="s">
        <v>33</v>
      </c>
      <c r="D84" s="15" t="s">
        <v>99</v>
      </c>
      <c r="E84" s="308">
        <v>399049</v>
      </c>
      <c r="F84" s="15"/>
      <c r="G84" s="15" t="s">
        <v>156</v>
      </c>
      <c r="H84" s="238">
        <v>1</v>
      </c>
      <c r="I84" s="15"/>
      <c r="J84" s="15">
        <f t="shared" si="1"/>
        <v>399049</v>
      </c>
      <c r="K84" s="15"/>
      <c r="L84" s="251"/>
      <c r="M84" s="224"/>
      <c r="N84" s="250"/>
      <c r="O84" s="250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</row>
    <row r="85" spans="1:40">
      <c r="A85" s="75">
        <f>+A84+1</f>
        <v>58</v>
      </c>
      <c r="B85" s="20"/>
      <c r="C85" s="220" t="s">
        <v>231</v>
      </c>
      <c r="D85" s="15" t="s">
        <v>118</v>
      </c>
      <c r="E85" s="308">
        <v>227200</v>
      </c>
      <c r="F85" s="15"/>
      <c r="G85" s="15" t="str">
        <f>G83</f>
        <v>W/S</v>
      </c>
      <c r="H85" s="238">
        <f>H83</f>
        <v>0.13265686648493033</v>
      </c>
      <c r="I85" s="15"/>
      <c r="J85" s="15">
        <f t="shared" si="1"/>
        <v>30139.64006537617</v>
      </c>
      <c r="K85" s="15"/>
      <c r="L85" s="252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</row>
    <row r="86" spans="1:40">
      <c r="A86" s="75">
        <f t="shared" ref="A86:A122" si="2">+A85+1</f>
        <v>59</v>
      </c>
      <c r="B86" s="20"/>
      <c r="C86" s="220" t="s">
        <v>232</v>
      </c>
      <c r="D86" s="15" t="s">
        <v>119</v>
      </c>
      <c r="E86" s="308">
        <v>211473</v>
      </c>
      <c r="F86" s="15"/>
      <c r="G86" s="15" t="str">
        <f>+G85</f>
        <v>W/S</v>
      </c>
      <c r="H86" s="238">
        <f>+H85</f>
        <v>0.13265686648493033</v>
      </c>
      <c r="I86" s="15"/>
      <c r="J86" s="15">
        <f t="shared" si="1"/>
        <v>28053.345526167672</v>
      </c>
      <c r="K86" s="15"/>
      <c r="L86" s="252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</row>
    <row r="87" spans="1:40">
      <c r="A87" s="75">
        <f t="shared" si="2"/>
        <v>60</v>
      </c>
      <c r="B87" s="20"/>
      <c r="C87" s="220" t="s">
        <v>35</v>
      </c>
      <c r="D87" s="15"/>
      <c r="E87" s="308">
        <v>797871</v>
      </c>
      <c r="F87" s="15"/>
      <c r="G87" s="15" t="str">
        <f>G83</f>
        <v>W/S</v>
      </c>
      <c r="H87" s="238">
        <f>H83</f>
        <v>0.13265686648493033</v>
      </c>
      <c r="I87" s="15"/>
      <c r="J87" s="15">
        <f t="shared" si="1"/>
        <v>105843.06671919784</v>
      </c>
      <c r="K87" s="15"/>
      <c r="L87" s="252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</row>
    <row r="88" spans="1:40">
      <c r="A88" s="75">
        <f t="shared" si="2"/>
        <v>61</v>
      </c>
      <c r="B88" s="20"/>
      <c r="C88" s="220" t="s">
        <v>34</v>
      </c>
      <c r="D88" s="15" t="s">
        <v>372</v>
      </c>
      <c r="E88" s="15">
        <v>0</v>
      </c>
      <c r="F88" s="15"/>
      <c r="G88" s="285" t="str">
        <f>+G81</f>
        <v>TP</v>
      </c>
      <c r="H88" s="238">
        <f>+H81</f>
        <v>0.89882399999999996</v>
      </c>
      <c r="I88" s="15"/>
      <c r="J88" s="15">
        <f>+H88*E88</f>
        <v>0</v>
      </c>
      <c r="K88" s="15"/>
      <c r="L88" s="252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</row>
    <row r="89" spans="1:40" ht="15.75" thickBot="1">
      <c r="A89" s="75">
        <f t="shared" si="2"/>
        <v>62</v>
      </c>
      <c r="B89" s="20"/>
      <c r="C89" s="220" t="s">
        <v>157</v>
      </c>
      <c r="D89" s="15" t="str">
        <f>+D34</f>
        <v>356.1</v>
      </c>
      <c r="E89" s="310">
        <v>0</v>
      </c>
      <c r="F89" s="15"/>
      <c r="G89" s="15" t="s">
        <v>189</v>
      </c>
      <c r="H89" s="238">
        <f>+H34</f>
        <v>0</v>
      </c>
      <c r="I89" s="15"/>
      <c r="J89" s="21">
        <f t="shared" si="1"/>
        <v>0</v>
      </c>
      <c r="K89" s="15"/>
      <c r="L89" s="252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</row>
    <row r="90" spans="1:40">
      <c r="A90" s="75">
        <f t="shared" si="2"/>
        <v>63</v>
      </c>
      <c r="B90" s="20"/>
      <c r="C90" s="220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15"/>
      <c r="E90" s="15">
        <f>+E81-E82+E83-E84-E87+E89+E88+E85-E86</f>
        <v>30421609</v>
      </c>
      <c r="F90" s="15"/>
      <c r="G90" s="15"/>
      <c r="H90" s="15"/>
      <c r="I90" s="15"/>
      <c r="J90" s="15">
        <f>+J81-J82+J83-J84-J87+J89+J88+J85-J86</f>
        <v>6480300.4881207431</v>
      </c>
      <c r="K90" s="15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</row>
    <row r="91" spans="1:40">
      <c r="A91" s="75">
        <f t="shared" si="2"/>
        <v>64</v>
      </c>
      <c r="B91" s="20"/>
      <c r="C91" s="20"/>
      <c r="D91" s="15"/>
      <c r="E91" s="20"/>
      <c r="F91" s="15"/>
      <c r="G91" s="15"/>
      <c r="H91" s="15"/>
      <c r="I91" s="15"/>
      <c r="J91" s="20"/>
      <c r="K91" s="15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</row>
    <row r="92" spans="1:40">
      <c r="A92" s="75">
        <f t="shared" si="2"/>
        <v>65</v>
      </c>
      <c r="B92" s="20"/>
      <c r="C92" s="220" t="s">
        <v>123</v>
      </c>
      <c r="D92" s="15"/>
      <c r="E92" s="15"/>
      <c r="F92" s="15"/>
      <c r="G92" s="15"/>
      <c r="H92" s="15"/>
      <c r="I92" s="15"/>
      <c r="J92" s="15"/>
      <c r="K92" s="15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</row>
    <row r="93" spans="1:40">
      <c r="A93" s="75">
        <f t="shared" si="2"/>
        <v>66</v>
      </c>
      <c r="B93" s="20"/>
      <c r="C93" s="220" t="str">
        <f>+C16</f>
        <v xml:space="preserve">  Transmission</v>
      </c>
      <c r="D93" s="15" t="s">
        <v>324</v>
      </c>
      <c r="E93" s="308">
        <f>+E16*'BHP WP5 Depreciation Rates'!H21</f>
        <v>4829211.3583999993</v>
      </c>
      <c r="F93" s="15"/>
      <c r="G93" s="15" t="s">
        <v>138</v>
      </c>
      <c r="H93" s="238">
        <f>+J144</f>
        <v>0.89882399999999996</v>
      </c>
      <c r="I93" s="15"/>
      <c r="J93" s="15">
        <f>+H93*E93</f>
        <v>4340611.0700025205</v>
      </c>
      <c r="K93" s="15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</row>
    <row r="94" spans="1:40">
      <c r="A94" s="75">
        <f t="shared" si="2"/>
        <v>67</v>
      </c>
      <c r="B94" s="20"/>
      <c r="C94" s="220" t="str">
        <f>+C17</f>
        <v xml:space="preserve">  New Construction CUS Assets</v>
      </c>
      <c r="D94" s="220" t="s">
        <v>360</v>
      </c>
      <c r="E94" s="308">
        <f>'BHP WP2 Capital Additions'!F22</f>
        <v>641846.26095199981</v>
      </c>
      <c r="F94" s="15"/>
      <c r="G94" s="15" t="s">
        <v>138</v>
      </c>
      <c r="H94" s="238">
        <f>H93</f>
        <v>0.89882399999999996</v>
      </c>
      <c r="I94" s="15"/>
      <c r="J94" s="15">
        <f>+H94*E94</f>
        <v>576906.8236539202</v>
      </c>
      <c r="K94" s="15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</row>
    <row r="95" spans="1:40">
      <c r="A95" s="75">
        <f t="shared" si="2"/>
        <v>68</v>
      </c>
      <c r="B95" s="20"/>
      <c r="C95" s="220" t="str">
        <f>+C18</f>
        <v xml:space="preserve">  New Construction CUS Assets</v>
      </c>
      <c r="D95" s="220" t="s">
        <v>361</v>
      </c>
      <c r="E95" s="308">
        <f>'BHP WP3 Capital Additions'!F27</f>
        <v>126517.65467266664</v>
      </c>
      <c r="F95" s="15"/>
      <c r="G95" s="15" t="s">
        <v>138</v>
      </c>
      <c r="H95" s="238">
        <f>H94</f>
        <v>0.89882399999999996</v>
      </c>
      <c r="I95" s="15"/>
      <c r="J95" s="15">
        <f>+H95*E95</f>
        <v>113717.10444350491</v>
      </c>
      <c r="K95" s="15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</row>
    <row r="96" spans="1:40">
      <c r="A96" s="75">
        <f t="shared" si="2"/>
        <v>69</v>
      </c>
      <c r="B96" s="20"/>
      <c r="C96" s="220" t="s">
        <v>233</v>
      </c>
      <c r="D96" s="15" t="s">
        <v>325</v>
      </c>
      <c r="E96" s="308">
        <f>(E20+E22)*'BHP WP5 Depreciation Rates'!H35</f>
        <v>3314188.2149480009</v>
      </c>
      <c r="F96" s="15"/>
      <c r="G96" s="15" t="s">
        <v>156</v>
      </c>
      <c r="H96" s="238">
        <f>H83</f>
        <v>0.13265686648493033</v>
      </c>
      <c r="I96" s="15"/>
      <c r="J96" s="15">
        <f>+H96*E96</f>
        <v>439649.82353628654</v>
      </c>
      <c r="K96" s="15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</row>
    <row r="97" spans="1:40" ht="15.75" thickBot="1">
      <c r="A97" s="75">
        <f t="shared" si="2"/>
        <v>70</v>
      </c>
      <c r="B97" s="20"/>
      <c r="C97" s="220" t="str">
        <f>+C89</f>
        <v xml:space="preserve">  Common</v>
      </c>
      <c r="D97" s="15" t="s">
        <v>90</v>
      </c>
      <c r="E97" s="308">
        <v>0</v>
      </c>
      <c r="F97" s="15"/>
      <c r="G97" s="15" t="s">
        <v>189</v>
      </c>
      <c r="H97" s="238">
        <f>+H89</f>
        <v>0</v>
      </c>
      <c r="I97" s="15"/>
      <c r="J97" s="21">
        <f>+H97*E97</f>
        <v>0</v>
      </c>
      <c r="K97" s="15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</row>
    <row r="98" spans="1:40">
      <c r="A98" s="75">
        <f t="shared" si="2"/>
        <v>71</v>
      </c>
      <c r="B98" s="20"/>
      <c r="C98" s="220" t="str">
        <f>"TOTAL DEPRECIATION (Sum lines "&amp;A93&amp;" - "&amp;A97&amp;")"</f>
        <v>TOTAL DEPRECIATION (Sum lines 66 - 70)</v>
      </c>
      <c r="D98" s="15"/>
      <c r="E98" s="329">
        <f>SUM(E93:E97)</f>
        <v>8911763.4889726657</v>
      </c>
      <c r="F98" s="15"/>
      <c r="G98" s="15"/>
      <c r="H98" s="15"/>
      <c r="I98" s="15"/>
      <c r="J98" s="15">
        <f>SUM(J93:J97)</f>
        <v>5470884.8216362316</v>
      </c>
      <c r="K98" s="15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</row>
    <row r="99" spans="1:40">
      <c r="A99" s="75">
        <f t="shared" si="2"/>
        <v>72</v>
      </c>
      <c r="B99" s="20"/>
      <c r="C99" s="220"/>
      <c r="D99" s="15"/>
      <c r="E99" s="85"/>
      <c r="F99" s="15"/>
      <c r="G99" s="15"/>
      <c r="H99" s="15"/>
      <c r="I99" s="15"/>
      <c r="J99" s="15"/>
      <c r="K99" s="15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</row>
    <row r="100" spans="1:40">
      <c r="A100" s="75">
        <f t="shared" si="2"/>
        <v>73</v>
      </c>
      <c r="B100" s="20"/>
      <c r="C100" s="220" t="s">
        <v>55</v>
      </c>
      <c r="D100" s="20"/>
      <c r="E100" s="15"/>
      <c r="F100" s="15"/>
      <c r="G100" s="15"/>
      <c r="H100" s="15"/>
      <c r="I100" s="15"/>
      <c r="J100" s="15"/>
      <c r="K100" s="15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</row>
    <row r="101" spans="1:40">
      <c r="A101" s="75">
        <f t="shared" si="2"/>
        <v>74</v>
      </c>
      <c r="B101" s="20"/>
      <c r="C101" s="220" t="s">
        <v>173</v>
      </c>
      <c r="D101" s="20"/>
      <c r="E101" s="286"/>
      <c r="F101" s="15"/>
      <c r="G101" s="15"/>
      <c r="H101" s="20"/>
      <c r="I101" s="15"/>
      <c r="J101" s="20"/>
      <c r="K101" s="15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</row>
    <row r="102" spans="1:40">
      <c r="A102" s="75">
        <f t="shared" si="2"/>
        <v>75</v>
      </c>
      <c r="B102" s="20"/>
      <c r="C102" s="220" t="s">
        <v>174</v>
      </c>
      <c r="D102" s="15" t="s">
        <v>326</v>
      </c>
      <c r="E102" s="308">
        <v>1912</v>
      </c>
      <c r="F102" s="15"/>
      <c r="G102" s="15" t="s">
        <v>156</v>
      </c>
      <c r="H102" s="253">
        <f>+J176</f>
        <v>0.13265686648493033</v>
      </c>
      <c r="I102" s="15"/>
      <c r="J102" s="15">
        <f>+H102*E102</f>
        <v>253.6399287191868</v>
      </c>
      <c r="K102" s="15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</row>
    <row r="103" spans="1:40">
      <c r="A103" s="75">
        <f t="shared" si="2"/>
        <v>76</v>
      </c>
      <c r="B103" s="20"/>
      <c r="C103" s="220" t="s">
        <v>175</v>
      </c>
      <c r="D103" s="15" t="s">
        <v>41</v>
      </c>
      <c r="E103" s="306">
        <v>0</v>
      </c>
      <c r="F103" s="15"/>
      <c r="G103" s="15" t="str">
        <f>+G102</f>
        <v>W/S</v>
      </c>
      <c r="H103" s="253">
        <f>+H102</f>
        <v>0.13265686648493033</v>
      </c>
      <c r="I103" s="15"/>
      <c r="J103" s="15">
        <f>+H103*E103</f>
        <v>0</v>
      </c>
      <c r="K103" s="15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</row>
    <row r="104" spans="1:40">
      <c r="A104" s="75">
        <f t="shared" si="2"/>
        <v>77</v>
      </c>
      <c r="B104" s="20"/>
      <c r="C104" s="220" t="s">
        <v>176</v>
      </c>
      <c r="D104" s="15" t="s">
        <v>133</v>
      </c>
      <c r="E104" s="15"/>
      <c r="F104" s="15"/>
      <c r="G104" s="15"/>
      <c r="H104" s="20"/>
      <c r="I104" s="15"/>
      <c r="J104" s="20"/>
      <c r="K104" s="15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</row>
    <row r="105" spans="1:40">
      <c r="A105" s="75">
        <f t="shared" si="2"/>
        <v>78</v>
      </c>
      <c r="B105" s="20"/>
      <c r="C105" s="220" t="s">
        <v>177</v>
      </c>
      <c r="D105" s="15" t="s">
        <v>327</v>
      </c>
      <c r="E105" s="308">
        <v>7077717</v>
      </c>
      <c r="F105" s="15"/>
      <c r="G105" s="15" t="s">
        <v>169</v>
      </c>
      <c r="H105" s="253">
        <f>+H24</f>
        <v>0.17538501063765263</v>
      </c>
      <c r="I105" s="15"/>
      <c r="J105" s="15">
        <f>+H105*E105</f>
        <v>1241325.4713352949</v>
      </c>
      <c r="K105" s="15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</row>
    <row r="106" spans="1:40">
      <c r="A106" s="75">
        <f t="shared" si="2"/>
        <v>79</v>
      </c>
      <c r="B106" s="20"/>
      <c r="C106" s="220" t="s">
        <v>178</v>
      </c>
      <c r="D106" s="15" t="s">
        <v>41</v>
      </c>
      <c r="E106" s="306">
        <v>0</v>
      </c>
      <c r="F106" s="15"/>
      <c r="G106" s="15" t="str">
        <f>+G50</f>
        <v>NA</v>
      </c>
      <c r="H106" s="254" t="s">
        <v>228</v>
      </c>
      <c r="I106" s="15"/>
      <c r="J106" s="15">
        <v>0</v>
      </c>
      <c r="K106" s="15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</row>
    <row r="107" spans="1:40" ht="15.75" thickBot="1">
      <c r="A107" s="75">
        <f t="shared" si="2"/>
        <v>80</v>
      </c>
      <c r="B107" s="20"/>
      <c r="C107" s="220" t="s">
        <v>179</v>
      </c>
      <c r="D107" s="15" t="str">
        <f>+D106</f>
        <v>263.i</v>
      </c>
      <c r="E107" s="307">
        <v>0</v>
      </c>
      <c r="F107" s="15"/>
      <c r="G107" s="15" t="str">
        <f>+G105</f>
        <v>GP</v>
      </c>
      <c r="H107" s="253">
        <f>+H105</f>
        <v>0.17538501063765263</v>
      </c>
      <c r="I107" s="15"/>
      <c r="J107" s="21">
        <f>+H107*E107</f>
        <v>0</v>
      </c>
      <c r="K107" s="15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</row>
    <row r="108" spans="1:40">
      <c r="A108" s="75">
        <f t="shared" si="2"/>
        <v>81</v>
      </c>
      <c r="B108" s="20"/>
      <c r="C108" s="220" t="str">
        <f>"TOTAL OTHER TAXES  (sum lines "&amp;A102&amp;" - "&amp;A107&amp;")"</f>
        <v>TOTAL OTHER TAXES  (sum lines 75 - 80)</v>
      </c>
      <c r="D108" s="15"/>
      <c r="E108" s="15">
        <f>SUM(E102:E107)</f>
        <v>7079629</v>
      </c>
      <c r="F108" s="15"/>
      <c r="G108" s="15"/>
      <c r="H108" s="253"/>
      <c r="I108" s="15"/>
      <c r="J108" s="15">
        <f>SUM(J102:J107)</f>
        <v>1241579.1112640142</v>
      </c>
      <c r="K108" s="15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</row>
    <row r="109" spans="1:40">
      <c r="A109" s="75">
        <f t="shared" si="2"/>
        <v>82</v>
      </c>
      <c r="B109" s="20"/>
      <c r="C109" s="220"/>
      <c r="D109" s="15"/>
      <c r="E109" s="15"/>
      <c r="F109" s="15"/>
      <c r="G109" s="15"/>
      <c r="H109" s="253"/>
      <c r="I109" s="15"/>
      <c r="J109" s="15"/>
      <c r="K109" s="15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</row>
    <row r="110" spans="1:40">
      <c r="A110" s="75">
        <f t="shared" si="2"/>
        <v>83</v>
      </c>
      <c r="B110" s="20"/>
      <c r="C110" s="220"/>
      <c r="D110" s="15"/>
      <c r="E110" s="15"/>
      <c r="F110" s="15"/>
      <c r="G110" s="15"/>
      <c r="H110" s="253"/>
      <c r="I110" s="15"/>
      <c r="J110" s="15"/>
      <c r="K110" s="15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</row>
    <row r="111" spans="1:40">
      <c r="A111" s="75">
        <f t="shared" si="2"/>
        <v>84</v>
      </c>
      <c r="B111" s="20"/>
      <c r="C111" s="220" t="s">
        <v>180</v>
      </c>
      <c r="D111" s="15" t="s">
        <v>54</v>
      </c>
      <c r="E111" s="15"/>
      <c r="F111" s="15"/>
      <c r="G111" s="20"/>
      <c r="H111" s="255"/>
      <c r="I111" s="15"/>
      <c r="J111" s="20"/>
      <c r="K111" s="15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</row>
    <row r="112" spans="1:40">
      <c r="A112" s="75">
        <f t="shared" si="2"/>
        <v>85</v>
      </c>
      <c r="B112" s="20"/>
      <c r="C112" s="256" t="s">
        <v>224</v>
      </c>
      <c r="D112" s="15"/>
      <c r="E112" s="287">
        <f>IF(E230&gt;0,1-(((1-E231)*(1-E230))/(1-E231*E230*E232)),0)</f>
        <v>0.20999999999999996</v>
      </c>
      <c r="F112" s="15"/>
      <c r="G112" s="20"/>
      <c r="H112" s="255"/>
      <c r="I112" s="15"/>
      <c r="J112" s="20"/>
      <c r="K112" s="15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</row>
    <row r="113" spans="1:40">
      <c r="A113" s="75">
        <f t="shared" si="2"/>
        <v>86</v>
      </c>
      <c r="B113" s="20"/>
      <c r="C113" s="20" t="s">
        <v>225</v>
      </c>
      <c r="D113" s="15"/>
      <c r="E113" s="287">
        <f>IF(J199&gt;0,(E112/(1-E112))*(1-J196/J199),0)</f>
        <v>0.18685630889672661</v>
      </c>
      <c r="F113" s="15"/>
      <c r="G113" s="20"/>
      <c r="H113" s="255"/>
      <c r="I113" s="15"/>
      <c r="J113" s="20"/>
      <c r="K113" s="15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</row>
    <row r="114" spans="1:40">
      <c r="A114" s="75">
        <f t="shared" si="2"/>
        <v>87</v>
      </c>
      <c r="B114" s="20"/>
      <c r="C114" s="220" t="str">
        <f>"       where WCLTD=(line "&amp;A196&amp;") and R= (line "&amp;A199&amp;")"</f>
        <v xml:space="preserve">       where WCLTD=(line 156) and R= (line 159)</v>
      </c>
      <c r="D114" s="15"/>
      <c r="E114" s="15"/>
      <c r="F114" s="15"/>
      <c r="G114" s="20"/>
      <c r="H114" s="255"/>
      <c r="I114" s="15"/>
      <c r="J114" s="20"/>
      <c r="K114" s="15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</row>
    <row r="115" spans="1:40">
      <c r="A115" s="75">
        <f t="shared" si="2"/>
        <v>88</v>
      </c>
      <c r="B115" s="20"/>
      <c r="C115" s="220" t="s">
        <v>56</v>
      </c>
      <c r="D115" s="15"/>
      <c r="E115" s="15"/>
      <c r="F115" s="15"/>
      <c r="G115" s="20"/>
      <c r="H115" s="255"/>
      <c r="I115" s="15"/>
      <c r="J115" s="20"/>
      <c r="K115" s="15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</row>
    <row r="116" spans="1:40">
      <c r="A116" s="75">
        <f t="shared" si="2"/>
        <v>89</v>
      </c>
      <c r="B116" s="20"/>
      <c r="C116" s="256"/>
      <c r="D116" s="15"/>
      <c r="E116" s="257"/>
      <c r="F116" s="15"/>
      <c r="G116" s="20"/>
      <c r="H116" s="255"/>
      <c r="I116" s="15"/>
      <c r="J116" s="20"/>
      <c r="K116" s="15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</row>
    <row r="117" spans="1:40">
      <c r="A117" s="75">
        <f t="shared" si="2"/>
        <v>90</v>
      </c>
      <c r="B117" s="20"/>
      <c r="C117" s="288" t="s">
        <v>214</v>
      </c>
      <c r="D117" s="20" t="str">
        <f>"(line "&amp;A113&amp;" * line "&amp;A120&amp;")"</f>
        <v>(line 86 * line 93)</v>
      </c>
      <c r="E117" s="172"/>
      <c r="F117" s="15"/>
      <c r="G117" s="15" t="s">
        <v>133</v>
      </c>
      <c r="H117" s="253" t="s">
        <v>133</v>
      </c>
      <c r="I117" s="15"/>
      <c r="J117" s="15">
        <f>E113*J120</f>
        <v>2240227.4197155158</v>
      </c>
      <c r="K117" s="15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</row>
    <row r="118" spans="1:40">
      <c r="A118" s="75">
        <f t="shared" si="2"/>
        <v>91</v>
      </c>
      <c r="B118" s="20"/>
      <c r="C118" s="258"/>
      <c r="D118" s="259"/>
      <c r="E118" s="15"/>
      <c r="F118" s="15"/>
      <c r="G118" s="15"/>
      <c r="H118" s="253"/>
      <c r="I118" s="15"/>
      <c r="J118" s="15"/>
      <c r="K118" s="15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</row>
    <row r="119" spans="1:40">
      <c r="A119" s="75">
        <f t="shared" si="2"/>
        <v>92</v>
      </c>
      <c r="B119" s="20"/>
      <c r="C119" s="220" t="s">
        <v>181</v>
      </c>
      <c r="D119" s="240"/>
      <c r="E119" s="15"/>
      <c r="F119" s="15"/>
      <c r="K119" s="15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</row>
    <row r="120" spans="1:40" ht="17.25" customHeight="1">
      <c r="A120" s="75">
        <f t="shared" si="2"/>
        <v>93</v>
      </c>
      <c r="B120" s="20"/>
      <c r="C120" s="288" t="str">
        <f>"  [ Rate Base (line "&amp;A67&amp;") * R (line "&amp;A199&amp;")]"</f>
        <v xml:space="preserve">  [ Rate Base (line 53) * R (line 159)]</v>
      </c>
      <c r="D120" s="20"/>
      <c r="E120" s="15"/>
      <c r="F120" s="15"/>
      <c r="G120" s="15" t="s">
        <v>57</v>
      </c>
      <c r="H120" s="255"/>
      <c r="I120" s="15"/>
      <c r="J120" s="15">
        <f>+$J199*J67</f>
        <v>11989038.170253402</v>
      </c>
      <c r="K120" s="15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</row>
    <row r="121" spans="1:40">
      <c r="A121" s="75">
        <f t="shared" si="2"/>
        <v>94</v>
      </c>
      <c r="B121" s="20"/>
      <c r="C121" s="220"/>
      <c r="D121" s="20"/>
      <c r="E121" s="245"/>
      <c r="F121" s="15"/>
      <c r="G121" s="15"/>
      <c r="H121" s="255"/>
      <c r="I121" s="15"/>
      <c r="J121" s="245"/>
      <c r="K121" s="15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</row>
    <row r="122" spans="1:40" ht="15.75" thickBot="1">
      <c r="A122" s="75">
        <f t="shared" si="2"/>
        <v>95</v>
      </c>
      <c r="B122" s="20"/>
      <c r="C122" s="220" t="str">
        <f>"ESTIMATED REVENUE REQUIREMENT  (sum lines "&amp;A90&amp;", "&amp;A98&amp;", "&amp;A108&amp;", "&amp;A117&amp;", "&amp;A120&amp;")"</f>
        <v>ESTIMATED REVENUE REQUIREMENT  (sum lines 63, 71, 81, 90, 93)</v>
      </c>
      <c r="D122" s="15"/>
      <c r="E122" s="289">
        <f>E117+E108+E98+E90</f>
        <v>46413001.488972664</v>
      </c>
      <c r="F122" s="15"/>
      <c r="G122" s="15"/>
      <c r="H122" s="15"/>
      <c r="I122" s="15"/>
      <c r="J122" s="290">
        <f>J117+J108+J98+J90+J120</f>
        <v>27422030.010989904</v>
      </c>
      <c r="K122" s="162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</row>
    <row r="123" spans="1:40" ht="15.75" thickTop="1">
      <c r="A123" s="75"/>
      <c r="B123" s="20"/>
      <c r="C123" s="20"/>
      <c r="D123" s="20"/>
      <c r="E123" s="20"/>
      <c r="F123" s="20"/>
      <c r="G123" s="20"/>
      <c r="H123" s="20"/>
      <c r="I123" s="20"/>
      <c r="J123" s="20"/>
      <c r="K123" s="15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</row>
    <row r="124" spans="1:40">
      <c r="A124" s="75"/>
      <c r="B124" s="20"/>
      <c r="C124" s="20"/>
      <c r="D124" s="20"/>
      <c r="E124" s="20"/>
      <c r="F124" s="20"/>
      <c r="G124" s="20"/>
      <c r="H124" s="20"/>
      <c r="I124" s="223" t="s">
        <v>321</v>
      </c>
      <c r="J124" s="260">
        <f>J1</f>
        <v>43738</v>
      </c>
      <c r="K124" s="15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</row>
    <row r="125" spans="1:40">
      <c r="A125" s="75"/>
      <c r="B125" s="20"/>
      <c r="C125" s="20"/>
      <c r="D125" s="20"/>
      <c r="E125" s="20"/>
      <c r="F125" s="20"/>
      <c r="G125" s="20"/>
      <c r="I125" s="223" t="str">
        <f>$I$2</f>
        <v>Service Year</v>
      </c>
      <c r="J125" s="162">
        <f>$J$2</f>
        <v>2020</v>
      </c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</row>
    <row r="126" spans="1:40" ht="15.75">
      <c r="A126" s="335" t="s">
        <v>238</v>
      </c>
      <c r="B126" s="335"/>
      <c r="C126" s="335"/>
      <c r="D126" s="335"/>
      <c r="E126" s="335"/>
      <c r="F126" s="335"/>
      <c r="G126" s="335"/>
      <c r="H126" s="335"/>
      <c r="I126" s="335"/>
      <c r="J126" s="335"/>
      <c r="K126" s="335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</row>
    <row r="127" spans="1:40" ht="15.75">
      <c r="A127" s="336" t="s">
        <v>134</v>
      </c>
      <c r="B127" s="336"/>
      <c r="C127" s="336"/>
      <c r="D127" s="336"/>
      <c r="E127" s="336"/>
      <c r="F127" s="336"/>
      <c r="G127" s="336"/>
      <c r="H127" s="336"/>
      <c r="I127" s="336"/>
      <c r="J127" s="336"/>
      <c r="K127" s="336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</row>
    <row r="128" spans="1:40">
      <c r="A128" s="20"/>
      <c r="B128" s="20"/>
      <c r="C128" s="162"/>
      <c r="D128" s="162"/>
      <c r="F128" s="162"/>
      <c r="G128" s="162"/>
      <c r="H128" s="162"/>
      <c r="I128" s="162"/>
      <c r="J128" s="162"/>
      <c r="K128" s="162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</row>
    <row r="129" spans="1:40" ht="15.75">
      <c r="A129" s="337" t="s">
        <v>237</v>
      </c>
      <c r="B129" s="337"/>
      <c r="C129" s="337"/>
      <c r="D129" s="337"/>
      <c r="E129" s="337"/>
      <c r="F129" s="337"/>
      <c r="G129" s="337"/>
      <c r="H129" s="337"/>
      <c r="I129" s="337"/>
      <c r="J129" s="337"/>
      <c r="K129" s="337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</row>
    <row r="130" spans="1:40">
      <c r="A130" s="75"/>
      <c r="B130" s="20"/>
      <c r="C130" s="20"/>
      <c r="D130" s="220"/>
      <c r="E130" s="220"/>
      <c r="F130" s="220"/>
      <c r="G130" s="220"/>
      <c r="H130" s="220"/>
      <c r="I130" s="220"/>
      <c r="J130" s="220"/>
      <c r="K130" s="220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</row>
    <row r="131" spans="1:40" ht="15.75">
      <c r="A131" s="338" t="s">
        <v>3</v>
      </c>
      <c r="B131" s="338"/>
      <c r="C131" s="338"/>
      <c r="D131" s="338"/>
      <c r="E131" s="338"/>
      <c r="F131" s="338"/>
      <c r="G131" s="338"/>
      <c r="H131" s="338"/>
      <c r="I131" s="338"/>
      <c r="J131" s="338"/>
      <c r="K131" s="338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</row>
    <row r="132" spans="1:40" ht="15.75">
      <c r="A132" s="75"/>
      <c r="B132" s="20"/>
      <c r="C132" s="237"/>
      <c r="D132" s="162"/>
      <c r="E132" s="162"/>
      <c r="F132" s="162"/>
      <c r="G132" s="162"/>
      <c r="H132" s="162"/>
      <c r="I132" s="162"/>
      <c r="J132" s="162"/>
      <c r="K132" s="15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</row>
    <row r="133" spans="1:40" ht="15.75">
      <c r="A133" s="75" t="s">
        <v>135</v>
      </c>
      <c r="B133" s="20"/>
      <c r="C133" s="237"/>
      <c r="D133" s="162"/>
      <c r="E133" s="162"/>
      <c r="F133" s="162"/>
      <c r="G133" s="162"/>
      <c r="H133" s="162"/>
      <c r="I133" s="162"/>
      <c r="J133" s="162"/>
      <c r="K133" s="15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</row>
    <row r="134" spans="1:40" ht="15.75" thickBot="1">
      <c r="A134" s="236" t="s">
        <v>136</v>
      </c>
      <c r="B134" s="20"/>
      <c r="C134" s="221" t="s">
        <v>81</v>
      </c>
      <c r="D134" s="162"/>
      <c r="E134" s="162"/>
      <c r="F134" s="162"/>
      <c r="G134" s="162"/>
      <c r="H134" s="162"/>
      <c r="I134" s="20"/>
      <c r="J134" s="20"/>
      <c r="K134" s="15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</row>
    <row r="135" spans="1:40" ht="15.75" thickBot="1">
      <c r="A135" s="75"/>
      <c r="B135" s="20"/>
      <c r="C135" s="221"/>
      <c r="D135" s="162"/>
      <c r="E135" s="21" t="s">
        <v>0</v>
      </c>
      <c r="F135" s="162"/>
      <c r="G135" s="162"/>
      <c r="H135" s="162"/>
      <c r="I135" s="162"/>
      <c r="J135" s="162"/>
      <c r="K135" s="15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</row>
    <row r="136" spans="1:40" ht="16.5" customHeight="1">
      <c r="A136" s="75">
        <f>+A122+1</f>
        <v>96</v>
      </c>
      <c r="B136" s="20"/>
      <c r="C136" s="19" t="s">
        <v>71</v>
      </c>
      <c r="D136" s="162"/>
      <c r="E136" s="15" t="s">
        <v>373</v>
      </c>
      <c r="F136" s="15"/>
      <c r="G136" s="15"/>
      <c r="H136" s="15"/>
      <c r="I136" s="15"/>
      <c r="J136" s="15">
        <f>E16+E17+E18</f>
        <v>241274796.29416665</v>
      </c>
      <c r="K136" s="15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</row>
    <row r="137" spans="1:40">
      <c r="A137" s="75">
        <f>+A136+1</f>
        <v>97</v>
      </c>
      <c r="B137" s="20"/>
      <c r="C137" s="19" t="s">
        <v>52</v>
      </c>
      <c r="D137" s="20"/>
      <c r="E137" s="20" t="s">
        <v>120</v>
      </c>
      <c r="F137" s="20"/>
      <c r="G137" s="20"/>
      <c r="H137" s="20"/>
      <c r="I137" s="20"/>
      <c r="J137" s="322">
        <v>25389776.915639967</v>
      </c>
      <c r="K137" s="15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</row>
    <row r="138" spans="1:40" ht="15.75" thickBot="1">
      <c r="A138" s="75">
        <f t="shared" ref="A138:A199" si="3">+A137+1</f>
        <v>98</v>
      </c>
      <c r="B138" s="20"/>
      <c r="C138" s="291" t="s">
        <v>53</v>
      </c>
      <c r="D138" s="261"/>
      <c r="E138" s="21" t="s">
        <v>120</v>
      </c>
      <c r="F138" s="15"/>
      <c r="G138" s="15"/>
      <c r="H138" s="262"/>
      <c r="I138" s="15"/>
      <c r="J138" s="21">
        <v>0</v>
      </c>
      <c r="K138" s="15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</row>
    <row r="139" spans="1:40">
      <c r="A139" s="75">
        <f t="shared" si="3"/>
        <v>99</v>
      </c>
      <c r="B139" s="20"/>
      <c r="C139" s="19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162"/>
      <c r="E139" s="15"/>
      <c r="F139" s="15"/>
      <c r="G139" s="15"/>
      <c r="H139" s="262"/>
      <c r="I139" s="15"/>
      <c r="J139" s="15">
        <f>J136-J137-J138</f>
        <v>215885019.37852669</v>
      </c>
      <c r="K139" s="15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</row>
    <row r="140" spans="1:40">
      <c r="A140" s="75">
        <f t="shared" si="3"/>
        <v>100</v>
      </c>
      <c r="B140" s="20"/>
      <c r="C140" s="19" t="str">
        <f>"Plus Common Use AC Facilities (line "&amp;A150&amp;")"</f>
        <v>Plus Common Use AC Facilities (line 110)</v>
      </c>
      <c r="D140" s="162"/>
      <c r="E140" s="15"/>
      <c r="F140" s="15"/>
      <c r="G140" s="15"/>
      <c r="H140" s="262"/>
      <c r="I140" s="15"/>
      <c r="J140" s="15">
        <f>+J150</f>
        <v>9671321.1449999996</v>
      </c>
      <c r="K140" s="15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</row>
    <row r="141" spans="1:40">
      <c r="A141" s="75">
        <f t="shared" si="3"/>
        <v>101</v>
      </c>
      <c r="B141" s="20"/>
      <c r="C141" s="19" t="str">
        <f>"Total Gross Plant for the CUS System (line "&amp;A139&amp;" plus line "&amp;A140&amp;")"</f>
        <v>Total Gross Plant for the CUS System (line 99 plus line 100)</v>
      </c>
      <c r="D141" s="162"/>
      <c r="E141" s="15"/>
      <c r="F141" s="15"/>
      <c r="G141" s="15"/>
      <c r="H141" s="262"/>
      <c r="I141" s="15"/>
      <c r="J141" s="173">
        <f>SUM(J139:J140)</f>
        <v>225556340.5235267</v>
      </c>
      <c r="K141" s="15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</row>
    <row r="142" spans="1:40">
      <c r="A142" s="75">
        <f t="shared" si="3"/>
        <v>102</v>
      </c>
      <c r="B142" s="20"/>
      <c r="C142" s="19" t="str">
        <f>"Total CUS Plant (line "&amp;A136&amp;" plus line "&amp;A150&amp;")"</f>
        <v>Total CUS Plant (line 96 plus line 110)</v>
      </c>
      <c r="D142" s="162"/>
      <c r="E142" s="15"/>
      <c r="F142" s="15"/>
      <c r="G142" s="15"/>
      <c r="H142" s="262"/>
      <c r="I142" s="15"/>
      <c r="J142" s="245">
        <f>+J136+J150</f>
        <v>250946117.43916667</v>
      </c>
      <c r="K142" s="15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</row>
    <row r="143" spans="1:40">
      <c r="A143" s="75">
        <f t="shared" si="3"/>
        <v>103</v>
      </c>
      <c r="B143" s="20"/>
      <c r="C143" s="20"/>
      <c r="D143" s="162"/>
      <c r="E143" s="15"/>
      <c r="F143" s="15"/>
      <c r="G143" s="15"/>
      <c r="H143" s="262"/>
      <c r="I143" s="15"/>
      <c r="J143" s="20"/>
      <c r="K143" s="15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</row>
    <row r="144" spans="1:40">
      <c r="A144" s="75">
        <f t="shared" si="3"/>
        <v>104</v>
      </c>
      <c r="B144" s="20"/>
      <c r="C144" s="19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227"/>
      <c r="E144" s="263"/>
      <c r="F144" s="263"/>
      <c r="G144" s="263"/>
      <c r="H144" s="230"/>
      <c r="I144" s="15" t="s">
        <v>182</v>
      </c>
      <c r="J144" s="264">
        <f>ROUND(IF(J142&gt;0,J141/J142,0),6)</f>
        <v>0.89882399999999996</v>
      </c>
      <c r="K144" s="15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</row>
    <row r="145" spans="1:40">
      <c r="A145" s="75">
        <f t="shared" si="3"/>
        <v>105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15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</row>
    <row r="146" spans="1:40" ht="15.75" thickBot="1">
      <c r="A146" s="75">
        <f t="shared" si="3"/>
        <v>106</v>
      </c>
      <c r="B146" s="20"/>
      <c r="C146" s="221" t="s">
        <v>69</v>
      </c>
      <c r="D146" s="162"/>
      <c r="E146" s="21" t="s">
        <v>0</v>
      </c>
      <c r="F146" s="162"/>
      <c r="G146" s="162"/>
      <c r="H146" s="162"/>
      <c r="I146" s="162"/>
      <c r="J146" s="162"/>
      <c r="K146" s="20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</row>
    <row r="147" spans="1:40">
      <c r="A147" s="75">
        <f t="shared" si="3"/>
        <v>107</v>
      </c>
      <c r="B147" s="20"/>
      <c r="C147" s="19" t="s">
        <v>70</v>
      </c>
      <c r="D147" s="162"/>
      <c r="E147" s="15" t="str">
        <f>"Column (3) line "&amp;A19&amp;""</f>
        <v>Column (3) line 5</v>
      </c>
      <c r="F147" s="15"/>
      <c r="G147" s="15"/>
      <c r="H147" s="15"/>
      <c r="I147" s="15"/>
      <c r="J147" s="15">
        <f>+E19</f>
        <v>394674921</v>
      </c>
      <c r="K147" s="20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</row>
    <row r="148" spans="1:40">
      <c r="A148" s="75">
        <f t="shared" si="3"/>
        <v>108</v>
      </c>
      <c r="B148" s="20"/>
      <c r="C148" s="19" t="s">
        <v>73</v>
      </c>
      <c r="D148" s="20"/>
      <c r="E148" s="20" t="s">
        <v>120</v>
      </c>
      <c r="F148" s="20"/>
      <c r="G148" s="20"/>
      <c r="H148" s="20"/>
      <c r="I148" s="20"/>
      <c r="J148" s="311">
        <f>+J147-J150</f>
        <v>385003599.85500002</v>
      </c>
      <c r="K148" s="20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</row>
    <row r="149" spans="1:40" ht="15.75" thickBot="1">
      <c r="A149" s="75">
        <f t="shared" si="3"/>
        <v>109</v>
      </c>
      <c r="B149" s="20"/>
      <c r="C149" s="291" t="s">
        <v>74</v>
      </c>
      <c r="D149" s="261"/>
      <c r="E149" s="21" t="s">
        <v>120</v>
      </c>
      <c r="F149" s="15"/>
      <c r="G149" s="15"/>
      <c r="H149" s="262"/>
      <c r="I149" s="15"/>
      <c r="J149" s="21">
        <v>0</v>
      </c>
      <c r="K149" s="20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</row>
    <row r="150" spans="1:40">
      <c r="A150" s="75">
        <f t="shared" si="3"/>
        <v>110</v>
      </c>
      <c r="B150" s="20"/>
      <c r="C150" s="19" t="str">
        <f>"Common Use AC Facilities (line "&amp;A147&amp;" less lines "&amp;A148&amp;" &amp; "&amp;A149&amp;")"</f>
        <v>Common Use AC Facilities (line 107 less lines 108 &amp; 109)</v>
      </c>
      <c r="D150" s="162"/>
      <c r="E150" s="15"/>
      <c r="F150" s="15"/>
      <c r="G150" s="15"/>
      <c r="H150" s="262"/>
      <c r="I150" s="15"/>
      <c r="J150" s="306">
        <v>9671321.1449999996</v>
      </c>
      <c r="K150" s="20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</row>
    <row r="151" spans="1:40">
      <c r="A151" s="75">
        <f t="shared" si="3"/>
        <v>111</v>
      </c>
      <c r="B151" s="20"/>
      <c r="C151" s="20"/>
      <c r="D151" s="162"/>
      <c r="E151" s="15"/>
      <c r="F151" s="15"/>
      <c r="G151" s="15"/>
      <c r="H151" s="262"/>
      <c r="I151" s="15"/>
      <c r="J151" s="20"/>
      <c r="K151" s="20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</row>
    <row r="152" spans="1:40">
      <c r="A152" s="75">
        <f t="shared" si="3"/>
        <v>112</v>
      </c>
      <c r="B152" s="20"/>
      <c r="C152" s="19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227"/>
      <c r="E152" s="263"/>
      <c r="F152" s="263"/>
      <c r="G152" s="263"/>
      <c r="H152" s="230"/>
      <c r="I152" s="15" t="s">
        <v>72</v>
      </c>
      <c r="J152" s="264">
        <f>ROUND(IF(J147&gt;0,J150/J147,0),6)</f>
        <v>2.4504999999999999E-2</v>
      </c>
      <c r="K152" s="20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</row>
    <row r="153" spans="1:40">
      <c r="A153" s="75">
        <f t="shared" si="3"/>
        <v>113</v>
      </c>
      <c r="B153" s="20"/>
      <c r="C153" s="20"/>
      <c r="D153" s="162"/>
      <c r="E153" s="15"/>
      <c r="F153" s="15"/>
      <c r="G153" s="15"/>
      <c r="H153" s="262"/>
      <c r="I153" s="15"/>
      <c r="J153" s="20"/>
      <c r="K153" s="20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</row>
    <row r="154" spans="1:40" ht="15.75" thickBot="1">
      <c r="A154" s="75">
        <f t="shared" si="3"/>
        <v>114</v>
      </c>
      <c r="B154" s="20"/>
      <c r="C154" s="221" t="s">
        <v>160</v>
      </c>
      <c r="D154" s="162"/>
      <c r="E154" s="21" t="s">
        <v>0</v>
      </c>
      <c r="F154" s="15"/>
      <c r="G154" s="15"/>
      <c r="H154" s="262"/>
      <c r="I154" s="15"/>
      <c r="J154" s="15"/>
      <c r="K154" s="20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</row>
    <row r="155" spans="1:40">
      <c r="A155" s="75">
        <f t="shared" si="3"/>
        <v>115</v>
      </c>
      <c r="B155" s="20"/>
      <c r="C155" s="20" t="s">
        <v>44</v>
      </c>
      <c r="D155" s="162"/>
      <c r="E155" s="15" t="s">
        <v>374</v>
      </c>
      <c r="F155" s="15"/>
      <c r="G155" s="15"/>
      <c r="H155" s="262"/>
      <c r="I155" s="15"/>
      <c r="J155" s="15">
        <f>SUM(E28:E29)</f>
        <v>55548072.383327663</v>
      </c>
      <c r="K155" s="20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</row>
    <row r="156" spans="1:40">
      <c r="A156" s="75">
        <f t="shared" si="3"/>
        <v>116</v>
      </c>
      <c r="B156" s="20"/>
      <c r="C156" s="19" t="s">
        <v>312</v>
      </c>
      <c r="D156" s="162"/>
      <c r="E156" s="15" t="s">
        <v>120</v>
      </c>
      <c r="F156" s="15"/>
      <c r="G156" s="15"/>
      <c r="H156" s="262"/>
      <c r="I156" s="15"/>
      <c r="J156" s="322">
        <v>8980449.4378651381</v>
      </c>
      <c r="K156" s="20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</row>
    <row r="157" spans="1:40">
      <c r="A157" s="75">
        <f t="shared" si="3"/>
        <v>117</v>
      </c>
      <c r="B157" s="20"/>
      <c r="C157" s="292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265"/>
      <c r="E157" s="173"/>
      <c r="F157" s="15"/>
      <c r="G157" s="15"/>
      <c r="H157" s="262"/>
      <c r="I157" s="15"/>
      <c r="J157" s="173">
        <f>J155-J156</f>
        <v>46567622.945462525</v>
      </c>
      <c r="K157" s="20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</row>
    <row r="158" spans="1:40">
      <c r="A158" s="75">
        <f t="shared" si="3"/>
        <v>118</v>
      </c>
      <c r="B158" s="20"/>
      <c r="C158" s="19" t="str">
        <f>"Plus Common Use AC Facilities Accumulated Depreciation (line "&amp;A167&amp;")"</f>
        <v>Plus Common Use AC Facilities Accumulated Depreciation (line 127)</v>
      </c>
      <c r="D158" s="266"/>
      <c r="E158" s="245"/>
      <c r="F158" s="15"/>
      <c r="G158" s="15"/>
      <c r="H158" s="262"/>
      <c r="I158" s="15"/>
      <c r="J158" s="245">
        <f>+J167</f>
        <v>3662675.74</v>
      </c>
      <c r="K158" s="20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</row>
    <row r="159" spans="1:40">
      <c r="A159" s="75">
        <f t="shared" si="3"/>
        <v>119</v>
      </c>
      <c r="B159" s="20"/>
      <c r="C159" s="19" t="str">
        <f>"Total Accumulated Depreciation for the CUS System (line "&amp;A157&amp;" plus line "&amp;A158&amp;")"</f>
        <v>Total Accumulated Depreciation for the CUS System (line 117 plus line 118)</v>
      </c>
      <c r="D159" s="266"/>
      <c r="E159" s="245"/>
      <c r="F159" s="15"/>
      <c r="G159" s="15"/>
      <c r="H159" s="262"/>
      <c r="I159" s="15"/>
      <c r="J159" s="173">
        <f>SUM(J157:J158)</f>
        <v>50230298.685462527</v>
      </c>
      <c r="K159" s="20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</row>
    <row r="160" spans="1:40">
      <c r="A160" s="75">
        <f t="shared" si="3"/>
        <v>120</v>
      </c>
      <c r="B160" s="20"/>
      <c r="C160" s="19" t="str">
        <f>"Total CUS Accumulated Depreciation (line "&amp;A155&amp;" plus line "&amp;A158&amp;")"</f>
        <v>Total CUS Accumulated Depreciation (line 115 plus line 118)</v>
      </c>
      <c r="D160" s="266"/>
      <c r="E160" s="245"/>
      <c r="F160" s="15"/>
      <c r="G160" s="15"/>
      <c r="H160" s="262"/>
      <c r="I160" s="15"/>
      <c r="J160" s="245">
        <f>+J155+J158</f>
        <v>59210748.123327665</v>
      </c>
      <c r="K160" s="20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</row>
    <row r="161" spans="1:40">
      <c r="A161" s="75">
        <f t="shared" si="3"/>
        <v>121</v>
      </c>
      <c r="B161" s="20"/>
      <c r="C161" s="20"/>
      <c r="D161" s="162"/>
      <c r="E161" s="15"/>
      <c r="F161" s="15"/>
      <c r="G161" s="15"/>
      <c r="H161" s="262"/>
      <c r="I161" s="15"/>
      <c r="J161" s="15"/>
      <c r="K161" s="20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</row>
    <row r="162" spans="1:40">
      <c r="A162" s="75">
        <f t="shared" si="3"/>
        <v>122</v>
      </c>
      <c r="B162" s="20"/>
      <c r="C162" s="19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162"/>
      <c r="E162" s="15"/>
      <c r="F162" s="15"/>
      <c r="G162" s="15"/>
      <c r="H162" s="262"/>
      <c r="I162" s="15" t="s">
        <v>45</v>
      </c>
      <c r="J162" s="264">
        <f>ROUND(IF(J160&gt;0,J159/J160,0),6)</f>
        <v>0.84833099999999995</v>
      </c>
      <c r="K162" s="20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</row>
    <row r="163" spans="1:40">
      <c r="A163" s="75">
        <f t="shared" si="3"/>
        <v>123</v>
      </c>
      <c r="B163" s="20"/>
      <c r="C163" s="20"/>
      <c r="D163" s="162"/>
      <c r="E163" s="15"/>
      <c r="F163" s="15"/>
      <c r="G163" s="15"/>
      <c r="H163" s="262"/>
      <c r="I163" s="15"/>
      <c r="J163" s="15"/>
      <c r="K163" s="20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</row>
    <row r="164" spans="1:40" ht="15.75" thickBot="1">
      <c r="A164" s="75">
        <f t="shared" si="3"/>
        <v>124</v>
      </c>
      <c r="B164" s="20"/>
      <c r="C164" s="20"/>
      <c r="D164" s="162"/>
      <c r="E164" s="21" t="s">
        <v>0</v>
      </c>
      <c r="F164" s="15"/>
      <c r="G164" s="15"/>
      <c r="H164" s="262"/>
      <c r="I164" s="15"/>
      <c r="J164" s="15"/>
      <c r="K164" s="20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</row>
    <row r="165" spans="1:40">
      <c r="A165" s="75">
        <f t="shared" si="3"/>
        <v>125</v>
      </c>
      <c r="B165" s="20"/>
      <c r="C165" s="20" t="s">
        <v>47</v>
      </c>
      <c r="D165" s="162"/>
      <c r="E165" s="15" t="s">
        <v>87</v>
      </c>
      <c r="F165" s="15"/>
      <c r="G165" s="15"/>
      <c r="H165" s="262"/>
      <c r="I165" s="15"/>
      <c r="J165" s="15">
        <f>+E30</f>
        <v>141957768.58000001</v>
      </c>
      <c r="K165" s="20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</row>
    <row r="166" spans="1:40">
      <c r="A166" s="75">
        <f t="shared" si="3"/>
        <v>126</v>
      </c>
      <c r="B166" s="20"/>
      <c r="C166" s="20" t="s">
        <v>121</v>
      </c>
      <c r="D166" s="162"/>
      <c r="E166" s="15"/>
      <c r="F166" s="15"/>
      <c r="G166" s="15"/>
      <c r="H166" s="262"/>
      <c r="I166" s="15"/>
      <c r="J166" s="311">
        <f>+J165-J167</f>
        <v>138295092.84</v>
      </c>
      <c r="K166" s="20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</row>
    <row r="167" spans="1:40">
      <c r="A167" s="75">
        <f t="shared" si="3"/>
        <v>127</v>
      </c>
      <c r="B167" s="20"/>
      <c r="C167" s="293" t="str">
        <f>"Common Use AC Facilities (line "&amp;A165&amp;" less line "&amp;A166&amp;")"</f>
        <v>Common Use AC Facilities (line 125 less line 126)</v>
      </c>
      <c r="D167" s="265"/>
      <c r="E167" s="173"/>
      <c r="F167" s="15"/>
      <c r="G167" s="15"/>
      <c r="H167" s="262"/>
      <c r="I167" s="15"/>
      <c r="J167" s="327">
        <v>3662675.74</v>
      </c>
      <c r="K167" s="20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</row>
    <row r="168" spans="1:40">
      <c r="A168" s="75">
        <f t="shared" si="3"/>
        <v>128</v>
      </c>
      <c r="B168" s="20"/>
      <c r="C168" s="20"/>
      <c r="D168" s="162"/>
      <c r="E168" s="15"/>
      <c r="F168" s="15"/>
      <c r="G168" s="15"/>
      <c r="H168" s="262"/>
      <c r="I168" s="15"/>
      <c r="J168" s="15"/>
      <c r="K168" s="20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</row>
    <row r="169" spans="1:40">
      <c r="A169" s="75">
        <f t="shared" si="3"/>
        <v>129</v>
      </c>
      <c r="B169" s="20"/>
      <c r="C169" s="19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162"/>
      <c r="E169" s="15"/>
      <c r="F169" s="15"/>
      <c r="G169" s="15"/>
      <c r="H169" s="262"/>
      <c r="I169" s="15" t="s">
        <v>48</v>
      </c>
      <c r="J169" s="264">
        <f>ROUND(IF(J165&gt;0,J167/J165,0),6)</f>
        <v>2.5801000000000001E-2</v>
      </c>
      <c r="K169" s="20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</row>
    <row r="170" spans="1:40">
      <c r="A170" s="75">
        <f t="shared" si="3"/>
        <v>130</v>
      </c>
      <c r="B170" s="20"/>
      <c r="C170" s="20"/>
      <c r="D170" s="162"/>
      <c r="E170" s="15"/>
      <c r="F170" s="15"/>
      <c r="G170" s="15"/>
      <c r="H170" s="262"/>
      <c r="I170" s="15"/>
      <c r="J170" s="15"/>
      <c r="K170" s="20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</row>
    <row r="171" spans="1:40">
      <c r="A171" s="75">
        <f t="shared" si="3"/>
        <v>131</v>
      </c>
      <c r="B171" s="20"/>
      <c r="C171" s="220" t="s">
        <v>183</v>
      </c>
      <c r="D171" s="15"/>
      <c r="E171" s="15"/>
      <c r="F171" s="15"/>
      <c r="G171" s="15"/>
      <c r="H171" s="15"/>
      <c r="I171" s="15"/>
      <c r="J171" s="15"/>
      <c r="K171" s="15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</row>
    <row r="172" spans="1:40" ht="15.75" thickBot="1">
      <c r="A172" s="75">
        <f t="shared" si="3"/>
        <v>132</v>
      </c>
      <c r="B172" s="20"/>
      <c r="C172" s="220"/>
      <c r="D172" s="21" t="s">
        <v>184</v>
      </c>
      <c r="E172" s="267" t="s">
        <v>185</v>
      </c>
      <c r="F172" s="267" t="s">
        <v>138</v>
      </c>
      <c r="G172" s="15"/>
      <c r="H172" s="267" t="s">
        <v>186</v>
      </c>
      <c r="I172" s="245"/>
      <c r="J172" s="268"/>
      <c r="K172" s="15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</row>
    <row r="173" spans="1:40">
      <c r="A173" s="75">
        <f t="shared" si="3"/>
        <v>133</v>
      </c>
      <c r="B173" s="20"/>
      <c r="C173" s="220" t="s">
        <v>153</v>
      </c>
      <c r="D173" s="15" t="s">
        <v>91</v>
      </c>
      <c r="E173" s="308">
        <v>1892751</v>
      </c>
      <c r="F173" s="294">
        <f>+J144</f>
        <v>0.89882399999999996</v>
      </c>
      <c r="G173" s="20"/>
      <c r="H173" s="15">
        <f>E173*F173</f>
        <v>1701250.024824</v>
      </c>
      <c r="I173" s="245"/>
      <c r="J173" s="269"/>
      <c r="K173" s="15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</row>
    <row r="174" spans="1:40">
      <c r="A174" s="75">
        <f t="shared" si="3"/>
        <v>134</v>
      </c>
      <c r="B174" s="20"/>
      <c r="C174" s="220" t="s">
        <v>105</v>
      </c>
      <c r="D174" s="15" t="s">
        <v>106</v>
      </c>
      <c r="E174" s="308">
        <v>21478577</v>
      </c>
      <c r="F174" s="294">
        <v>0</v>
      </c>
      <c r="G174" s="294"/>
      <c r="H174" s="15">
        <f>E174*F174</f>
        <v>0</v>
      </c>
      <c r="I174" s="245"/>
      <c r="J174" s="268" t="s">
        <v>187</v>
      </c>
      <c r="K174" s="15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</row>
    <row r="175" spans="1:40" ht="15.75" thickBot="1">
      <c r="A175" s="75">
        <f t="shared" si="3"/>
        <v>135</v>
      </c>
      <c r="B175" s="20"/>
      <c r="C175" s="220" t="s">
        <v>107</v>
      </c>
      <c r="D175" s="15" t="s">
        <v>108</v>
      </c>
      <c r="E175" s="320">
        <v>-8654137</v>
      </c>
      <c r="F175" s="294">
        <v>0</v>
      </c>
      <c r="G175" s="294"/>
      <c r="H175" s="21">
        <f>E175*F175</f>
        <v>0</v>
      </c>
      <c r="I175" s="245"/>
      <c r="J175" s="236" t="s">
        <v>188</v>
      </c>
      <c r="K175" s="15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  <c r="AI175" s="224"/>
      <c r="AJ175" s="224"/>
      <c r="AK175" s="224"/>
      <c r="AL175" s="224"/>
      <c r="AM175" s="224"/>
      <c r="AN175" s="224"/>
    </row>
    <row r="176" spans="1:40">
      <c r="A176" s="75">
        <f t="shared" si="3"/>
        <v>136</v>
      </c>
      <c r="B176" s="20"/>
      <c r="C176" s="220" t="str">
        <f>"  Adjusted Total  (sum lines "&amp;A174&amp;"-"&amp;A175&amp;")"</f>
        <v xml:space="preserve">  Adjusted Total  (sum lines 134-135)</v>
      </c>
      <c r="D176" s="15"/>
      <c r="E176" s="15">
        <f>SUM(E174:E175)</f>
        <v>12824440</v>
      </c>
      <c r="F176" s="15"/>
      <c r="G176" s="20"/>
      <c r="H176" s="15">
        <f>SUM(H173:H175)</f>
        <v>1701250.024824</v>
      </c>
      <c r="I176" s="15" t="s">
        <v>58</v>
      </c>
      <c r="J176" s="238">
        <f>IF(E176&gt;0,+H176/E176,0)</f>
        <v>0.13265686648493033</v>
      </c>
      <c r="K176" s="262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  <c r="AB176" s="224"/>
      <c r="AC176" s="224"/>
      <c r="AD176" s="224"/>
      <c r="AE176" s="224"/>
      <c r="AF176" s="224"/>
      <c r="AG176" s="224"/>
      <c r="AH176" s="224"/>
      <c r="AI176" s="224"/>
      <c r="AJ176" s="224"/>
      <c r="AK176" s="224"/>
      <c r="AL176" s="224"/>
      <c r="AM176" s="224"/>
      <c r="AN176" s="224"/>
    </row>
    <row r="177" spans="1:40">
      <c r="A177" s="75">
        <f t="shared" si="3"/>
        <v>137</v>
      </c>
      <c r="B177" s="20"/>
      <c r="C177" s="220"/>
      <c r="D177" s="15"/>
      <c r="E177" s="15"/>
      <c r="F177" s="15"/>
      <c r="G177" s="15"/>
      <c r="H177" s="15"/>
      <c r="I177" s="15"/>
      <c r="J177" s="15"/>
      <c r="K177" s="15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  <c r="AA177" s="224"/>
      <c r="AB177" s="224"/>
      <c r="AC177" s="224"/>
      <c r="AD177" s="224"/>
      <c r="AE177" s="224"/>
      <c r="AF177" s="224"/>
      <c r="AG177" s="224"/>
      <c r="AH177" s="224"/>
      <c r="AI177" s="224"/>
      <c r="AJ177" s="224"/>
      <c r="AK177" s="224"/>
      <c r="AL177" s="224"/>
      <c r="AM177" s="224"/>
      <c r="AN177" s="224"/>
    </row>
    <row r="178" spans="1:40" ht="15.75" thickBot="1">
      <c r="A178" s="75">
        <f t="shared" si="3"/>
        <v>138</v>
      </c>
      <c r="B178" s="20"/>
      <c r="C178" s="220" t="s">
        <v>92</v>
      </c>
      <c r="D178" s="15"/>
      <c r="E178" s="267" t="s">
        <v>185</v>
      </c>
      <c r="F178" s="267" t="s">
        <v>192</v>
      </c>
      <c r="G178" s="242" t="s">
        <v>138</v>
      </c>
      <c r="H178" s="270" t="s">
        <v>95</v>
      </c>
      <c r="I178" s="255"/>
      <c r="J178" s="240"/>
      <c r="K178" s="20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4"/>
      <c r="AF178" s="224"/>
      <c r="AG178" s="224"/>
      <c r="AH178" s="224"/>
      <c r="AI178" s="224"/>
      <c r="AJ178" s="224"/>
      <c r="AK178" s="224"/>
      <c r="AL178" s="224"/>
      <c r="AM178" s="224"/>
      <c r="AN178" s="224"/>
    </row>
    <row r="179" spans="1:40">
      <c r="A179" s="75">
        <f t="shared" si="3"/>
        <v>139</v>
      </c>
      <c r="B179" s="20"/>
      <c r="C179" s="220" t="s">
        <v>93</v>
      </c>
      <c r="D179" s="15" t="str">
        <f>"lines "&amp;A39&amp;", "&amp;A40&amp;" &amp; "&amp;A41&amp;""</f>
        <v>lines 25, 26 &amp; 27</v>
      </c>
      <c r="E179" s="15">
        <f>E39+E40+E41</f>
        <v>185726723.91083899</v>
      </c>
      <c r="F179" s="295">
        <f>IF(E181&gt;0,+E179/E181,0)</f>
        <v>0.42360432871160497</v>
      </c>
      <c r="G179" s="296">
        <f>+J144</f>
        <v>0.89882399999999996</v>
      </c>
      <c r="H179" s="297">
        <f>IF(F179&gt;0,+G179*F179,0)</f>
        <v>0.38074573714987958</v>
      </c>
      <c r="I179" s="298"/>
      <c r="J179" s="75"/>
      <c r="K179" s="15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  <c r="AF179" s="224"/>
      <c r="AG179" s="224"/>
      <c r="AH179" s="224"/>
      <c r="AI179" s="224"/>
      <c r="AJ179" s="224"/>
      <c r="AK179" s="224"/>
      <c r="AL179" s="224"/>
      <c r="AM179" s="224"/>
      <c r="AN179" s="224"/>
    </row>
    <row r="180" spans="1:40">
      <c r="A180" s="75">
        <f t="shared" si="3"/>
        <v>140</v>
      </c>
      <c r="B180" s="20"/>
      <c r="C180" s="220" t="s">
        <v>94</v>
      </c>
      <c r="D180" s="15" t="str">
        <f>"line "&amp;A42&amp;""</f>
        <v>line 28</v>
      </c>
      <c r="E180" s="15">
        <f>E42</f>
        <v>252717152.41999999</v>
      </c>
      <c r="F180" s="295">
        <f>IF(E181&gt;0,+E180/E181,0)</f>
        <v>0.57639567128839508</v>
      </c>
      <c r="G180" s="20"/>
      <c r="H180" s="253"/>
      <c r="I180" s="262"/>
      <c r="J180" s="253"/>
      <c r="K180" s="255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</row>
    <row r="181" spans="1:40">
      <c r="A181" s="75">
        <f t="shared" si="3"/>
        <v>141</v>
      </c>
      <c r="B181" s="20"/>
      <c r="C181" s="220" t="str">
        <f>"  Total  (sum lines "&amp;A179&amp;" - "&amp;A180&amp;")"</f>
        <v xml:space="preserve">  Total  (sum lines 139 - 140)</v>
      </c>
      <c r="D181" s="15"/>
      <c r="E181" s="173">
        <f>SUM(E179:E180)</f>
        <v>438443876.33083898</v>
      </c>
      <c r="F181" s="299">
        <f>SUM(F179:F180)</f>
        <v>1</v>
      </c>
      <c r="G181" s="15"/>
      <c r="H181" s="15"/>
      <c r="I181" s="15" t="s">
        <v>96</v>
      </c>
      <c r="J181" s="271">
        <f>+H179</f>
        <v>0.38074573714987958</v>
      </c>
      <c r="K181" s="15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24"/>
      <c r="AK181" s="224"/>
      <c r="AL181" s="224"/>
      <c r="AM181" s="224"/>
      <c r="AN181" s="224"/>
    </row>
    <row r="182" spans="1:40">
      <c r="A182" s="75">
        <f t="shared" si="3"/>
        <v>142</v>
      </c>
      <c r="B182" s="20"/>
      <c r="C182" s="220"/>
      <c r="D182" s="15"/>
      <c r="E182" s="20"/>
      <c r="F182" s="15"/>
      <c r="G182" s="15"/>
      <c r="H182" s="15"/>
      <c r="I182" s="15"/>
      <c r="J182" s="271"/>
      <c r="K182" s="15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</row>
    <row r="183" spans="1:40" s="274" customFormat="1" ht="15.75" thickBot="1">
      <c r="A183" s="75">
        <f t="shared" si="3"/>
        <v>143</v>
      </c>
      <c r="B183" s="272"/>
      <c r="C183" s="273" t="s">
        <v>190</v>
      </c>
      <c r="D183" s="242" t="s">
        <v>184</v>
      </c>
      <c r="E183" s="15"/>
      <c r="F183" s="15"/>
      <c r="G183" s="15"/>
      <c r="H183" s="15"/>
      <c r="I183" s="15"/>
      <c r="J183" s="267" t="s">
        <v>185</v>
      </c>
      <c r="K183" s="15"/>
    </row>
    <row r="184" spans="1:40">
      <c r="A184" s="75">
        <f t="shared" si="3"/>
        <v>144</v>
      </c>
      <c r="B184" s="272"/>
      <c r="C184" s="162" t="s">
        <v>242</v>
      </c>
      <c r="D184" s="15" t="s">
        <v>328</v>
      </c>
      <c r="E184" s="15"/>
      <c r="F184" s="15"/>
      <c r="G184" s="15"/>
      <c r="H184" s="15"/>
      <c r="I184" s="15"/>
      <c r="J184" s="312">
        <f>20258411+204228+275337</f>
        <v>20737976</v>
      </c>
      <c r="K184" s="15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  <c r="AF184" s="224"/>
      <c r="AG184" s="224"/>
      <c r="AH184" s="224"/>
      <c r="AI184" s="224"/>
      <c r="AJ184" s="224"/>
      <c r="AK184" s="224"/>
      <c r="AL184" s="224"/>
      <c r="AM184" s="224"/>
      <c r="AN184" s="224"/>
    </row>
    <row r="185" spans="1:40">
      <c r="A185" s="75">
        <f t="shared" si="3"/>
        <v>145</v>
      </c>
      <c r="B185" s="274"/>
      <c r="C185" s="220"/>
      <c r="D185" s="15"/>
      <c r="E185" s="15"/>
      <c r="F185" s="15"/>
      <c r="G185" s="15"/>
      <c r="H185" s="15"/>
      <c r="I185" s="15"/>
      <c r="J185" s="15"/>
      <c r="K185" s="15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  <c r="AB185" s="224"/>
      <c r="AC185" s="224"/>
      <c r="AD185" s="224"/>
      <c r="AE185" s="224"/>
      <c r="AF185" s="224"/>
      <c r="AG185" s="224"/>
      <c r="AH185" s="224"/>
      <c r="AI185" s="224"/>
      <c r="AJ185" s="224"/>
      <c r="AK185" s="224"/>
      <c r="AL185" s="224"/>
      <c r="AM185" s="224"/>
      <c r="AN185" s="224"/>
    </row>
    <row r="186" spans="1:40">
      <c r="A186" s="75">
        <f t="shared" si="3"/>
        <v>146</v>
      </c>
      <c r="B186" s="272"/>
      <c r="C186" s="220" t="s">
        <v>243</v>
      </c>
      <c r="D186" s="15" t="s">
        <v>244</v>
      </c>
      <c r="E186" s="15"/>
      <c r="F186" s="15"/>
      <c r="G186" s="15"/>
      <c r="H186" s="15"/>
      <c r="I186" s="15"/>
      <c r="J186" s="308">
        <v>0</v>
      </c>
      <c r="K186" s="15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  <c r="AB186" s="224"/>
      <c r="AC186" s="224"/>
      <c r="AD186" s="224"/>
      <c r="AE186" s="224"/>
      <c r="AF186" s="224"/>
      <c r="AG186" s="224"/>
      <c r="AH186" s="224"/>
      <c r="AI186" s="224"/>
      <c r="AJ186" s="224"/>
      <c r="AK186" s="224"/>
      <c r="AL186" s="224"/>
      <c r="AM186" s="224"/>
      <c r="AN186" s="224"/>
    </row>
    <row r="187" spans="1:40">
      <c r="A187" s="75">
        <f t="shared" si="3"/>
        <v>147</v>
      </c>
      <c r="B187" s="272"/>
      <c r="C187" s="220"/>
      <c r="D187" s="15"/>
      <c r="E187" s="15"/>
      <c r="F187" s="15"/>
      <c r="G187" s="15"/>
      <c r="H187" s="15"/>
      <c r="I187" s="15"/>
      <c r="J187" s="15"/>
      <c r="K187" s="15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224"/>
      <c r="AE187" s="224"/>
      <c r="AF187" s="224"/>
      <c r="AG187" s="224"/>
      <c r="AH187" s="224"/>
      <c r="AI187" s="224"/>
      <c r="AJ187" s="224"/>
      <c r="AK187" s="224"/>
      <c r="AL187" s="224"/>
      <c r="AM187" s="224"/>
      <c r="AN187" s="224"/>
    </row>
    <row r="188" spans="1:40">
      <c r="A188" s="75">
        <f t="shared" si="3"/>
        <v>148</v>
      </c>
      <c r="B188" s="272"/>
      <c r="C188" s="273" t="s">
        <v>245</v>
      </c>
      <c r="D188" s="242" t="s">
        <v>184</v>
      </c>
      <c r="E188" s="15"/>
      <c r="F188" s="15"/>
      <c r="G188" s="15"/>
      <c r="H188" s="15"/>
      <c r="I188" s="15"/>
      <c r="J188" s="15"/>
      <c r="K188" s="15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224"/>
      <c r="AE188" s="224"/>
      <c r="AF188" s="224"/>
      <c r="AG188" s="224"/>
      <c r="AH188" s="224"/>
      <c r="AI188" s="224"/>
      <c r="AJ188" s="224"/>
      <c r="AK188" s="224"/>
      <c r="AL188" s="224"/>
      <c r="AM188" s="224"/>
      <c r="AN188" s="224"/>
    </row>
    <row r="189" spans="1:40">
      <c r="A189" s="75">
        <f t="shared" si="3"/>
        <v>149</v>
      </c>
      <c r="B189" s="272"/>
      <c r="C189" s="220" t="s">
        <v>13</v>
      </c>
      <c r="D189" s="15" t="s">
        <v>246</v>
      </c>
      <c r="E189" s="162"/>
      <c r="F189" s="15"/>
      <c r="G189" s="15"/>
      <c r="H189" s="15"/>
      <c r="I189" s="15"/>
      <c r="J189" s="308">
        <v>404245264</v>
      </c>
      <c r="K189" s="15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224"/>
      <c r="AE189" s="224"/>
      <c r="AF189" s="224"/>
      <c r="AG189" s="224"/>
      <c r="AH189" s="224"/>
      <c r="AI189" s="224"/>
      <c r="AJ189" s="224"/>
      <c r="AK189" s="224"/>
      <c r="AL189" s="224"/>
      <c r="AM189" s="224"/>
      <c r="AN189" s="224"/>
    </row>
    <row r="190" spans="1:40">
      <c r="A190" s="75">
        <f t="shared" si="3"/>
        <v>150</v>
      </c>
      <c r="B190" s="272"/>
      <c r="C190" s="220" t="s">
        <v>247</v>
      </c>
      <c r="D190" s="15" t="s">
        <v>248</v>
      </c>
      <c r="E190" s="15"/>
      <c r="F190" s="15"/>
      <c r="G190" s="15"/>
      <c r="H190" s="15"/>
      <c r="I190" s="15"/>
      <c r="J190" s="308">
        <v>0</v>
      </c>
      <c r="K190" s="15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  <c r="AD190" s="224"/>
      <c r="AE190" s="224"/>
      <c r="AF190" s="224"/>
      <c r="AG190" s="224"/>
      <c r="AH190" s="224"/>
      <c r="AI190" s="224"/>
      <c r="AJ190" s="224"/>
      <c r="AK190" s="224"/>
      <c r="AL190" s="224"/>
      <c r="AM190" s="224"/>
      <c r="AN190" s="224"/>
    </row>
    <row r="191" spans="1:40">
      <c r="A191" s="75">
        <f t="shared" si="3"/>
        <v>151</v>
      </c>
      <c r="B191" s="272"/>
      <c r="C191" s="220" t="s">
        <v>249</v>
      </c>
      <c r="D191" s="15" t="s">
        <v>250</v>
      </c>
      <c r="E191" s="15"/>
      <c r="F191" s="15"/>
      <c r="G191" s="15"/>
      <c r="H191" s="15"/>
      <c r="I191" s="15"/>
      <c r="J191" s="312">
        <v>0</v>
      </c>
      <c r="K191" s="15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  <c r="AA191" s="224"/>
      <c r="AB191" s="224"/>
      <c r="AC191" s="224"/>
      <c r="AD191" s="224"/>
      <c r="AE191" s="224"/>
      <c r="AF191" s="224"/>
      <c r="AG191" s="224"/>
      <c r="AH191" s="224"/>
      <c r="AI191" s="224"/>
      <c r="AJ191" s="224"/>
      <c r="AK191" s="224"/>
      <c r="AL191" s="224"/>
      <c r="AM191" s="224"/>
      <c r="AN191" s="224"/>
    </row>
    <row r="192" spans="1:40" ht="15.75" thickBot="1">
      <c r="A192" s="75">
        <f t="shared" si="3"/>
        <v>152</v>
      </c>
      <c r="B192" s="272"/>
      <c r="C192" s="220" t="s">
        <v>251</v>
      </c>
      <c r="D192" s="15" t="s">
        <v>252</v>
      </c>
      <c r="E192" s="15"/>
      <c r="F192" s="15"/>
      <c r="G192" s="15"/>
      <c r="H192" s="15"/>
      <c r="I192" s="15"/>
      <c r="J192" s="309">
        <v>891260</v>
      </c>
      <c r="K192" s="15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  <c r="AB192" s="224"/>
      <c r="AC192" s="224"/>
      <c r="AD192" s="224"/>
      <c r="AE192" s="224"/>
      <c r="AF192" s="224"/>
      <c r="AG192" s="224"/>
      <c r="AH192" s="224"/>
      <c r="AI192" s="224"/>
      <c r="AJ192" s="224"/>
      <c r="AK192" s="224"/>
      <c r="AL192" s="224"/>
      <c r="AM192" s="224"/>
      <c r="AN192" s="224"/>
    </row>
    <row r="193" spans="1:40">
      <c r="A193" s="75">
        <f t="shared" si="3"/>
        <v>153</v>
      </c>
      <c r="B193" s="272"/>
      <c r="C193" s="300" t="s">
        <v>253</v>
      </c>
      <c r="D193" s="15"/>
      <c r="E193" s="162" t="str">
        <f>"(sum lines "&amp;A189&amp;"-"&amp;A192&amp;")"</f>
        <v>(sum lines 149-152)</v>
      </c>
      <c r="F193" s="162"/>
      <c r="G193" s="162"/>
      <c r="H193" s="162"/>
      <c r="I193" s="162"/>
      <c r="J193" s="85">
        <f>SUM(J189:J192)</f>
        <v>405136524</v>
      </c>
      <c r="K193" s="15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  <c r="AA193" s="224"/>
      <c r="AB193" s="224"/>
      <c r="AC193" s="224"/>
      <c r="AD193" s="224"/>
      <c r="AE193" s="224"/>
      <c r="AF193" s="224"/>
      <c r="AG193" s="224"/>
      <c r="AH193" s="224"/>
      <c r="AI193" s="224"/>
      <c r="AJ193" s="224"/>
      <c r="AK193" s="224"/>
      <c r="AL193" s="224"/>
      <c r="AM193" s="224"/>
      <c r="AN193" s="224"/>
    </row>
    <row r="194" spans="1:40">
      <c r="A194" s="75">
        <f t="shared" si="3"/>
        <v>154</v>
      </c>
      <c r="B194" s="20"/>
      <c r="C194" s="220"/>
      <c r="D194" s="15"/>
      <c r="E194" s="15"/>
      <c r="F194" s="15"/>
      <c r="G194" s="15"/>
      <c r="H194" s="262"/>
      <c r="I194" s="15"/>
      <c r="J194" s="15"/>
      <c r="K194" s="15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  <c r="AA194" s="224"/>
      <c r="AB194" s="224"/>
      <c r="AC194" s="224"/>
      <c r="AD194" s="224"/>
      <c r="AE194" s="224"/>
      <c r="AF194" s="224"/>
      <c r="AG194" s="224"/>
      <c r="AH194" s="224"/>
      <c r="AI194" s="224"/>
      <c r="AJ194" s="224"/>
      <c r="AK194" s="224"/>
      <c r="AL194" s="224"/>
      <c r="AM194" s="224"/>
      <c r="AN194" s="224"/>
    </row>
    <row r="195" spans="1:40" ht="15.75" thickBot="1">
      <c r="A195" s="75">
        <f t="shared" si="3"/>
        <v>155</v>
      </c>
      <c r="B195" s="20"/>
      <c r="C195" s="220"/>
      <c r="D195" s="21" t="s">
        <v>184</v>
      </c>
      <c r="E195" s="275" t="s">
        <v>185</v>
      </c>
      <c r="F195" s="236" t="s">
        <v>192</v>
      </c>
      <c r="G195" s="15"/>
      <c r="H195" s="236" t="s">
        <v>191</v>
      </c>
      <c r="I195" s="15"/>
      <c r="J195" s="236" t="s">
        <v>193</v>
      </c>
      <c r="K195" s="15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  <c r="AA195" s="224"/>
      <c r="AB195" s="224"/>
      <c r="AC195" s="224"/>
      <c r="AD195" s="224"/>
      <c r="AE195" s="224"/>
      <c r="AF195" s="224"/>
      <c r="AG195" s="224"/>
      <c r="AH195" s="224"/>
      <c r="AI195" s="224"/>
      <c r="AJ195" s="224"/>
      <c r="AK195" s="224"/>
      <c r="AL195" s="224"/>
      <c r="AM195" s="224"/>
      <c r="AN195" s="224"/>
    </row>
    <row r="196" spans="1:40">
      <c r="A196" s="75">
        <f t="shared" si="3"/>
        <v>156</v>
      </c>
      <c r="B196" s="20"/>
      <c r="C196" s="221" t="s">
        <v>240</v>
      </c>
      <c r="D196" s="301" t="s">
        <v>301</v>
      </c>
      <c r="E196" s="306">
        <v>342768750</v>
      </c>
      <c r="F196" s="302">
        <v>0.43</v>
      </c>
      <c r="G196" s="303"/>
      <c r="H196" s="313">
        <f>IF(E196&gt;0,+J184/E196,0)</f>
        <v>6.0501361340553943E-2</v>
      </c>
      <c r="I196" s="20"/>
      <c r="J196" s="295">
        <f>H196*F196</f>
        <v>2.6015585376438194E-2</v>
      </c>
      <c r="K196" s="276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  <c r="AA196" s="224"/>
      <c r="AB196" s="224"/>
      <c r="AC196" s="224"/>
      <c r="AD196" s="224"/>
      <c r="AE196" s="224"/>
      <c r="AF196" s="224"/>
      <c r="AG196" s="224"/>
      <c r="AH196" s="224"/>
      <c r="AI196" s="224"/>
      <c r="AJ196" s="224"/>
      <c r="AK196" s="224"/>
      <c r="AL196" s="224"/>
      <c r="AM196" s="224"/>
      <c r="AN196" s="224"/>
    </row>
    <row r="197" spans="1:40">
      <c r="A197" s="75">
        <f t="shared" si="3"/>
        <v>157</v>
      </c>
      <c r="B197" s="20"/>
      <c r="C197" s="221" t="s">
        <v>241</v>
      </c>
      <c r="D197" s="235" t="s">
        <v>248</v>
      </c>
      <c r="E197" s="308">
        <v>0</v>
      </c>
      <c r="F197" s="302">
        <f>IF($E$199&gt;0,E197/$E$199,0)</f>
        <v>0</v>
      </c>
      <c r="G197" s="303"/>
      <c r="H197" s="295">
        <f>IF(E197&gt;0,J186/E197,0)</f>
        <v>0</v>
      </c>
      <c r="I197" s="20"/>
      <c r="J197" s="295">
        <f>H197*F197</f>
        <v>0</v>
      </c>
      <c r="K197" s="15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  <c r="AA197" s="224"/>
      <c r="AB197" s="224"/>
      <c r="AC197" s="224"/>
      <c r="AD197" s="224"/>
      <c r="AE197" s="224"/>
      <c r="AF197" s="224"/>
      <c r="AG197" s="224"/>
      <c r="AH197" s="224"/>
      <c r="AI197" s="224"/>
      <c r="AJ197" s="224"/>
      <c r="AK197" s="224"/>
      <c r="AL197" s="224"/>
      <c r="AM197" s="224"/>
      <c r="AN197" s="224"/>
    </row>
    <row r="198" spans="1:40" ht="15.75" thickBot="1">
      <c r="A198" s="75">
        <f t="shared" si="3"/>
        <v>158</v>
      </c>
      <c r="B198" s="20"/>
      <c r="C198" s="300" t="s">
        <v>254</v>
      </c>
      <c r="D198" s="235" t="str">
        <f>"(see above line "&amp;A193&amp;")"</f>
        <v>(see above line 153)</v>
      </c>
      <c r="E198" s="21">
        <f>+J193</f>
        <v>405136524</v>
      </c>
      <c r="F198" s="302">
        <v>0.56999999999999995</v>
      </c>
      <c r="G198" s="20" t="s">
        <v>122</v>
      </c>
      <c r="H198" s="295">
        <v>0.108</v>
      </c>
      <c r="I198" s="20" t="s">
        <v>122</v>
      </c>
      <c r="J198" s="304">
        <f>H198*F198</f>
        <v>6.1559999999999997E-2</v>
      </c>
      <c r="K198" s="15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  <c r="AA198" s="224"/>
      <c r="AB198" s="224"/>
      <c r="AC198" s="224"/>
      <c r="AD198" s="224"/>
      <c r="AE198" s="224"/>
      <c r="AF198" s="224"/>
      <c r="AG198" s="224"/>
      <c r="AH198" s="224"/>
      <c r="AI198" s="224"/>
      <c r="AJ198" s="224"/>
      <c r="AK198" s="224"/>
      <c r="AL198" s="224"/>
      <c r="AM198" s="224"/>
      <c r="AN198" s="224"/>
    </row>
    <row r="199" spans="1:40">
      <c r="A199" s="75">
        <f t="shared" si="3"/>
        <v>159</v>
      </c>
      <c r="B199" s="20"/>
      <c r="C199" s="220" t="str">
        <f>"Total  (sum lines "&amp;A196&amp;"-"&amp;A198&amp;")"</f>
        <v>Total  (sum lines 156-158)</v>
      </c>
      <c r="D199" s="20"/>
      <c r="E199" s="15">
        <f>E198+E197+E196</f>
        <v>747905274</v>
      </c>
      <c r="F199" s="15" t="s">
        <v>133</v>
      </c>
      <c r="G199" s="15"/>
      <c r="H199" s="15"/>
      <c r="I199" s="15" t="s">
        <v>270</v>
      </c>
      <c r="J199" s="295">
        <f>SUM(J196:J198)</f>
        <v>8.7575585376438198E-2</v>
      </c>
      <c r="K199" s="276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  <c r="AA199" s="224"/>
      <c r="AB199" s="224"/>
      <c r="AC199" s="224"/>
      <c r="AD199" s="224"/>
      <c r="AE199" s="224"/>
      <c r="AF199" s="224"/>
      <c r="AG199" s="224"/>
      <c r="AH199" s="224"/>
      <c r="AI199" s="224"/>
      <c r="AJ199" s="224"/>
      <c r="AK199" s="224"/>
      <c r="AL199" s="224"/>
      <c r="AM199" s="224"/>
      <c r="AN199" s="224"/>
    </row>
    <row r="200" spans="1:40">
      <c r="A200" s="75"/>
      <c r="B200" s="20"/>
      <c r="C200" s="220"/>
      <c r="D200" s="20"/>
      <c r="E200" s="15"/>
      <c r="F200" s="15"/>
      <c r="G200" s="15"/>
      <c r="H200" s="15"/>
      <c r="I200" s="172" t="s">
        <v>321</v>
      </c>
      <c r="J200" s="305">
        <f>J1</f>
        <v>43738</v>
      </c>
      <c r="K200" s="276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  <c r="AA200" s="224"/>
      <c r="AB200" s="224"/>
      <c r="AC200" s="224"/>
      <c r="AD200" s="224"/>
      <c r="AE200" s="224"/>
      <c r="AF200" s="224"/>
      <c r="AG200" s="224"/>
      <c r="AH200" s="224"/>
      <c r="AI200" s="224"/>
      <c r="AJ200" s="224"/>
      <c r="AK200" s="224"/>
      <c r="AL200" s="224"/>
      <c r="AM200" s="224"/>
      <c r="AN200" s="224"/>
    </row>
    <row r="201" spans="1:40">
      <c r="A201" s="20"/>
      <c r="B201" s="20"/>
      <c r="C201" s="20"/>
      <c r="D201" s="20"/>
      <c r="E201" s="20"/>
      <c r="F201" s="15"/>
      <c r="G201" s="15"/>
      <c r="I201" s="223" t="str">
        <f>$I$2</f>
        <v>Service Year</v>
      </c>
      <c r="J201" s="162">
        <f>$J$2</f>
        <v>2020</v>
      </c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24"/>
      <c r="Z201" s="224"/>
      <c r="AA201" s="224"/>
      <c r="AB201" s="224"/>
      <c r="AC201" s="224"/>
      <c r="AD201" s="224"/>
      <c r="AE201" s="224"/>
      <c r="AF201" s="224"/>
      <c r="AG201" s="224"/>
      <c r="AH201" s="224"/>
      <c r="AI201" s="224"/>
      <c r="AJ201" s="224"/>
      <c r="AK201" s="224"/>
      <c r="AL201" s="224"/>
      <c r="AM201" s="224"/>
      <c r="AN201" s="224"/>
    </row>
    <row r="202" spans="1:40">
      <c r="A202" s="75"/>
      <c r="B202" s="20"/>
      <c r="C202" s="220"/>
      <c r="D202" s="162"/>
      <c r="E202" s="15"/>
      <c r="F202" s="15"/>
      <c r="G202" s="15"/>
      <c r="H202" s="15"/>
      <c r="I202" s="162"/>
      <c r="J202" s="15"/>
      <c r="K202" s="162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  <c r="AA202" s="224"/>
      <c r="AB202" s="224"/>
      <c r="AC202" s="224"/>
      <c r="AD202" s="224"/>
      <c r="AE202" s="224"/>
      <c r="AF202" s="224"/>
      <c r="AG202" s="224"/>
      <c r="AH202" s="224"/>
      <c r="AI202" s="224"/>
      <c r="AJ202" s="224"/>
      <c r="AK202" s="224"/>
      <c r="AL202" s="224"/>
      <c r="AM202" s="224"/>
      <c r="AN202" s="224"/>
    </row>
    <row r="203" spans="1:40" ht="15.75">
      <c r="A203" s="335" t="s">
        <v>238</v>
      </c>
      <c r="B203" s="335"/>
      <c r="C203" s="335"/>
      <c r="D203" s="335"/>
      <c r="E203" s="335"/>
      <c r="F203" s="335"/>
      <c r="G203" s="335"/>
      <c r="H203" s="335"/>
      <c r="I203" s="335"/>
      <c r="J203" s="335"/>
      <c r="K203" s="335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4"/>
      <c r="W203" s="224"/>
      <c r="X203" s="224"/>
      <c r="Y203" s="224"/>
      <c r="Z203" s="224"/>
      <c r="AA203" s="224"/>
      <c r="AB203" s="224"/>
      <c r="AC203" s="224"/>
      <c r="AD203" s="224"/>
      <c r="AE203" s="224"/>
      <c r="AF203" s="224"/>
      <c r="AG203" s="224"/>
      <c r="AH203" s="224"/>
      <c r="AI203" s="224"/>
      <c r="AJ203" s="224"/>
      <c r="AK203" s="224"/>
      <c r="AL203" s="224"/>
      <c r="AM203" s="224"/>
      <c r="AN203" s="224"/>
    </row>
    <row r="204" spans="1:40" ht="15.75">
      <c r="A204" s="336" t="s">
        <v>134</v>
      </c>
      <c r="B204" s="336"/>
      <c r="C204" s="336"/>
      <c r="D204" s="336"/>
      <c r="E204" s="336"/>
      <c r="F204" s="336"/>
      <c r="G204" s="336"/>
      <c r="H204" s="336"/>
      <c r="I204" s="336"/>
      <c r="J204" s="336"/>
      <c r="K204" s="336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24"/>
      <c r="Z204" s="224"/>
      <c r="AA204" s="224"/>
      <c r="AB204" s="224"/>
      <c r="AC204" s="224"/>
      <c r="AD204" s="224"/>
      <c r="AE204" s="224"/>
      <c r="AF204" s="224"/>
      <c r="AG204" s="224"/>
      <c r="AH204" s="224"/>
      <c r="AI204" s="224"/>
      <c r="AJ204" s="224"/>
      <c r="AK204" s="224"/>
      <c r="AL204" s="224"/>
      <c r="AM204" s="224"/>
      <c r="AN204" s="224"/>
    </row>
    <row r="205" spans="1:40">
      <c r="A205" s="20"/>
      <c r="B205" s="20"/>
      <c r="C205" s="162"/>
      <c r="D205" s="162"/>
      <c r="F205" s="162"/>
      <c r="G205" s="162"/>
      <c r="H205" s="162"/>
      <c r="I205" s="162"/>
      <c r="J205" s="162"/>
      <c r="K205" s="162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24"/>
      <c r="Z205" s="224"/>
      <c r="AA205" s="224"/>
      <c r="AB205" s="224"/>
      <c r="AC205" s="224"/>
      <c r="AD205" s="224"/>
      <c r="AE205" s="224"/>
      <c r="AF205" s="224"/>
      <c r="AG205" s="224"/>
      <c r="AH205" s="224"/>
      <c r="AI205" s="224"/>
      <c r="AJ205" s="224"/>
      <c r="AK205" s="224"/>
      <c r="AL205" s="224"/>
      <c r="AM205" s="224"/>
      <c r="AN205" s="224"/>
    </row>
    <row r="206" spans="1:40" ht="15.75">
      <c r="A206" s="337" t="s">
        <v>237</v>
      </c>
      <c r="B206" s="337"/>
      <c r="C206" s="337"/>
      <c r="D206" s="337"/>
      <c r="E206" s="337"/>
      <c r="F206" s="337"/>
      <c r="G206" s="337"/>
      <c r="H206" s="337"/>
      <c r="I206" s="337"/>
      <c r="J206" s="337"/>
      <c r="K206" s="337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  <c r="AA206" s="224"/>
      <c r="AB206" s="224"/>
      <c r="AC206" s="224"/>
      <c r="AD206" s="224"/>
      <c r="AE206" s="224"/>
      <c r="AF206" s="224"/>
      <c r="AG206" s="224"/>
      <c r="AH206" s="224"/>
      <c r="AI206" s="224"/>
      <c r="AJ206" s="224"/>
      <c r="AK206" s="224"/>
      <c r="AL206" s="224"/>
      <c r="AM206" s="224"/>
      <c r="AN206" s="224"/>
    </row>
    <row r="207" spans="1:40">
      <c r="A207" s="75"/>
      <c r="B207" s="19"/>
      <c r="C207" s="277"/>
      <c r="D207" s="75"/>
      <c r="E207" s="15"/>
      <c r="F207" s="15"/>
      <c r="G207" s="15"/>
      <c r="H207" s="15"/>
      <c r="I207" s="19"/>
      <c r="J207" s="278"/>
      <c r="K207" s="279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24"/>
      <c r="Z207" s="224"/>
      <c r="AA207" s="224"/>
      <c r="AB207" s="224"/>
      <c r="AC207" s="224"/>
      <c r="AD207" s="224"/>
      <c r="AE207" s="224"/>
      <c r="AF207" s="224"/>
      <c r="AG207" s="224"/>
      <c r="AH207" s="224"/>
      <c r="AI207" s="224"/>
      <c r="AJ207" s="224"/>
      <c r="AK207" s="224"/>
      <c r="AL207" s="224"/>
      <c r="AM207" s="224"/>
      <c r="AN207" s="224"/>
    </row>
    <row r="208" spans="1:40">
      <c r="A208" s="75"/>
      <c r="B208" s="19"/>
      <c r="C208" s="221"/>
      <c r="D208" s="75"/>
      <c r="E208" s="15"/>
      <c r="F208" s="15"/>
      <c r="G208" s="15"/>
      <c r="H208" s="15"/>
      <c r="I208" s="19"/>
      <c r="J208" s="15"/>
      <c r="K208" s="19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  <c r="AA208" s="224"/>
      <c r="AB208" s="224"/>
      <c r="AC208" s="224"/>
      <c r="AD208" s="224"/>
      <c r="AE208" s="224"/>
      <c r="AF208" s="224"/>
      <c r="AG208" s="224"/>
      <c r="AH208" s="224"/>
      <c r="AI208" s="224"/>
      <c r="AJ208" s="224"/>
      <c r="AK208" s="224"/>
      <c r="AL208" s="224"/>
      <c r="AM208" s="224"/>
      <c r="AN208" s="224"/>
    </row>
    <row r="209" spans="1:40">
      <c r="A209" s="75" t="s">
        <v>194</v>
      </c>
      <c r="B209" s="19"/>
      <c r="C209" s="221"/>
      <c r="D209" s="19"/>
      <c r="E209" s="15"/>
      <c r="F209" s="15"/>
      <c r="G209" s="15"/>
      <c r="H209" s="15"/>
      <c r="I209" s="19"/>
      <c r="J209" s="15"/>
      <c r="K209" s="19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4"/>
      <c r="X209" s="224"/>
      <c r="Y209" s="224"/>
      <c r="Z209" s="224"/>
      <c r="AA209" s="224"/>
      <c r="AB209" s="224"/>
      <c r="AC209" s="224"/>
      <c r="AD209" s="224"/>
      <c r="AE209" s="224"/>
      <c r="AF209" s="224"/>
      <c r="AG209" s="224"/>
      <c r="AH209" s="224"/>
      <c r="AI209" s="224"/>
      <c r="AJ209" s="224"/>
      <c r="AK209" s="224"/>
      <c r="AL209" s="224"/>
      <c r="AM209" s="224"/>
      <c r="AN209" s="224"/>
    </row>
    <row r="210" spans="1:40" ht="15.75" thickBot="1">
      <c r="A210" s="236" t="s">
        <v>195</v>
      </c>
      <c r="B210" s="19"/>
      <c r="C210" s="221"/>
      <c r="D210" s="19"/>
      <c r="E210" s="15"/>
      <c r="F210" s="15"/>
      <c r="G210" s="15"/>
      <c r="H210" s="15"/>
      <c r="I210" s="19"/>
      <c r="J210" s="15"/>
      <c r="K210" s="19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  <c r="AA210" s="224"/>
      <c r="AB210" s="224"/>
      <c r="AC210" s="224"/>
      <c r="AD210" s="224"/>
      <c r="AE210" s="224"/>
      <c r="AF210" s="224"/>
      <c r="AG210" s="224"/>
      <c r="AH210" s="224"/>
      <c r="AI210" s="224"/>
      <c r="AJ210" s="224"/>
      <c r="AK210" s="224"/>
      <c r="AL210" s="224"/>
      <c r="AM210" s="224"/>
      <c r="AN210" s="224"/>
    </row>
    <row r="211" spans="1:40">
      <c r="A211" s="75"/>
      <c r="B211" s="19"/>
      <c r="C211" s="221"/>
      <c r="D211" s="19"/>
      <c r="E211" s="15"/>
      <c r="F211" s="15"/>
      <c r="G211" s="15"/>
      <c r="H211" s="15"/>
      <c r="I211" s="19"/>
      <c r="J211" s="15"/>
      <c r="K211" s="19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  <c r="AA211" s="224"/>
      <c r="AB211" s="224"/>
      <c r="AC211" s="224"/>
      <c r="AD211" s="224"/>
      <c r="AE211" s="224"/>
      <c r="AF211" s="224"/>
      <c r="AG211" s="224"/>
      <c r="AH211" s="224"/>
      <c r="AI211" s="224"/>
      <c r="AJ211" s="224"/>
      <c r="AK211" s="224"/>
      <c r="AL211" s="224"/>
      <c r="AM211" s="224"/>
      <c r="AN211" s="224"/>
    </row>
    <row r="212" spans="1:40">
      <c r="A212" s="20"/>
      <c r="B212" s="20"/>
      <c r="C212" s="20"/>
      <c r="D212" s="20"/>
      <c r="E212" s="20"/>
      <c r="F212" s="20"/>
      <c r="G212" s="20"/>
      <c r="H212" s="20"/>
      <c r="I212" s="20"/>
      <c r="J212" s="19"/>
      <c r="K212" s="19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  <c r="AA212" s="224"/>
      <c r="AB212" s="224"/>
      <c r="AC212" s="224"/>
      <c r="AD212" s="224"/>
      <c r="AE212" s="224"/>
      <c r="AF212" s="224"/>
      <c r="AG212" s="224"/>
      <c r="AH212" s="224"/>
      <c r="AI212" s="224"/>
      <c r="AJ212" s="224"/>
      <c r="AK212" s="224"/>
      <c r="AL212" s="224"/>
      <c r="AM212" s="224"/>
      <c r="AN212" s="224"/>
    </row>
    <row r="213" spans="1:40">
      <c r="A213" s="75" t="s">
        <v>196</v>
      </c>
      <c r="B213" s="19"/>
      <c r="C213" s="19" t="s">
        <v>272</v>
      </c>
      <c r="D213" s="19"/>
      <c r="E213" s="19"/>
      <c r="F213" s="19"/>
      <c r="G213" s="19"/>
      <c r="H213" s="19"/>
      <c r="I213" s="19"/>
      <c r="J213" s="19"/>
      <c r="K213" s="19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  <c r="AA213" s="224"/>
      <c r="AB213" s="224"/>
      <c r="AC213" s="224"/>
      <c r="AD213" s="224"/>
      <c r="AE213" s="224"/>
      <c r="AF213" s="224"/>
      <c r="AG213" s="224"/>
      <c r="AH213" s="224"/>
      <c r="AI213" s="224"/>
      <c r="AJ213" s="224"/>
      <c r="AK213" s="224"/>
      <c r="AL213" s="224"/>
      <c r="AM213" s="224"/>
      <c r="AN213" s="224"/>
    </row>
    <row r="214" spans="1:40">
      <c r="A214" s="75"/>
      <c r="B214" s="19"/>
      <c r="C214" s="19" t="s">
        <v>50</v>
      </c>
      <c r="D214" s="19"/>
      <c r="E214" s="19"/>
      <c r="F214" s="19"/>
      <c r="G214" s="19"/>
      <c r="H214" s="19"/>
      <c r="I214" s="19"/>
      <c r="J214" s="19"/>
      <c r="K214" s="19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24"/>
      <c r="Z214" s="224"/>
      <c r="AA214" s="224"/>
      <c r="AB214" s="224"/>
      <c r="AC214" s="224"/>
      <c r="AD214" s="224"/>
      <c r="AE214" s="224"/>
      <c r="AF214" s="224"/>
      <c r="AG214" s="224"/>
      <c r="AH214" s="224"/>
      <c r="AI214" s="224"/>
      <c r="AJ214" s="224"/>
      <c r="AK214" s="224"/>
      <c r="AL214" s="224"/>
      <c r="AM214" s="224"/>
      <c r="AN214" s="224"/>
    </row>
    <row r="215" spans="1:40">
      <c r="A215" s="75"/>
      <c r="B215" s="19"/>
      <c r="C215" s="19" t="s">
        <v>78</v>
      </c>
      <c r="D215" s="19"/>
      <c r="E215" s="19"/>
      <c r="F215" s="19"/>
      <c r="G215" s="19"/>
      <c r="H215" s="19"/>
      <c r="I215" s="19"/>
      <c r="J215" s="19"/>
      <c r="K215" s="19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4"/>
      <c r="W215" s="224"/>
      <c r="X215" s="224"/>
      <c r="Y215" s="224"/>
      <c r="Z215" s="224"/>
      <c r="AA215" s="224"/>
      <c r="AB215" s="224"/>
      <c r="AC215" s="224"/>
      <c r="AD215" s="224"/>
      <c r="AE215" s="224"/>
      <c r="AF215" s="224"/>
      <c r="AG215" s="224"/>
      <c r="AH215" s="224"/>
      <c r="AI215" s="224"/>
      <c r="AJ215" s="224"/>
      <c r="AK215" s="224"/>
      <c r="AL215" s="224"/>
      <c r="AM215" s="224"/>
      <c r="AN215" s="224"/>
    </row>
    <row r="216" spans="1:40">
      <c r="A216" s="75" t="s">
        <v>197</v>
      </c>
      <c r="B216" s="19"/>
      <c r="C216" s="19" t="s">
        <v>203</v>
      </c>
      <c r="D216" s="19"/>
      <c r="E216" s="19"/>
      <c r="F216" s="19"/>
      <c r="G216" s="19"/>
      <c r="H216" s="19"/>
      <c r="I216" s="19"/>
      <c r="J216" s="19"/>
      <c r="K216" s="19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  <c r="AA216" s="224"/>
      <c r="AB216" s="224"/>
      <c r="AC216" s="224"/>
      <c r="AD216" s="224"/>
      <c r="AE216" s="224"/>
      <c r="AF216" s="224"/>
      <c r="AG216" s="224"/>
      <c r="AH216" s="224"/>
      <c r="AI216" s="224"/>
      <c r="AJ216" s="224"/>
      <c r="AK216" s="224"/>
      <c r="AL216" s="224"/>
      <c r="AM216" s="224"/>
      <c r="AN216" s="224"/>
    </row>
    <row r="217" spans="1:40">
      <c r="A217" s="75" t="s">
        <v>198</v>
      </c>
      <c r="B217" s="19"/>
      <c r="C217" s="19" t="s">
        <v>42</v>
      </c>
      <c r="D217" s="19"/>
      <c r="E217" s="19"/>
      <c r="F217" s="19"/>
      <c r="G217" s="19"/>
      <c r="H217" s="19"/>
      <c r="I217" s="19"/>
      <c r="J217" s="19"/>
      <c r="K217" s="19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4"/>
      <c r="X217" s="224"/>
      <c r="Y217" s="224"/>
      <c r="Z217" s="224"/>
      <c r="AA217" s="224"/>
      <c r="AB217" s="224"/>
      <c r="AC217" s="224"/>
      <c r="AD217" s="224"/>
      <c r="AE217" s="224"/>
      <c r="AF217" s="224"/>
      <c r="AG217" s="224"/>
      <c r="AH217" s="224"/>
      <c r="AI217" s="224"/>
      <c r="AJ217" s="224"/>
      <c r="AK217" s="224"/>
      <c r="AL217" s="224"/>
      <c r="AM217" s="224"/>
      <c r="AN217" s="224"/>
    </row>
    <row r="218" spans="1:40">
      <c r="A218" s="75" t="s">
        <v>199</v>
      </c>
      <c r="B218" s="19"/>
      <c r="C218" s="19" t="s">
        <v>51</v>
      </c>
      <c r="D218" s="19"/>
      <c r="E218" s="19"/>
      <c r="F218" s="19"/>
      <c r="G218" s="19"/>
      <c r="H218" s="19"/>
      <c r="I218" s="19"/>
      <c r="J218" s="19"/>
      <c r="K218" s="19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4"/>
      <c r="X218" s="224"/>
      <c r="Y218" s="224"/>
      <c r="Z218" s="224"/>
      <c r="AA218" s="224"/>
      <c r="AB218" s="224"/>
      <c r="AC218" s="224"/>
      <c r="AD218" s="224"/>
      <c r="AE218" s="224"/>
      <c r="AF218" s="224"/>
      <c r="AG218" s="224"/>
      <c r="AH218" s="224"/>
      <c r="AI218" s="224"/>
      <c r="AJ218" s="224"/>
      <c r="AK218" s="224"/>
      <c r="AL218" s="224"/>
      <c r="AM218" s="224"/>
      <c r="AN218" s="224"/>
    </row>
    <row r="219" spans="1:40">
      <c r="A219" s="75" t="s">
        <v>200</v>
      </c>
      <c r="B219" s="19"/>
      <c r="C219" s="19" t="s">
        <v>306</v>
      </c>
      <c r="D219" s="19"/>
      <c r="E219" s="19"/>
      <c r="F219" s="19"/>
      <c r="G219" s="19"/>
      <c r="H219" s="19"/>
      <c r="I219" s="19"/>
      <c r="J219" s="19"/>
      <c r="K219" s="19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4"/>
      <c r="W219" s="224"/>
      <c r="X219" s="224"/>
      <c r="Y219" s="224"/>
      <c r="Z219" s="224"/>
      <c r="AA219" s="224"/>
      <c r="AB219" s="224"/>
      <c r="AC219" s="224"/>
      <c r="AD219" s="224"/>
      <c r="AE219" s="224"/>
      <c r="AF219" s="224"/>
      <c r="AG219" s="224"/>
      <c r="AH219" s="224"/>
      <c r="AI219" s="224"/>
      <c r="AJ219" s="224"/>
      <c r="AK219" s="224"/>
      <c r="AL219" s="224"/>
      <c r="AM219" s="224"/>
      <c r="AN219" s="224"/>
    </row>
    <row r="220" spans="1:40">
      <c r="A220" s="75"/>
      <c r="B220" s="19"/>
      <c r="C220" s="20" t="s">
        <v>100</v>
      </c>
      <c r="D220" s="19"/>
      <c r="E220" s="19"/>
      <c r="F220" s="19"/>
      <c r="G220" s="19"/>
      <c r="H220" s="19"/>
      <c r="I220" s="19"/>
      <c r="J220" s="19"/>
      <c r="K220" s="19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24"/>
      <c r="Z220" s="224"/>
      <c r="AA220" s="224"/>
      <c r="AB220" s="224"/>
      <c r="AC220" s="224"/>
      <c r="AD220" s="224"/>
      <c r="AE220" s="224"/>
      <c r="AF220" s="224"/>
      <c r="AG220" s="224"/>
      <c r="AH220" s="224"/>
      <c r="AI220" s="224"/>
      <c r="AJ220" s="224"/>
      <c r="AK220" s="224"/>
      <c r="AL220" s="224"/>
      <c r="AM220" s="224"/>
      <c r="AN220" s="224"/>
    </row>
    <row r="221" spans="1:40">
      <c r="A221" s="75" t="s">
        <v>201</v>
      </c>
      <c r="B221" s="19"/>
      <c r="C221" s="19" t="s">
        <v>206</v>
      </c>
      <c r="D221" s="19"/>
      <c r="E221" s="19"/>
      <c r="F221" s="19"/>
      <c r="G221" s="19"/>
      <c r="H221" s="19"/>
      <c r="I221" s="19"/>
      <c r="J221" s="19"/>
      <c r="K221" s="19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24"/>
      <c r="Z221" s="224"/>
      <c r="AA221" s="224"/>
      <c r="AB221" s="224"/>
      <c r="AC221" s="224"/>
      <c r="AD221" s="224"/>
      <c r="AE221" s="224"/>
      <c r="AF221" s="224"/>
      <c r="AG221" s="224"/>
      <c r="AH221" s="224"/>
      <c r="AI221" s="224"/>
      <c r="AJ221" s="224"/>
      <c r="AK221" s="224"/>
      <c r="AL221" s="224"/>
      <c r="AM221" s="224"/>
      <c r="AN221" s="224"/>
    </row>
    <row r="222" spans="1:40">
      <c r="A222" s="75"/>
      <c r="B222" s="19"/>
      <c r="C222" s="19" t="s">
        <v>132</v>
      </c>
      <c r="D222" s="19"/>
      <c r="E222" s="19"/>
      <c r="F222" s="19"/>
      <c r="G222" s="19"/>
      <c r="H222" s="19"/>
      <c r="I222" s="19"/>
      <c r="J222" s="19"/>
      <c r="K222" s="19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24"/>
      <c r="Z222" s="224"/>
      <c r="AA222" s="224"/>
      <c r="AB222" s="224"/>
      <c r="AC222" s="224"/>
      <c r="AD222" s="224"/>
      <c r="AE222" s="224"/>
      <c r="AF222" s="224"/>
      <c r="AG222" s="224"/>
      <c r="AH222" s="224"/>
      <c r="AI222" s="224"/>
      <c r="AJ222" s="224"/>
      <c r="AK222" s="224"/>
      <c r="AL222" s="224"/>
      <c r="AM222" s="224"/>
      <c r="AN222" s="224"/>
    </row>
    <row r="223" spans="1:40">
      <c r="A223" s="75"/>
      <c r="B223" s="19"/>
      <c r="C223" s="19" t="s">
        <v>229</v>
      </c>
      <c r="D223" s="19"/>
      <c r="E223" s="19"/>
      <c r="F223" s="19"/>
      <c r="G223" s="19"/>
      <c r="H223" s="19"/>
      <c r="I223" s="19"/>
      <c r="J223" s="19"/>
      <c r="K223" s="19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24"/>
      <c r="Z223" s="224"/>
      <c r="AA223" s="224"/>
      <c r="AB223" s="224"/>
      <c r="AC223" s="224"/>
      <c r="AD223" s="224"/>
      <c r="AE223" s="224"/>
      <c r="AF223" s="224"/>
      <c r="AG223" s="224"/>
      <c r="AH223" s="224"/>
      <c r="AI223" s="224"/>
      <c r="AJ223" s="224"/>
      <c r="AK223" s="224"/>
      <c r="AL223" s="224"/>
      <c r="AM223" s="224"/>
      <c r="AN223" s="224"/>
    </row>
    <row r="224" spans="1:40">
      <c r="A224" s="75" t="s">
        <v>202</v>
      </c>
      <c r="B224" s="19"/>
      <c r="C224" s="19" t="s">
        <v>213</v>
      </c>
      <c r="D224" s="19"/>
      <c r="E224" s="19"/>
      <c r="F224" s="19"/>
      <c r="G224" s="19"/>
      <c r="H224" s="19"/>
      <c r="I224" s="19"/>
      <c r="J224" s="19"/>
      <c r="K224" s="19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24"/>
      <c r="Z224" s="224"/>
      <c r="AA224" s="224"/>
      <c r="AB224" s="224"/>
      <c r="AC224" s="224"/>
      <c r="AD224" s="224"/>
      <c r="AE224" s="224"/>
      <c r="AF224" s="224"/>
      <c r="AG224" s="224"/>
      <c r="AH224" s="224"/>
      <c r="AI224" s="224"/>
      <c r="AJ224" s="224"/>
      <c r="AK224" s="224"/>
      <c r="AL224" s="224"/>
      <c r="AM224" s="224"/>
      <c r="AN224" s="224"/>
    </row>
    <row r="225" spans="1:40">
      <c r="A225" s="75"/>
      <c r="B225" s="19"/>
      <c r="C225" s="19" t="s">
        <v>215</v>
      </c>
      <c r="D225" s="19"/>
      <c r="E225" s="19"/>
      <c r="F225" s="19"/>
      <c r="G225" s="19"/>
      <c r="H225" s="19"/>
      <c r="I225" s="19"/>
      <c r="J225" s="19"/>
      <c r="K225" s="19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  <c r="AA225" s="224"/>
      <c r="AB225" s="224"/>
      <c r="AC225" s="224"/>
      <c r="AD225" s="224"/>
      <c r="AE225" s="224"/>
      <c r="AF225" s="224"/>
      <c r="AG225" s="224"/>
      <c r="AH225" s="224"/>
      <c r="AI225" s="224"/>
      <c r="AJ225" s="224"/>
      <c r="AK225" s="224"/>
      <c r="AL225" s="224"/>
      <c r="AM225" s="224"/>
      <c r="AN225" s="224"/>
    </row>
    <row r="226" spans="1:40">
      <c r="A226" s="75"/>
      <c r="B226" s="19"/>
      <c r="C226" s="19" t="s">
        <v>216</v>
      </c>
      <c r="D226" s="19"/>
      <c r="E226" s="19"/>
      <c r="F226" s="19"/>
      <c r="G226" s="19"/>
      <c r="H226" s="19"/>
      <c r="I226" s="19"/>
      <c r="J226" s="19"/>
      <c r="K226" s="19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24"/>
      <c r="Z226" s="224"/>
      <c r="AA226" s="224"/>
      <c r="AB226" s="224"/>
      <c r="AC226" s="224"/>
      <c r="AD226" s="224"/>
      <c r="AE226" s="224"/>
      <c r="AF226" s="224"/>
      <c r="AG226" s="224"/>
      <c r="AH226" s="224"/>
      <c r="AI226" s="224"/>
      <c r="AJ226" s="224"/>
      <c r="AK226" s="224"/>
      <c r="AL226" s="224"/>
      <c r="AM226" s="224"/>
      <c r="AN226" s="224"/>
    </row>
    <row r="227" spans="1:40">
      <c r="A227" s="75"/>
      <c r="B227" s="19"/>
      <c r="C227" s="19" t="s">
        <v>217</v>
      </c>
      <c r="D227" s="19"/>
      <c r="E227" s="19"/>
      <c r="F227" s="19"/>
      <c r="G227" s="19"/>
      <c r="H227" s="19"/>
      <c r="I227" s="19"/>
      <c r="J227" s="19"/>
      <c r="K227" s="19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  <c r="AA227" s="224"/>
      <c r="AB227" s="224"/>
      <c r="AC227" s="224"/>
      <c r="AD227" s="224"/>
      <c r="AE227" s="224"/>
      <c r="AF227" s="224"/>
      <c r="AG227" s="224"/>
      <c r="AH227" s="224"/>
      <c r="AI227" s="224"/>
      <c r="AJ227" s="224"/>
      <c r="AK227" s="224"/>
      <c r="AL227" s="224"/>
      <c r="AM227" s="224"/>
      <c r="AN227" s="224"/>
    </row>
    <row r="228" spans="1:40">
      <c r="A228" s="75"/>
      <c r="B228" s="19"/>
      <c r="C228" s="19" t="s">
        <v>218</v>
      </c>
      <c r="D228" s="19"/>
      <c r="E228" s="19"/>
      <c r="F228" s="19"/>
      <c r="G228" s="19"/>
      <c r="H228" s="19"/>
      <c r="I228" s="19"/>
      <c r="J228" s="19"/>
      <c r="K228" s="19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4"/>
      <c r="AA228" s="224"/>
      <c r="AB228" s="224"/>
      <c r="AC228" s="224"/>
      <c r="AD228" s="224"/>
      <c r="AE228" s="224"/>
      <c r="AF228" s="224"/>
      <c r="AG228" s="224"/>
      <c r="AH228" s="224"/>
      <c r="AI228" s="224"/>
      <c r="AJ228" s="224"/>
      <c r="AK228" s="224"/>
      <c r="AL228" s="224"/>
      <c r="AM228" s="224"/>
      <c r="AN228" s="224"/>
    </row>
    <row r="229" spans="1:40">
      <c r="A229" s="75"/>
      <c r="B229" s="19"/>
      <c r="C229" s="19" t="s">
        <v>79</v>
      </c>
      <c r="D229" s="19"/>
      <c r="E229" s="19"/>
      <c r="F229" s="19"/>
      <c r="G229" s="19"/>
      <c r="H229" s="19"/>
      <c r="I229" s="19"/>
      <c r="J229" s="19"/>
      <c r="K229" s="19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24"/>
      <c r="Z229" s="224"/>
      <c r="AA229" s="224"/>
      <c r="AB229" s="224"/>
      <c r="AC229" s="224"/>
      <c r="AD229" s="224"/>
      <c r="AE229" s="224"/>
      <c r="AF229" s="224"/>
      <c r="AG229" s="224"/>
      <c r="AH229" s="224"/>
      <c r="AI229" s="224"/>
      <c r="AJ229" s="224"/>
      <c r="AK229" s="224"/>
      <c r="AL229" s="224"/>
      <c r="AM229" s="224"/>
      <c r="AN229" s="224"/>
    </row>
    <row r="230" spans="1:40">
      <c r="A230" s="75" t="s">
        <v>133</v>
      </c>
      <c r="B230" s="19"/>
      <c r="C230" s="19" t="s">
        <v>226</v>
      </c>
      <c r="D230" s="19" t="s">
        <v>219</v>
      </c>
      <c r="E230" s="321">
        <v>0.21</v>
      </c>
      <c r="F230" s="19"/>
      <c r="G230" s="19"/>
      <c r="H230" s="19"/>
      <c r="I230" s="19"/>
      <c r="J230" s="19"/>
      <c r="K230" s="19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4"/>
      <c r="X230" s="224"/>
      <c r="Y230" s="224"/>
      <c r="Z230" s="224"/>
      <c r="AA230" s="224"/>
      <c r="AB230" s="224"/>
      <c r="AC230" s="224"/>
      <c r="AD230" s="224"/>
      <c r="AE230" s="224"/>
      <c r="AF230" s="224"/>
      <c r="AG230" s="224"/>
      <c r="AH230" s="224"/>
      <c r="AI230" s="224"/>
      <c r="AJ230" s="224"/>
      <c r="AK230" s="224"/>
      <c r="AL230" s="224"/>
      <c r="AM230" s="224"/>
      <c r="AN230" s="224"/>
    </row>
    <row r="231" spans="1:40">
      <c r="A231" s="75"/>
      <c r="B231" s="19"/>
      <c r="C231" s="19"/>
      <c r="D231" s="19" t="s">
        <v>220</v>
      </c>
      <c r="E231" s="280">
        <v>0</v>
      </c>
      <c r="F231" s="19" t="s">
        <v>221</v>
      </c>
      <c r="G231" s="19"/>
      <c r="H231" s="19"/>
      <c r="I231" s="19"/>
      <c r="J231" s="19"/>
      <c r="K231" s="19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4"/>
      <c r="X231" s="224"/>
      <c r="Y231" s="224"/>
      <c r="Z231" s="224"/>
      <c r="AA231" s="224"/>
      <c r="AB231" s="224"/>
      <c r="AC231" s="224"/>
      <c r="AD231" s="224"/>
      <c r="AE231" s="224"/>
      <c r="AF231" s="224"/>
      <c r="AG231" s="224"/>
      <c r="AH231" s="224"/>
      <c r="AI231" s="224"/>
      <c r="AJ231" s="224"/>
      <c r="AK231" s="224"/>
      <c r="AL231" s="224"/>
      <c r="AM231" s="224"/>
      <c r="AN231" s="224"/>
    </row>
    <row r="232" spans="1:40">
      <c r="A232" s="75"/>
      <c r="B232" s="19"/>
      <c r="C232" s="19"/>
      <c r="D232" s="19" t="s">
        <v>222</v>
      </c>
      <c r="E232" s="280">
        <v>0</v>
      </c>
      <c r="F232" s="19" t="s">
        <v>223</v>
      </c>
      <c r="G232" s="19"/>
      <c r="H232" s="19"/>
      <c r="I232" s="19"/>
      <c r="J232" s="19"/>
      <c r="K232" s="19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4"/>
      <c r="W232" s="224"/>
      <c r="X232" s="224"/>
      <c r="Y232" s="224"/>
      <c r="Z232" s="224"/>
      <c r="AA232" s="224"/>
      <c r="AB232" s="224"/>
      <c r="AC232" s="224"/>
      <c r="AD232" s="224"/>
      <c r="AE232" s="224"/>
      <c r="AF232" s="224"/>
      <c r="AG232" s="224"/>
      <c r="AH232" s="224"/>
      <c r="AI232" s="224"/>
      <c r="AJ232" s="224"/>
      <c r="AK232" s="224"/>
      <c r="AL232" s="224"/>
      <c r="AM232" s="224"/>
      <c r="AN232" s="224"/>
    </row>
    <row r="233" spans="1:40">
      <c r="A233" s="281" t="s">
        <v>204</v>
      </c>
      <c r="B233" s="20"/>
      <c r="C233" s="20" t="s">
        <v>392</v>
      </c>
      <c r="D233" s="20"/>
      <c r="E233" s="20"/>
      <c r="F233" s="20"/>
      <c r="G233" s="20"/>
      <c r="H233" s="20"/>
      <c r="I233" s="20"/>
      <c r="J233" s="20"/>
      <c r="K233" s="20"/>
    </row>
    <row r="234" spans="1:40" ht="15" customHeight="1">
      <c r="A234" s="282" t="s">
        <v>205</v>
      </c>
      <c r="C234" s="221" t="s">
        <v>32</v>
      </c>
    </row>
    <row r="235" spans="1:40">
      <c r="C235" s="163" t="s">
        <v>392</v>
      </c>
    </row>
  </sheetData>
  <mergeCells count="13">
    <mergeCell ref="A74:K74"/>
    <mergeCell ref="A203:K203"/>
    <mergeCell ref="A204:K204"/>
    <mergeCell ref="A206:K206"/>
    <mergeCell ref="A131:K131"/>
    <mergeCell ref="A126:K126"/>
    <mergeCell ref="A127:K127"/>
    <mergeCell ref="A129:K129"/>
    <mergeCell ref="A4:K4"/>
    <mergeCell ref="A5:K5"/>
    <mergeCell ref="A7:K7"/>
    <mergeCell ref="A71:K71"/>
    <mergeCell ref="A72:K72"/>
  </mergeCells>
  <phoneticPr fontId="14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7" max="12" man="1"/>
    <brk id="123" max="10" man="1"/>
    <brk id="19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6"/>
  <sheetViews>
    <sheetView zoomScale="90" zoomScaleNormal="90" workbookViewId="0">
      <selection activeCell="F28" sqref="F28"/>
    </sheetView>
  </sheetViews>
  <sheetFormatPr defaultColWidth="7.109375" defaultRowHeight="12.75"/>
  <cols>
    <col min="1" max="1" width="3.44140625" style="38" customWidth="1"/>
    <col min="2" max="2" width="4.109375" style="38" customWidth="1"/>
    <col min="3" max="3" width="1.77734375" style="38" customWidth="1"/>
    <col min="4" max="4" width="44.88671875" style="41" customWidth="1"/>
    <col min="5" max="5" width="12.44140625" style="41" bestFit="1" customWidth="1"/>
    <col min="6" max="6" width="10.88671875" style="38" customWidth="1"/>
    <col min="7" max="7" width="9.44140625" style="38" customWidth="1"/>
    <col min="8" max="8" width="11.33203125" style="38" customWidth="1"/>
    <col min="9" max="16384" width="7.109375" style="38"/>
  </cols>
  <sheetData>
    <row r="1" spans="2:7">
      <c r="F1" s="341" t="s">
        <v>343</v>
      </c>
      <c r="G1" s="341"/>
    </row>
    <row r="2" spans="2:7" ht="43.5" customHeight="1">
      <c r="B2" s="339" t="s">
        <v>342</v>
      </c>
      <c r="C2" s="340"/>
      <c r="D2" s="340"/>
      <c r="E2" s="340"/>
      <c r="F2" s="340"/>
      <c r="G2" s="340"/>
    </row>
    <row r="3" spans="2:7">
      <c r="D3" s="202"/>
      <c r="F3" s="201"/>
    </row>
    <row r="4" spans="2:7">
      <c r="B4" s="86" t="s">
        <v>135</v>
      </c>
    </row>
    <row r="5" spans="2:7">
      <c r="B5" s="87" t="s">
        <v>136</v>
      </c>
      <c r="F5" s="200" t="s">
        <v>341</v>
      </c>
    </row>
    <row r="6" spans="2:7">
      <c r="B6" s="39">
        <v>1</v>
      </c>
      <c r="C6" s="40" t="s">
        <v>340</v>
      </c>
      <c r="D6" s="42"/>
      <c r="E6" s="42"/>
      <c r="F6" s="199" t="s">
        <v>334</v>
      </c>
    </row>
    <row r="7" spans="2:7">
      <c r="B7" s="39">
        <f t="shared" ref="B7:B38" si="0">+B6+1</f>
        <v>2</v>
      </c>
      <c r="C7" s="42"/>
      <c r="D7" s="198">
        <v>43435</v>
      </c>
      <c r="E7" s="105"/>
      <c r="F7" s="47"/>
    </row>
    <row r="8" spans="2:7">
      <c r="B8" s="39">
        <f t="shared" si="0"/>
        <v>3</v>
      </c>
      <c r="C8" s="42"/>
      <c r="D8" s="198">
        <v>43466</v>
      </c>
      <c r="E8" s="105"/>
      <c r="F8" s="47"/>
    </row>
    <row r="9" spans="2:7">
      <c r="B9" s="39">
        <f t="shared" si="0"/>
        <v>4</v>
      </c>
      <c r="C9" s="42"/>
      <c r="D9" s="198">
        <v>43497</v>
      </c>
      <c r="E9" s="105"/>
      <c r="F9" s="47"/>
    </row>
    <row r="10" spans="2:7">
      <c r="B10" s="39">
        <f t="shared" si="0"/>
        <v>5</v>
      </c>
      <c r="C10" s="42"/>
      <c r="D10" s="198">
        <v>43525</v>
      </c>
      <c r="E10" s="105"/>
      <c r="F10" s="47"/>
    </row>
    <row r="11" spans="2:7">
      <c r="B11" s="39">
        <f t="shared" si="0"/>
        <v>6</v>
      </c>
      <c r="C11" s="42"/>
      <c r="D11" s="198">
        <v>43556</v>
      </c>
      <c r="E11" s="105"/>
    </row>
    <row r="12" spans="2:7" ht="12.75" customHeight="1">
      <c r="B12" s="39">
        <f t="shared" si="0"/>
        <v>7</v>
      </c>
      <c r="C12" s="42"/>
      <c r="D12" s="198">
        <v>43586</v>
      </c>
      <c r="E12" s="105"/>
      <c r="F12" s="47"/>
    </row>
    <row r="13" spans="2:7">
      <c r="B13" s="39">
        <f t="shared" si="0"/>
        <v>8</v>
      </c>
      <c r="C13" s="40"/>
      <c r="D13" s="198">
        <v>43617</v>
      </c>
      <c r="E13" s="105"/>
      <c r="F13" s="47"/>
    </row>
    <row r="14" spans="2:7">
      <c r="B14" s="39">
        <f t="shared" si="0"/>
        <v>9</v>
      </c>
      <c r="C14" s="42"/>
      <c r="D14" s="198">
        <v>43647</v>
      </c>
      <c r="E14" s="105"/>
      <c r="F14" s="47"/>
    </row>
    <row r="15" spans="2:7">
      <c r="B15" s="39">
        <f t="shared" si="0"/>
        <v>10</v>
      </c>
      <c r="C15" s="42"/>
      <c r="D15" s="198">
        <v>43678</v>
      </c>
      <c r="E15" s="105"/>
    </row>
    <row r="16" spans="2:7">
      <c r="B16" s="39">
        <f t="shared" si="0"/>
        <v>11</v>
      </c>
      <c r="C16" s="42"/>
      <c r="D16" s="198">
        <v>43709</v>
      </c>
      <c r="E16" s="105"/>
      <c r="F16" s="47">
        <v>24946339.319999993</v>
      </c>
    </row>
    <row r="17" spans="2:8">
      <c r="B17" s="39">
        <f t="shared" si="0"/>
        <v>12</v>
      </c>
      <c r="C17" s="42"/>
      <c r="D17" s="198">
        <v>43739</v>
      </c>
      <c r="E17" s="105"/>
      <c r="F17" s="186">
        <v>2719447.79</v>
      </c>
    </row>
    <row r="18" spans="2:8">
      <c r="B18" s="39">
        <f t="shared" si="0"/>
        <v>13</v>
      </c>
      <c r="C18" s="42"/>
      <c r="D18" s="198">
        <v>43770</v>
      </c>
      <c r="E18" s="105"/>
      <c r="F18" s="47"/>
    </row>
    <row r="19" spans="2:8">
      <c r="B19" s="39">
        <f t="shared" si="0"/>
        <v>14</v>
      </c>
      <c r="C19" s="42"/>
      <c r="D19" s="198">
        <v>43800</v>
      </c>
      <c r="E19" s="105"/>
      <c r="F19" s="186">
        <v>0</v>
      </c>
      <c r="G19" s="42"/>
    </row>
    <row r="20" spans="2:8">
      <c r="B20" s="39">
        <f t="shared" si="0"/>
        <v>15</v>
      </c>
      <c r="C20" s="197" t="s">
        <v>379</v>
      </c>
      <c r="D20" s="38"/>
      <c r="E20" s="105"/>
      <c r="F20" s="191">
        <f>SUM(F7:F19)</f>
        <v>27665787.109999992</v>
      </c>
      <c r="G20" s="46"/>
      <c r="H20" s="46"/>
    </row>
    <row r="21" spans="2:8">
      <c r="B21" s="39">
        <f t="shared" si="0"/>
        <v>16</v>
      </c>
      <c r="C21" s="42"/>
      <c r="D21" s="42" t="s">
        <v>339</v>
      </c>
      <c r="E21" s="42"/>
      <c r="F21" s="196">
        <f>'BHP WP5 Depreciation Rates'!H21</f>
        <v>2.3199999999999998E-2</v>
      </c>
    </row>
    <row r="22" spans="2:8" ht="13.5" thickBot="1">
      <c r="B22" s="39">
        <f t="shared" si="0"/>
        <v>17</v>
      </c>
      <c r="C22" s="40" t="str">
        <f>"Annual Transmisison Depreciation Expense (line "&amp;B20&amp;" x line "&amp;B21&amp;")"</f>
        <v>Annual Transmisison Depreciation Expense (line 15 x line 16)</v>
      </c>
      <c r="D22" s="42"/>
      <c r="E22" s="42"/>
      <c r="F22" s="195">
        <f>+F20*F21</f>
        <v>641846.26095199981</v>
      </c>
    </row>
    <row r="23" spans="2:8" ht="13.5" thickTop="1">
      <c r="B23" s="39">
        <f t="shared" si="0"/>
        <v>18</v>
      </c>
      <c r="C23" s="42"/>
      <c r="D23" s="192"/>
      <c r="E23" s="192"/>
    </row>
    <row r="24" spans="2:8">
      <c r="B24" s="39">
        <f t="shared" si="0"/>
        <v>19</v>
      </c>
      <c r="C24" s="42"/>
      <c r="D24" s="192"/>
      <c r="E24" s="194" t="s">
        <v>338</v>
      </c>
      <c r="F24" s="42" t="s">
        <v>337</v>
      </c>
    </row>
    <row r="25" spans="2:8">
      <c r="B25" s="39">
        <f t="shared" si="0"/>
        <v>20</v>
      </c>
      <c r="C25" s="40"/>
      <c r="E25" s="193" t="s">
        <v>336</v>
      </c>
      <c r="F25" s="86" t="s">
        <v>335</v>
      </c>
    </row>
    <row r="26" spans="2:8">
      <c r="B26" s="39">
        <f t="shared" si="0"/>
        <v>21</v>
      </c>
      <c r="C26" s="40" t="s">
        <v>381</v>
      </c>
      <c r="E26" s="193" t="s">
        <v>334</v>
      </c>
      <c r="F26" s="86" t="s">
        <v>333</v>
      </c>
    </row>
    <row r="27" spans="2:8">
      <c r="B27" s="39">
        <f t="shared" si="0"/>
        <v>22</v>
      </c>
      <c r="F27" s="47"/>
    </row>
    <row r="28" spans="2:8">
      <c r="B28" s="39">
        <f t="shared" si="0"/>
        <v>23</v>
      </c>
      <c r="D28" s="188" t="s">
        <v>380</v>
      </c>
      <c r="E28" s="192">
        <f>Estimate!E16+F8</f>
        <v>208155662</v>
      </c>
      <c r="F28" s="47">
        <f>(+E28*$F$21)/12</f>
        <v>402434.27986666659</v>
      </c>
    </row>
    <row r="29" spans="2:8">
      <c r="B29" s="39">
        <f t="shared" si="0"/>
        <v>24</v>
      </c>
      <c r="D29" s="190">
        <v>43497</v>
      </c>
      <c r="E29" s="186">
        <f>+E28+F9</f>
        <v>208155662</v>
      </c>
      <c r="F29" s="47">
        <f t="shared" ref="F29:F38" si="1">(+E29*$F$21)/12</f>
        <v>402434.27986666659</v>
      </c>
    </row>
    <row r="30" spans="2:8">
      <c r="B30" s="39">
        <f t="shared" si="0"/>
        <v>25</v>
      </c>
      <c r="D30" s="190">
        <v>43525</v>
      </c>
      <c r="E30" s="186">
        <f>+E29+F10</f>
        <v>208155662</v>
      </c>
      <c r="F30" s="47">
        <f t="shared" si="1"/>
        <v>402434.27986666659</v>
      </c>
    </row>
    <row r="31" spans="2:8">
      <c r="B31" s="39">
        <f t="shared" si="0"/>
        <v>26</v>
      </c>
      <c r="D31" s="190">
        <v>43556</v>
      </c>
      <c r="E31" s="186">
        <f>+E30+F11</f>
        <v>208155662</v>
      </c>
      <c r="F31" s="47">
        <f t="shared" si="1"/>
        <v>402434.27986666659</v>
      </c>
    </row>
    <row r="32" spans="2:8">
      <c r="B32" s="39">
        <f t="shared" si="0"/>
        <v>27</v>
      </c>
      <c r="D32" s="190">
        <v>43586</v>
      </c>
      <c r="E32" s="186">
        <f t="shared" ref="E32:E37" si="2">+E31+F12</f>
        <v>208155662</v>
      </c>
      <c r="F32" s="47">
        <f t="shared" si="1"/>
        <v>402434.27986666659</v>
      </c>
    </row>
    <row r="33" spans="2:7">
      <c r="B33" s="39">
        <f t="shared" si="0"/>
        <v>28</v>
      </c>
      <c r="D33" s="190">
        <v>43617</v>
      </c>
      <c r="E33" s="186">
        <f t="shared" si="2"/>
        <v>208155662</v>
      </c>
      <c r="F33" s="47">
        <f t="shared" si="1"/>
        <v>402434.27986666659</v>
      </c>
    </row>
    <row r="34" spans="2:7">
      <c r="B34" s="39">
        <f t="shared" si="0"/>
        <v>29</v>
      </c>
      <c r="D34" s="190">
        <v>43647</v>
      </c>
      <c r="E34" s="186">
        <f t="shared" si="2"/>
        <v>208155662</v>
      </c>
      <c r="F34" s="47">
        <f t="shared" si="1"/>
        <v>402434.27986666659</v>
      </c>
    </row>
    <row r="35" spans="2:7">
      <c r="B35" s="39">
        <f t="shared" si="0"/>
        <v>30</v>
      </c>
      <c r="D35" s="190">
        <v>43678</v>
      </c>
      <c r="E35" s="186">
        <f t="shared" si="2"/>
        <v>208155662</v>
      </c>
      <c r="F35" s="47">
        <f t="shared" si="1"/>
        <v>402434.27986666659</v>
      </c>
    </row>
    <row r="36" spans="2:7">
      <c r="B36" s="39">
        <f t="shared" si="0"/>
        <v>31</v>
      </c>
      <c r="D36" s="190">
        <v>43709</v>
      </c>
      <c r="E36" s="186">
        <f t="shared" si="2"/>
        <v>233102001.31999999</v>
      </c>
      <c r="F36" s="47">
        <f t="shared" si="1"/>
        <v>450663.86921866663</v>
      </c>
    </row>
    <row r="37" spans="2:7">
      <c r="B37" s="39">
        <f t="shared" si="0"/>
        <v>32</v>
      </c>
      <c r="D37" s="190">
        <v>43739</v>
      </c>
      <c r="E37" s="186">
        <f t="shared" si="2"/>
        <v>235821449.10999998</v>
      </c>
      <c r="F37" s="47">
        <f t="shared" si="1"/>
        <v>455921.46827933326</v>
      </c>
    </row>
    <row r="38" spans="2:7">
      <c r="B38" s="39">
        <f t="shared" si="0"/>
        <v>33</v>
      </c>
      <c r="D38" s="190">
        <v>43770</v>
      </c>
      <c r="E38" s="186">
        <f>+E37+F18</f>
        <v>235821449.10999998</v>
      </c>
      <c r="F38" s="47">
        <f t="shared" si="1"/>
        <v>455921.46827933326</v>
      </c>
    </row>
    <row r="39" spans="2:7">
      <c r="B39" s="39">
        <f t="shared" ref="B39:B59" si="3">+B38+1</f>
        <v>34</v>
      </c>
      <c r="D39" s="190">
        <v>43800</v>
      </c>
      <c r="E39" s="186">
        <f>+E38+F19</f>
        <v>235821449.10999998</v>
      </c>
      <c r="F39" s="47">
        <f>(+E39*$F$21)/12</f>
        <v>455921.46827933326</v>
      </c>
    </row>
    <row r="40" spans="2:7">
      <c r="B40" s="39">
        <f t="shared" si="3"/>
        <v>35</v>
      </c>
      <c r="D40" s="188" t="s">
        <v>382</v>
      </c>
      <c r="E40" s="186"/>
      <c r="F40" s="191">
        <f>SUM(F28:F39)</f>
        <v>5037902.5129899988</v>
      </c>
    </row>
    <row r="41" spans="2:7">
      <c r="B41" s="39">
        <f t="shared" si="3"/>
        <v>36</v>
      </c>
      <c r="C41" s="42" t="s">
        <v>383</v>
      </c>
      <c r="D41" s="190"/>
      <c r="E41" s="186"/>
      <c r="F41" s="47"/>
    </row>
    <row r="42" spans="2:7">
      <c r="B42" s="39">
        <f t="shared" si="3"/>
        <v>37</v>
      </c>
      <c r="D42" s="219">
        <v>43831</v>
      </c>
      <c r="E42" s="186">
        <f>+E39+'BHP WP3 Capital Additions'!D10</f>
        <v>235821449.10999998</v>
      </c>
      <c r="F42" s="47">
        <f t="shared" ref="F42:F53" si="4">(+E42*$F$21)/12</f>
        <v>455921.46827933326</v>
      </c>
      <c r="G42" s="189"/>
    </row>
    <row r="43" spans="2:7">
      <c r="B43" s="39">
        <f t="shared" si="3"/>
        <v>38</v>
      </c>
      <c r="D43" s="219">
        <v>43862</v>
      </c>
      <c r="E43" s="186">
        <f>+E42+'BHP WP3 Capital Additions'!D11</f>
        <v>235821449.10999998</v>
      </c>
      <c r="F43" s="47">
        <f t="shared" si="4"/>
        <v>455921.46827933326</v>
      </c>
      <c r="G43" s="189"/>
    </row>
    <row r="44" spans="2:7">
      <c r="B44" s="39">
        <f t="shared" si="3"/>
        <v>39</v>
      </c>
      <c r="D44" s="219">
        <v>43891</v>
      </c>
      <c r="E44" s="186">
        <f>+E43+'BHP WP3 Capital Additions'!D12</f>
        <v>235821449.10999998</v>
      </c>
      <c r="F44" s="47">
        <f t="shared" si="4"/>
        <v>455921.46827933326</v>
      </c>
      <c r="G44" s="189"/>
    </row>
    <row r="45" spans="2:7">
      <c r="B45" s="39">
        <f t="shared" si="3"/>
        <v>40</v>
      </c>
      <c r="D45" s="219">
        <v>43922</v>
      </c>
      <c r="E45" s="186">
        <f>+E44+'BHP WP3 Capital Additions'!D13</f>
        <v>235821449.10999998</v>
      </c>
      <c r="F45" s="47">
        <f t="shared" si="4"/>
        <v>455921.46827933326</v>
      </c>
      <c r="G45" s="189"/>
    </row>
    <row r="46" spans="2:7">
      <c r="B46" s="39">
        <f t="shared" si="3"/>
        <v>41</v>
      </c>
      <c r="D46" s="219">
        <v>43952</v>
      </c>
      <c r="E46" s="186">
        <f>+E45+'BHP WP3 Capital Additions'!D14</f>
        <v>244330515.21999997</v>
      </c>
      <c r="F46" s="47">
        <f t="shared" si="4"/>
        <v>472372.32942533324</v>
      </c>
      <c r="G46" s="189"/>
    </row>
    <row r="47" spans="2:7">
      <c r="B47" s="39">
        <f t="shared" si="3"/>
        <v>42</v>
      </c>
      <c r="D47" s="219">
        <v>43983</v>
      </c>
      <c r="E47" s="186">
        <f>+E46+'BHP WP3 Capital Additions'!D15</f>
        <v>244330515.21999997</v>
      </c>
      <c r="F47" s="47">
        <f t="shared" si="4"/>
        <v>472372.32942533324</v>
      </c>
      <c r="G47" s="189"/>
    </row>
    <row r="48" spans="2:7">
      <c r="B48" s="39">
        <f t="shared" si="3"/>
        <v>43</v>
      </c>
      <c r="D48" s="219">
        <v>44013</v>
      </c>
      <c r="E48" s="186">
        <f>+E47+'BHP WP3 Capital Additions'!D16</f>
        <v>244330515.21999997</v>
      </c>
      <c r="F48" s="47">
        <f t="shared" si="4"/>
        <v>472372.32942533324</v>
      </c>
      <c r="G48" s="189"/>
    </row>
    <row r="49" spans="2:7">
      <c r="B49" s="39">
        <f t="shared" si="3"/>
        <v>44</v>
      </c>
      <c r="D49" s="219">
        <v>44044</v>
      </c>
      <c r="E49" s="186">
        <f>+E48+'BHP WP3 Capital Additions'!D17</f>
        <v>244330515.21999997</v>
      </c>
      <c r="F49" s="47">
        <f t="shared" si="4"/>
        <v>472372.32942533324</v>
      </c>
      <c r="G49" s="189"/>
    </row>
    <row r="50" spans="2:7">
      <c r="B50" s="39">
        <f t="shared" si="3"/>
        <v>45</v>
      </c>
      <c r="D50" s="219">
        <v>44075</v>
      </c>
      <c r="E50" s="186">
        <f>+E49+'BHP WP3 Capital Additions'!D18</f>
        <v>244330515.21999997</v>
      </c>
      <c r="F50" s="47">
        <f t="shared" si="4"/>
        <v>472372.32942533324</v>
      </c>
      <c r="G50" s="189"/>
    </row>
    <row r="51" spans="2:7">
      <c r="B51" s="39">
        <f t="shared" si="3"/>
        <v>46</v>
      </c>
      <c r="D51" s="219">
        <v>44105</v>
      </c>
      <c r="E51" s="186">
        <f>+E50+'BHP WP3 Capital Additions'!D19</f>
        <v>244330515.21999997</v>
      </c>
      <c r="F51" s="47">
        <f t="shared" si="4"/>
        <v>472372.32942533324</v>
      </c>
      <c r="G51" s="189"/>
    </row>
    <row r="52" spans="2:7">
      <c r="B52" s="39">
        <f t="shared" si="3"/>
        <v>47</v>
      </c>
      <c r="D52" s="219">
        <v>44136</v>
      </c>
      <c r="E52" s="186">
        <f>+E51+'BHP WP3 Capital Additions'!D20</f>
        <v>244330515.21999997</v>
      </c>
      <c r="F52" s="47">
        <f t="shared" si="4"/>
        <v>472372.32942533324</v>
      </c>
      <c r="G52" s="189"/>
    </row>
    <row r="53" spans="2:7">
      <c r="B53" s="39">
        <f t="shared" si="3"/>
        <v>48</v>
      </c>
      <c r="D53" s="219">
        <v>44166</v>
      </c>
      <c r="E53" s="186">
        <f>+E52+'BHP WP3 Capital Additions'!D21</f>
        <v>247574855.98999998</v>
      </c>
      <c r="F53" s="47">
        <f t="shared" si="4"/>
        <v>478644.72158066655</v>
      </c>
      <c r="G53" s="189"/>
    </row>
    <row r="54" spans="2:7">
      <c r="B54" s="39">
        <f t="shared" si="3"/>
        <v>49</v>
      </c>
      <c r="D54" s="188" t="str">
        <f>"Subtotal of 2020 Increase for Accumulated Depreciation (lines "&amp;B42&amp;"-"&amp;B53&amp;")"</f>
        <v>Subtotal of 2020 Increase for Accumulated Depreciation (lines 37-48)</v>
      </c>
      <c r="F54" s="187">
        <f>SUM(F42:F53)</f>
        <v>5608936.9006753312</v>
      </c>
    </row>
    <row r="55" spans="2:7">
      <c r="B55" s="39">
        <f t="shared" si="3"/>
        <v>50</v>
      </c>
      <c r="D55" s="185" t="str">
        <f>"Average 2020 Impact for rate base consideration (line "&amp;B54&amp;" ÷ 2)"</f>
        <v>Average 2020 Impact for rate base consideration (line 49 ÷ 2)</v>
      </c>
      <c r="F55" s="186">
        <f>+F54/2</f>
        <v>2804468.4503376656</v>
      </c>
    </row>
    <row r="56" spans="2:7">
      <c r="B56" s="39">
        <f t="shared" si="3"/>
        <v>51</v>
      </c>
    </row>
    <row r="57" spans="2:7" ht="13.5" thickBot="1">
      <c r="B57" s="39">
        <f t="shared" si="3"/>
        <v>52</v>
      </c>
      <c r="D57" s="185" t="str">
        <f>"Total Accumulated Depreciation for 2019 &amp; 2020 (lines "&amp;B40&amp;" + "&amp;B55&amp;")"</f>
        <v>Total Accumulated Depreciation for 2019 &amp; 2020 (lines 35 + 50)</v>
      </c>
      <c r="F57" s="184">
        <f>+F40+F55</f>
        <v>7842370.9633276649</v>
      </c>
    </row>
    <row r="58" spans="2:7" ht="13.5" thickTop="1">
      <c r="B58" s="39">
        <f t="shared" si="3"/>
        <v>53</v>
      </c>
    </row>
    <row r="59" spans="2:7">
      <c r="B59" s="39">
        <f t="shared" si="3"/>
        <v>54</v>
      </c>
      <c r="D59" s="316" t="s">
        <v>396</v>
      </c>
    </row>
    <row r="60" spans="2:7">
      <c r="D60" s="316" t="s">
        <v>397</v>
      </c>
    </row>
    <row r="115" spans="7:8">
      <c r="G115" s="38" t="s">
        <v>138</v>
      </c>
      <c r="H115" s="38">
        <f>+J184</f>
        <v>0</v>
      </c>
    </row>
    <row r="116" spans="7:8">
      <c r="H116" s="38">
        <f>+H115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8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0"/>
  <sheetViews>
    <sheetView zoomScaleNormal="100" workbookViewId="0">
      <selection activeCell="F23" sqref="F23"/>
    </sheetView>
  </sheetViews>
  <sheetFormatPr defaultColWidth="7.109375" defaultRowHeight="12.75"/>
  <cols>
    <col min="1" max="1" width="3.5546875" style="38" customWidth="1"/>
    <col min="2" max="2" width="1.77734375" style="38" customWidth="1"/>
    <col min="3" max="3" width="43.5546875" style="41" customWidth="1"/>
    <col min="4" max="4" width="10.88671875" style="38" customWidth="1"/>
    <col min="5" max="5" width="9.44140625" style="38" customWidth="1"/>
    <col min="6" max="6" width="11.33203125" style="38" customWidth="1"/>
    <col min="7" max="8" width="7.109375" style="38"/>
    <col min="9" max="9" width="10.77734375" style="38" bestFit="1" customWidth="1"/>
    <col min="10" max="16384" width="7.109375" style="38"/>
  </cols>
  <sheetData>
    <row r="1" spans="1:6">
      <c r="F1" s="38" t="s">
        <v>352</v>
      </c>
    </row>
    <row r="2" spans="1:6" ht="40.5" customHeight="1">
      <c r="A2" s="339" t="s">
        <v>351</v>
      </c>
      <c r="B2" s="340"/>
      <c r="C2" s="340"/>
      <c r="D2" s="340"/>
      <c r="E2" s="340"/>
      <c r="F2" s="340"/>
    </row>
    <row r="3" spans="1:6">
      <c r="A3" s="86" t="s">
        <v>135</v>
      </c>
      <c r="B3" s="39"/>
      <c r="C3" s="39"/>
    </row>
    <row r="4" spans="1:6">
      <c r="A4" s="87" t="s">
        <v>136</v>
      </c>
      <c r="B4" s="39"/>
      <c r="C4" s="39"/>
    </row>
    <row r="5" spans="1:6" ht="15.75">
      <c r="A5" s="39">
        <v>1</v>
      </c>
      <c r="B5" s="342" t="s">
        <v>384</v>
      </c>
      <c r="C5" s="342"/>
      <c r="D5" s="342"/>
      <c r="E5" s="342"/>
      <c r="F5" s="342"/>
    </row>
    <row r="6" spans="1:6" ht="15.75">
      <c r="A6" s="39">
        <v>2</v>
      </c>
      <c r="B6" s="207"/>
      <c r="C6" s="207"/>
      <c r="D6" s="207"/>
      <c r="E6" s="207"/>
    </row>
    <row r="7" spans="1:6">
      <c r="A7" s="39">
        <v>3</v>
      </c>
      <c r="C7" s="206" t="s">
        <v>338</v>
      </c>
      <c r="D7" s="206" t="s">
        <v>350</v>
      </c>
      <c r="E7" s="206" t="s">
        <v>349</v>
      </c>
      <c r="F7" s="206" t="s">
        <v>348</v>
      </c>
    </row>
    <row r="8" spans="1:6" ht="38.25">
      <c r="A8" s="39">
        <v>4</v>
      </c>
      <c r="B8" s="40" t="s">
        <v>347</v>
      </c>
      <c r="E8" s="202" t="s">
        <v>346</v>
      </c>
      <c r="F8" s="205" t="s">
        <v>345</v>
      </c>
    </row>
    <row r="9" spans="1:6">
      <c r="A9" s="39">
        <v>5</v>
      </c>
      <c r="C9" s="198">
        <v>43800</v>
      </c>
      <c r="D9" s="47">
        <v>0</v>
      </c>
      <c r="E9" s="204">
        <v>12</v>
      </c>
      <c r="F9" s="186">
        <f t="shared" ref="F9:F21" si="0">(+D9*E9)/12</f>
        <v>0</v>
      </c>
    </row>
    <row r="10" spans="1:6">
      <c r="A10" s="39">
        <v>6</v>
      </c>
      <c r="C10" s="198">
        <v>43831</v>
      </c>
      <c r="D10" s="47"/>
      <c r="E10" s="204">
        <v>11.5</v>
      </c>
      <c r="F10" s="186">
        <f t="shared" si="0"/>
        <v>0</v>
      </c>
    </row>
    <row r="11" spans="1:6">
      <c r="A11" s="39">
        <v>7</v>
      </c>
      <c r="C11" s="198">
        <v>43862</v>
      </c>
      <c r="D11" s="47"/>
      <c r="E11" s="204">
        <v>10.5</v>
      </c>
      <c r="F11" s="186">
        <f t="shared" si="0"/>
        <v>0</v>
      </c>
    </row>
    <row r="12" spans="1:6">
      <c r="A12" s="39">
        <v>8</v>
      </c>
      <c r="C12" s="198">
        <v>43891</v>
      </c>
      <c r="D12" s="47"/>
      <c r="E12" s="204">
        <v>9.5</v>
      </c>
      <c r="F12" s="186">
        <f t="shared" si="0"/>
        <v>0</v>
      </c>
    </row>
    <row r="13" spans="1:6">
      <c r="A13" s="39">
        <v>9</v>
      </c>
      <c r="C13" s="198">
        <v>43922</v>
      </c>
      <c r="D13" s="47"/>
      <c r="E13" s="204">
        <v>8.5</v>
      </c>
      <c r="F13" s="186">
        <f t="shared" si="0"/>
        <v>0</v>
      </c>
    </row>
    <row r="14" spans="1:6">
      <c r="A14" s="39">
        <v>10</v>
      </c>
      <c r="C14" s="198">
        <v>43952</v>
      </c>
      <c r="D14" s="47">
        <v>8509066.1099999994</v>
      </c>
      <c r="E14" s="204">
        <v>7.5</v>
      </c>
      <c r="F14" s="186">
        <f t="shared" si="0"/>
        <v>5318166.3187499996</v>
      </c>
    </row>
    <row r="15" spans="1:6">
      <c r="A15" s="39">
        <v>11</v>
      </c>
      <c r="C15" s="198">
        <v>43983</v>
      </c>
      <c r="D15" s="47">
        <v>0</v>
      </c>
      <c r="E15" s="204">
        <v>6.5</v>
      </c>
      <c r="F15" s="186">
        <f t="shared" si="0"/>
        <v>0</v>
      </c>
    </row>
    <row r="16" spans="1:6">
      <c r="A16" s="39">
        <v>12</v>
      </c>
      <c r="C16" s="198">
        <v>44013</v>
      </c>
      <c r="D16" s="47"/>
      <c r="E16" s="204">
        <v>5.5</v>
      </c>
      <c r="F16" s="186">
        <f t="shared" si="0"/>
        <v>0</v>
      </c>
    </row>
    <row r="17" spans="1:9">
      <c r="A17" s="39">
        <v>13</v>
      </c>
      <c r="C17" s="198">
        <v>44044</v>
      </c>
      <c r="D17" s="47"/>
      <c r="E17" s="204">
        <v>4.5</v>
      </c>
      <c r="F17" s="186">
        <f t="shared" si="0"/>
        <v>0</v>
      </c>
    </row>
    <row r="18" spans="1:9">
      <c r="A18" s="39">
        <v>14</v>
      </c>
      <c r="C18" s="198">
        <v>44075</v>
      </c>
      <c r="D18" s="47"/>
      <c r="E18" s="204">
        <v>3.5</v>
      </c>
      <c r="F18" s="186">
        <f t="shared" si="0"/>
        <v>0</v>
      </c>
    </row>
    <row r="19" spans="1:9">
      <c r="A19" s="39">
        <v>15</v>
      </c>
      <c r="C19" s="198">
        <v>44105</v>
      </c>
      <c r="D19" s="47"/>
      <c r="E19" s="204">
        <v>2.5</v>
      </c>
      <c r="F19" s="186">
        <f t="shared" si="0"/>
        <v>0</v>
      </c>
    </row>
    <row r="20" spans="1:9">
      <c r="A20" s="39">
        <v>16</v>
      </c>
      <c r="C20" s="198">
        <v>44136</v>
      </c>
      <c r="D20" s="47"/>
      <c r="E20" s="204">
        <v>1.5</v>
      </c>
      <c r="F20" s="186">
        <f t="shared" si="0"/>
        <v>0</v>
      </c>
    </row>
    <row r="21" spans="1:9">
      <c r="A21" s="39">
        <v>17</v>
      </c>
      <c r="C21" s="198">
        <v>44166</v>
      </c>
      <c r="D21" s="47">
        <v>3244340.77</v>
      </c>
      <c r="E21" s="204">
        <v>0.5</v>
      </c>
      <c r="F21" s="186">
        <f t="shared" si="0"/>
        <v>135180.86541666667</v>
      </c>
      <c r="I21" s="186"/>
    </row>
    <row r="22" spans="1:9">
      <c r="A22" s="39">
        <v>18</v>
      </c>
      <c r="D22" s="203"/>
      <c r="F22" s="203"/>
    </row>
    <row r="23" spans="1:9">
      <c r="A23" s="39">
        <v>19</v>
      </c>
      <c r="B23" s="40"/>
      <c r="D23" s="189">
        <f>SUM(D9:D22)</f>
        <v>11753406.879999999</v>
      </c>
      <c r="F23" s="189">
        <f>SUM(F9:F22)</f>
        <v>5453347.1841666661</v>
      </c>
    </row>
    <row r="24" spans="1:9">
      <c r="A24" s="39">
        <v>20</v>
      </c>
    </row>
    <row r="25" spans="1:9">
      <c r="A25" s="39">
        <v>21</v>
      </c>
      <c r="C25" s="42" t="s">
        <v>339</v>
      </c>
      <c r="D25" s="42"/>
      <c r="E25" s="42"/>
      <c r="F25" s="196">
        <f>'BHP WP2 Capital Additions'!F21</f>
        <v>2.3199999999999998E-2</v>
      </c>
    </row>
    <row r="26" spans="1:9">
      <c r="A26" s="39">
        <v>22</v>
      </c>
      <c r="C26" s="42"/>
      <c r="D26" s="42"/>
      <c r="E26" s="42"/>
      <c r="F26" s="192"/>
    </row>
    <row r="27" spans="1:9" ht="13.5" thickBot="1">
      <c r="A27" s="39">
        <v>23</v>
      </c>
      <c r="C27" s="42" t="s">
        <v>344</v>
      </c>
      <c r="D27" s="42"/>
      <c r="E27" s="42"/>
      <c r="F27" s="195">
        <f>+F23*F25</f>
        <v>126517.65467266664</v>
      </c>
    </row>
    <row r="28" spans="1:9" ht="13.5" thickTop="1">
      <c r="A28" s="39">
        <v>24</v>
      </c>
    </row>
    <row r="29" spans="1:9">
      <c r="A29" s="39">
        <v>25</v>
      </c>
      <c r="C29" s="316" t="s">
        <v>395</v>
      </c>
    </row>
    <row r="30" spans="1:9" ht="12.75" customHeight="1">
      <c r="A30" s="39">
        <v>26</v>
      </c>
      <c r="C30" s="316" t="s">
        <v>399</v>
      </c>
      <c r="D30" s="316"/>
      <c r="E30" s="316"/>
    </row>
    <row r="31" spans="1:9">
      <c r="A31" s="39">
        <v>27</v>
      </c>
    </row>
    <row r="32" spans="1:9">
      <c r="A32" s="39"/>
    </row>
    <row r="33" spans="1:1">
      <c r="A33" s="39"/>
    </row>
    <row r="34" spans="1:1">
      <c r="A34" s="39"/>
    </row>
    <row r="35" spans="1:1">
      <c r="A35" s="39"/>
    </row>
    <row r="36" spans="1:1">
      <c r="A36" s="39"/>
    </row>
    <row r="37" spans="1:1">
      <c r="A37" s="39"/>
    </row>
    <row r="38" spans="1:1">
      <c r="A38" s="39"/>
    </row>
    <row r="109" spans="6:7">
      <c r="F109" s="38" t="s">
        <v>138</v>
      </c>
      <c r="G109" s="38">
        <f>+I178</f>
        <v>0</v>
      </c>
    </row>
    <row r="110" spans="6:7">
      <c r="G110" s="38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92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2:I38"/>
  <sheetViews>
    <sheetView topLeftCell="A7" zoomScaleNormal="100" workbookViewId="0">
      <selection activeCell="H35" sqref="H35"/>
    </sheetView>
  </sheetViews>
  <sheetFormatPr defaultColWidth="7.109375" defaultRowHeight="12.75"/>
  <cols>
    <col min="1" max="1" width="10.21875" style="38" customWidth="1"/>
    <col min="2" max="2" width="3.5546875" style="38" customWidth="1"/>
    <col min="3" max="4" width="1.77734375" style="38" customWidth="1"/>
    <col min="5" max="5" width="4" style="38" customWidth="1"/>
    <col min="6" max="6" width="24.21875" style="38" customWidth="1"/>
    <col min="7" max="7" width="1.88671875" style="38" customWidth="1"/>
    <col min="8" max="8" width="8.21875" style="41" customWidth="1"/>
    <col min="9" max="9" width="8.21875" style="38" customWidth="1"/>
    <col min="10" max="16384" width="7.109375" style="38"/>
  </cols>
  <sheetData>
    <row r="2" spans="1:9">
      <c r="I2" s="38" t="s">
        <v>362</v>
      </c>
    </row>
    <row r="3" spans="1:9" ht="40.5" customHeight="1">
      <c r="B3" s="339" t="s">
        <v>363</v>
      </c>
      <c r="C3" s="340"/>
      <c r="D3" s="340"/>
      <c r="E3" s="340"/>
      <c r="F3" s="340"/>
      <c r="G3" s="340"/>
      <c r="H3" s="340"/>
    </row>
    <row r="7" spans="1:9">
      <c r="F7" s="101"/>
    </row>
    <row r="8" spans="1:9">
      <c r="A8" s="340"/>
      <c r="B8" s="340"/>
      <c r="C8" s="340"/>
      <c r="D8" s="340"/>
      <c r="E8" s="340"/>
      <c r="F8" s="340"/>
      <c r="G8" s="340"/>
      <c r="H8" s="340"/>
    </row>
    <row r="9" spans="1:9">
      <c r="B9" s="86" t="s">
        <v>135</v>
      </c>
      <c r="H9" s="170" t="s">
        <v>320</v>
      </c>
    </row>
    <row r="10" spans="1:9">
      <c r="B10" s="87" t="s">
        <v>136</v>
      </c>
      <c r="D10" s="98" t="s">
        <v>255</v>
      </c>
      <c r="E10" s="98"/>
      <c r="F10" s="98"/>
      <c r="H10" s="99" t="s">
        <v>122</v>
      </c>
    </row>
    <row r="11" spans="1:9">
      <c r="B11" s="39">
        <v>1</v>
      </c>
    </row>
    <row r="12" spans="1:9">
      <c r="B12" s="39">
        <v>2</v>
      </c>
      <c r="D12" s="40" t="s">
        <v>77</v>
      </c>
      <c r="E12" s="40"/>
    </row>
    <row r="13" spans="1:9">
      <c r="B13" s="39">
        <v>3</v>
      </c>
    </row>
    <row r="14" spans="1:9">
      <c r="B14" s="39">
        <v>4</v>
      </c>
      <c r="E14" s="38">
        <v>350</v>
      </c>
      <c r="F14" s="42" t="s">
        <v>256</v>
      </c>
      <c r="H14" s="171">
        <v>0</v>
      </c>
    </row>
    <row r="15" spans="1:9">
      <c r="B15" s="39">
        <v>5</v>
      </c>
      <c r="E15" s="38">
        <v>352</v>
      </c>
      <c r="F15" s="42" t="s">
        <v>257</v>
      </c>
      <c r="H15" s="171">
        <v>2.3900000000000001E-2</v>
      </c>
    </row>
    <row r="16" spans="1:9">
      <c r="B16" s="39">
        <v>6</v>
      </c>
      <c r="E16" s="38">
        <v>353</v>
      </c>
      <c r="F16" s="42" t="s">
        <v>258</v>
      </c>
      <c r="H16" s="171">
        <v>2.6599999999999999E-2</v>
      </c>
    </row>
    <row r="17" spans="2:8">
      <c r="B17" s="39">
        <v>7</v>
      </c>
      <c r="E17" s="38">
        <v>354</v>
      </c>
      <c r="F17" s="42" t="s">
        <v>259</v>
      </c>
      <c r="H17" s="171">
        <v>2.0400000000000001E-2</v>
      </c>
    </row>
    <row r="18" spans="2:8">
      <c r="B18" s="39">
        <v>8</v>
      </c>
      <c r="E18" s="38">
        <v>355</v>
      </c>
      <c r="F18" s="42" t="s">
        <v>260</v>
      </c>
      <c r="H18" s="171">
        <v>2.2200000000000001E-2</v>
      </c>
    </row>
    <row r="19" spans="2:8">
      <c r="B19" s="39">
        <v>9</v>
      </c>
      <c r="E19" s="38">
        <v>356</v>
      </c>
      <c r="F19" s="42" t="s">
        <v>261</v>
      </c>
      <c r="H19" s="171">
        <v>2.0400000000000001E-2</v>
      </c>
    </row>
    <row r="20" spans="2:8">
      <c r="B20" s="39">
        <v>10</v>
      </c>
      <c r="E20" s="38">
        <v>359</v>
      </c>
      <c r="F20" s="42" t="s">
        <v>262</v>
      </c>
      <c r="H20" s="171">
        <v>1.95E-2</v>
      </c>
    </row>
    <row r="21" spans="2:8">
      <c r="B21" s="39">
        <v>11</v>
      </c>
      <c r="F21" s="42" t="s">
        <v>4</v>
      </c>
      <c r="H21" s="171">
        <v>2.3199999999999998E-2</v>
      </c>
    </row>
    <row r="22" spans="2:8">
      <c r="B22" s="39">
        <v>12</v>
      </c>
      <c r="H22" s="171"/>
    </row>
    <row r="23" spans="2:8">
      <c r="B23" s="39">
        <v>13</v>
      </c>
      <c r="D23" s="40" t="s">
        <v>66</v>
      </c>
      <c r="H23" s="171"/>
    </row>
    <row r="24" spans="2:8">
      <c r="B24" s="39">
        <v>14</v>
      </c>
      <c r="H24" s="171"/>
    </row>
    <row r="25" spans="2:8">
      <c r="B25" s="39">
        <v>15</v>
      </c>
      <c r="E25" s="38">
        <v>389</v>
      </c>
      <c r="F25" s="156" t="s">
        <v>256</v>
      </c>
      <c r="H25" s="171">
        <v>0</v>
      </c>
    </row>
    <row r="26" spans="2:8">
      <c r="B26" s="39">
        <v>16</v>
      </c>
      <c r="E26" s="38">
        <v>390</v>
      </c>
      <c r="F26" s="42" t="s">
        <v>257</v>
      </c>
      <c r="H26" s="171">
        <v>4.7300000000000002E-2</v>
      </c>
    </row>
    <row r="27" spans="2:8">
      <c r="B27" s="39">
        <v>17</v>
      </c>
      <c r="E27" s="38">
        <v>391</v>
      </c>
      <c r="F27" s="42" t="s">
        <v>263</v>
      </c>
      <c r="H27" s="171">
        <v>0.1056</v>
      </c>
    </row>
    <row r="28" spans="2:8">
      <c r="B28" s="39">
        <v>18</v>
      </c>
      <c r="E28" s="38">
        <v>392</v>
      </c>
      <c r="F28" s="42" t="s">
        <v>264</v>
      </c>
      <c r="H28" s="171">
        <v>9.06E-2</v>
      </c>
    </row>
    <row r="29" spans="2:8">
      <c r="B29" s="39">
        <v>19</v>
      </c>
      <c r="E29" s="38">
        <v>393</v>
      </c>
      <c r="F29" s="42" t="s">
        <v>265</v>
      </c>
      <c r="H29" s="171">
        <v>4.2299999999999997E-2</v>
      </c>
    </row>
    <row r="30" spans="2:8">
      <c r="B30" s="39">
        <v>20</v>
      </c>
      <c r="E30" s="38">
        <v>394</v>
      </c>
      <c r="F30" s="42" t="s">
        <v>12</v>
      </c>
      <c r="H30" s="171">
        <v>4.2299999999999997E-2</v>
      </c>
    </row>
    <row r="31" spans="2:8">
      <c r="B31" s="39">
        <v>21</v>
      </c>
      <c r="E31" s="38">
        <v>395</v>
      </c>
      <c r="F31" s="42" t="s">
        <v>266</v>
      </c>
      <c r="H31" s="171">
        <v>3.0599999999999999E-2</v>
      </c>
    </row>
    <row r="32" spans="2:8">
      <c r="B32" s="39">
        <v>22</v>
      </c>
      <c r="E32" s="38">
        <v>396</v>
      </c>
      <c r="F32" s="42" t="s">
        <v>267</v>
      </c>
      <c r="H32" s="171">
        <v>4.2299999999999997E-2</v>
      </c>
    </row>
    <row r="33" spans="2:8">
      <c r="B33" s="39">
        <v>23</v>
      </c>
      <c r="E33" s="38">
        <v>397</v>
      </c>
      <c r="F33" s="42" t="s">
        <v>268</v>
      </c>
      <c r="H33" s="171">
        <v>4.3900000000000002E-2</v>
      </c>
    </row>
    <row r="34" spans="2:8">
      <c r="B34" s="39">
        <v>24</v>
      </c>
      <c r="E34" s="38">
        <v>398</v>
      </c>
      <c r="F34" s="42" t="s">
        <v>269</v>
      </c>
      <c r="H34" s="171">
        <v>5.8099999999999999E-2</v>
      </c>
    </row>
    <row r="35" spans="2:8">
      <c r="B35" s="169">
        <v>25</v>
      </c>
      <c r="C35" s="46"/>
      <c r="D35" s="46"/>
      <c r="E35" s="46"/>
      <c r="F35" s="105" t="s">
        <v>11</v>
      </c>
      <c r="G35" s="46"/>
      <c r="H35" s="171">
        <v>6.5299999999999997E-2</v>
      </c>
    </row>
    <row r="36" spans="2:8">
      <c r="B36" s="39">
        <v>26</v>
      </c>
    </row>
    <row r="37" spans="2:8">
      <c r="B37" s="39">
        <v>27</v>
      </c>
      <c r="D37" s="42" t="s">
        <v>389</v>
      </c>
      <c r="E37" s="100"/>
      <c r="F37" s="42"/>
    </row>
    <row r="38" spans="2:8">
      <c r="F38" s="42"/>
    </row>
  </sheetData>
  <mergeCells count="2">
    <mergeCell ref="A8:H8"/>
    <mergeCell ref="B3:H3"/>
  </mergeCells>
  <phoneticPr fontId="14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BQ67"/>
  <sheetViews>
    <sheetView topLeftCell="A15" zoomScale="70" zoomScaleNormal="70" zoomScaleSheetLayoutView="85" workbookViewId="0">
      <selection activeCell="G64" sqref="G64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3.33203125" customWidth="1"/>
    <col min="5" max="5" width="15.21875" customWidth="1"/>
    <col min="6" max="12" width="15.88671875" customWidth="1"/>
    <col min="13" max="13" width="14.33203125" bestFit="1" customWidth="1"/>
    <col min="14" max="18" width="15.88671875" customWidth="1"/>
    <col min="20" max="20" width="10.33203125" bestFit="1" customWidth="1"/>
    <col min="21" max="21" width="12.88671875" bestFit="1" customWidth="1"/>
  </cols>
  <sheetData>
    <row r="2" spans="1:69" ht="15.75">
      <c r="A2" s="6"/>
      <c r="B2" s="6"/>
      <c r="C2" s="6"/>
      <c r="D2" s="109"/>
      <c r="E2" s="20"/>
      <c r="F2" s="6"/>
      <c r="G2" s="6"/>
      <c r="H2" s="6"/>
      <c r="I2" s="164"/>
      <c r="J2" s="6"/>
      <c r="K2" s="6"/>
      <c r="L2" s="6"/>
      <c r="O2" s="1"/>
      <c r="R2" s="165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</row>
    <row r="3" spans="1:6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</row>
    <row r="4" spans="1:69" ht="15" customHeight="1">
      <c r="A4" s="343" t="s">
        <v>238</v>
      </c>
      <c r="B4" s="343"/>
      <c r="C4" s="343"/>
      <c r="D4" s="343"/>
      <c r="E4" s="343"/>
      <c r="F4" s="343"/>
      <c r="G4" s="343"/>
      <c r="H4" s="343"/>
      <c r="I4" s="343"/>
      <c r="J4" s="343" t="s">
        <v>238</v>
      </c>
      <c r="K4" s="343"/>
      <c r="L4" s="343"/>
      <c r="M4" s="343"/>
      <c r="N4" s="343"/>
      <c r="O4" s="343"/>
      <c r="P4" s="343"/>
      <c r="Q4" s="343"/>
      <c r="R4" s="343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</row>
    <row r="5" spans="1:69" ht="15.75">
      <c r="A5" s="344" t="s">
        <v>134</v>
      </c>
      <c r="B5" s="344"/>
      <c r="C5" s="344"/>
      <c r="D5" s="344"/>
      <c r="E5" s="344"/>
      <c r="F5" s="344"/>
      <c r="G5" s="344"/>
      <c r="H5" s="344"/>
      <c r="I5" s="344"/>
      <c r="J5" s="344" t="s">
        <v>134</v>
      </c>
      <c r="K5" s="344"/>
      <c r="L5" s="344"/>
      <c r="M5" s="344"/>
      <c r="N5" s="344"/>
      <c r="O5" s="344"/>
      <c r="P5" s="344"/>
      <c r="Q5" s="344"/>
      <c r="R5" s="344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</row>
    <row r="6" spans="1:69">
      <c r="A6" s="6"/>
      <c r="B6" s="6"/>
      <c r="C6" s="1"/>
      <c r="D6" s="1"/>
      <c r="F6" s="1"/>
      <c r="G6" s="1"/>
      <c r="H6" s="1"/>
      <c r="I6" s="38" t="s">
        <v>354</v>
      </c>
      <c r="J6" s="6"/>
      <c r="K6" s="6"/>
      <c r="L6" s="1"/>
      <c r="M6" s="1"/>
      <c r="O6" s="1"/>
      <c r="P6" s="1"/>
      <c r="Q6" s="1"/>
      <c r="R6" s="1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</row>
    <row r="7" spans="1:69" ht="15" customHeight="1">
      <c r="A7" s="345" t="s">
        <v>237</v>
      </c>
      <c r="B7" s="345"/>
      <c r="C7" s="345"/>
      <c r="D7" s="345"/>
      <c r="E7" s="345"/>
      <c r="F7" s="345"/>
      <c r="G7" s="345"/>
      <c r="H7" s="345"/>
      <c r="I7" s="345"/>
      <c r="J7" s="345" t="s">
        <v>237</v>
      </c>
      <c r="K7" s="345"/>
      <c r="L7" s="345"/>
      <c r="M7" s="345"/>
      <c r="N7" s="345"/>
      <c r="O7" s="345"/>
      <c r="P7" s="345"/>
      <c r="Q7" s="345"/>
      <c r="R7" s="345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</row>
    <row r="8" spans="1:69">
      <c r="A8" s="13"/>
      <c r="B8" s="6"/>
      <c r="C8" s="1"/>
      <c r="D8" s="1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</row>
    <row r="9" spans="1:69">
      <c r="A9" s="6"/>
      <c r="B9" s="6"/>
      <c r="C9" s="3"/>
      <c r="D9" s="3"/>
      <c r="E9" s="3"/>
      <c r="F9" s="4"/>
      <c r="G9" s="4"/>
      <c r="H9" s="4"/>
      <c r="I9" s="4"/>
      <c r="J9" s="4"/>
      <c r="K9" s="4"/>
      <c r="L9" s="3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</row>
    <row r="10" spans="1:69" ht="15.75">
      <c r="A10" s="6"/>
      <c r="B10" s="6"/>
      <c r="C10" s="2"/>
      <c r="D10" s="10" t="s">
        <v>144</v>
      </c>
      <c r="E10" s="4"/>
      <c r="F10" s="4"/>
      <c r="G10" s="4"/>
      <c r="H10" s="4"/>
      <c r="I10" s="4"/>
      <c r="J10" s="4"/>
      <c r="K10" s="4"/>
      <c r="L10" s="3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</row>
    <row r="11" spans="1:69" ht="15.75">
      <c r="A11" s="13" t="s">
        <v>135</v>
      </c>
      <c r="B11" s="6"/>
      <c r="C11" s="2"/>
      <c r="D11" s="17" t="s">
        <v>146</v>
      </c>
      <c r="E11" s="14" t="s">
        <v>147</v>
      </c>
      <c r="F11" s="18"/>
      <c r="G11" s="18"/>
      <c r="H11" s="18"/>
      <c r="I11" s="18"/>
      <c r="J11" s="18"/>
      <c r="K11" s="18"/>
      <c r="L11" s="3"/>
      <c r="O11" s="110"/>
      <c r="P11" s="110"/>
      <c r="Q11" s="12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</row>
    <row r="12" spans="1:69" ht="16.5" thickBot="1">
      <c r="A12" s="16" t="s">
        <v>136</v>
      </c>
      <c r="B12" s="6"/>
      <c r="C12" s="7" t="s">
        <v>149</v>
      </c>
      <c r="D12" s="4"/>
      <c r="E12" s="5" t="s">
        <v>15</v>
      </c>
      <c r="F12" s="5" t="s">
        <v>16</v>
      </c>
      <c r="G12" s="5" t="s">
        <v>17</v>
      </c>
      <c r="H12" s="5" t="s">
        <v>18</v>
      </c>
      <c r="I12" s="5" t="s">
        <v>19</v>
      </c>
      <c r="J12" s="5" t="s">
        <v>20</v>
      </c>
      <c r="K12" s="5" t="s">
        <v>21</v>
      </c>
      <c r="L12" s="5" t="s">
        <v>22</v>
      </c>
      <c r="M12" s="5" t="s">
        <v>109</v>
      </c>
      <c r="N12" s="5" t="s">
        <v>23</v>
      </c>
      <c r="O12" s="5" t="s">
        <v>24</v>
      </c>
      <c r="P12" s="5" t="s">
        <v>25</v>
      </c>
      <c r="Q12" s="5" t="s">
        <v>26</v>
      </c>
      <c r="R12" s="5" t="s">
        <v>27</v>
      </c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69">
      <c r="A13" s="13"/>
      <c r="B13" s="6"/>
      <c r="C13" s="2"/>
      <c r="D13" s="4"/>
      <c r="E13" s="111">
        <v>43070</v>
      </c>
      <c r="F13" s="111">
        <v>43101</v>
      </c>
      <c r="G13" s="111">
        <v>43132</v>
      </c>
      <c r="H13" s="111">
        <v>43160</v>
      </c>
      <c r="I13" s="111">
        <v>43191</v>
      </c>
      <c r="J13" s="111">
        <v>43221</v>
      </c>
      <c r="K13" s="111">
        <v>43252</v>
      </c>
      <c r="L13" s="111">
        <v>43282</v>
      </c>
      <c r="M13" s="111">
        <v>43313</v>
      </c>
      <c r="N13" s="111">
        <v>43344</v>
      </c>
      <c r="O13" s="111">
        <v>43374</v>
      </c>
      <c r="P13" s="111">
        <v>43405</v>
      </c>
      <c r="Q13" s="111">
        <v>43435</v>
      </c>
      <c r="R13" s="72" t="s">
        <v>14</v>
      </c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</row>
    <row r="14" spans="1:69">
      <c r="A14" s="13"/>
      <c r="B14" s="6"/>
      <c r="C14" s="2" t="s">
        <v>30</v>
      </c>
      <c r="D14" s="4" t="s">
        <v>317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S14" s="4"/>
      <c r="T14" s="4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</row>
    <row r="15" spans="1:69">
      <c r="A15" s="13">
        <v>1</v>
      </c>
      <c r="B15" s="6"/>
      <c r="C15" s="2" t="s">
        <v>151</v>
      </c>
      <c r="D15" s="4" t="s">
        <v>39</v>
      </c>
      <c r="E15" s="85">
        <v>590861691.45999992</v>
      </c>
      <c r="F15" s="85">
        <v>590019815.55999994</v>
      </c>
      <c r="G15" s="85">
        <v>589543322.11999977</v>
      </c>
      <c r="H15" s="85">
        <v>588515864.55999994</v>
      </c>
      <c r="I15" s="85">
        <v>588572330.98999989</v>
      </c>
      <c r="J15" s="85">
        <v>588628672.4799999</v>
      </c>
      <c r="K15" s="85">
        <v>588579650.86999989</v>
      </c>
      <c r="L15" s="85">
        <v>588551287.80000007</v>
      </c>
      <c r="M15" s="85">
        <v>588855745.14999998</v>
      </c>
      <c r="N15" s="85">
        <v>589467357.98999989</v>
      </c>
      <c r="O15" s="85">
        <v>590098276.30999994</v>
      </c>
      <c r="P15" s="85">
        <v>590178275.27999997</v>
      </c>
      <c r="Q15" s="85">
        <v>592246803</v>
      </c>
      <c r="R15" s="85">
        <f t="shared" ref="R15:R21" si="0">AVERAGE(E15:Q15)</f>
        <v>589547622.58230758</v>
      </c>
      <c r="S15" s="4"/>
      <c r="T15" s="6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</row>
    <row r="16" spans="1:69">
      <c r="A16" s="13">
        <f t="shared" ref="A16:A65" si="1">+A15+1</f>
        <v>2</v>
      </c>
      <c r="B16" s="6"/>
      <c r="C16" s="2" t="s">
        <v>153</v>
      </c>
      <c r="D16" s="4" t="s">
        <v>84</v>
      </c>
      <c r="E16" s="85">
        <v>184727231.40999997</v>
      </c>
      <c r="F16" s="85">
        <v>185137078.32999998</v>
      </c>
      <c r="G16" s="85">
        <v>185151722.07999998</v>
      </c>
      <c r="H16" s="85">
        <v>185357707.90000001</v>
      </c>
      <c r="I16" s="85">
        <v>185232380.15000004</v>
      </c>
      <c r="J16" s="85">
        <v>185242163.49000001</v>
      </c>
      <c r="K16" s="85">
        <v>185274552.94999999</v>
      </c>
      <c r="L16" s="85">
        <v>198405948.00999999</v>
      </c>
      <c r="M16" s="85">
        <v>198359982.47000003</v>
      </c>
      <c r="N16" s="85">
        <v>198565872.95000002</v>
      </c>
      <c r="O16" s="85">
        <v>198482563.38000005</v>
      </c>
      <c r="P16" s="85">
        <v>207960577.84999999</v>
      </c>
      <c r="Q16" s="85">
        <v>208155662</v>
      </c>
      <c r="R16" s="85">
        <f t="shared" si="0"/>
        <v>192773341.7669231</v>
      </c>
      <c r="S16" s="4"/>
      <c r="T16" s="6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</row>
    <row r="17" spans="1:69">
      <c r="A17" s="13">
        <f t="shared" si="1"/>
        <v>3</v>
      </c>
      <c r="B17" s="6"/>
      <c r="C17" s="2" t="s">
        <v>154</v>
      </c>
      <c r="D17" s="4" t="s">
        <v>85</v>
      </c>
      <c r="E17" s="85">
        <v>376277441.11000001</v>
      </c>
      <c r="F17" s="85">
        <v>376661124.24000013</v>
      </c>
      <c r="G17" s="85">
        <v>377590898.83000016</v>
      </c>
      <c r="H17" s="85">
        <v>379087010.51000005</v>
      </c>
      <c r="I17" s="85">
        <v>379810806.70000011</v>
      </c>
      <c r="J17" s="85">
        <v>380310306.8300001</v>
      </c>
      <c r="K17" s="85">
        <v>382595006.60999984</v>
      </c>
      <c r="L17" s="85">
        <v>383397121.93000001</v>
      </c>
      <c r="M17" s="85">
        <v>385866658.5000003</v>
      </c>
      <c r="N17" s="85">
        <v>388538630.20000017</v>
      </c>
      <c r="O17" s="85">
        <v>390374637.11000025</v>
      </c>
      <c r="P17" s="85">
        <v>393636018.78000003</v>
      </c>
      <c r="Q17" s="85">
        <v>394674921</v>
      </c>
      <c r="R17" s="85">
        <f t="shared" si="0"/>
        <v>383755429.41153848</v>
      </c>
      <c r="S17" s="4"/>
      <c r="T17" s="6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</row>
    <row r="18" spans="1:69">
      <c r="A18" s="13">
        <f t="shared" si="1"/>
        <v>4</v>
      </c>
      <c r="B18" s="6"/>
      <c r="C18" s="220" t="s">
        <v>155</v>
      </c>
      <c r="D18" s="15" t="s">
        <v>313</v>
      </c>
      <c r="E18" s="85">
        <v>44141667.160000026</v>
      </c>
      <c r="F18" s="85">
        <v>38334423.270000011</v>
      </c>
      <c r="G18" s="85">
        <v>38343453.420000039</v>
      </c>
      <c r="H18" s="85">
        <v>38305502.739999987</v>
      </c>
      <c r="I18" s="85">
        <v>38369248.199999996</v>
      </c>
      <c r="J18" s="85">
        <v>38443631.540000014</v>
      </c>
      <c r="K18" s="85">
        <v>38227754.190000005</v>
      </c>
      <c r="L18" s="85">
        <v>38229525.100000016</v>
      </c>
      <c r="M18" s="85">
        <v>38747518.160000004</v>
      </c>
      <c r="N18" s="85">
        <v>39086304.51000002</v>
      </c>
      <c r="O18" s="85">
        <v>39389883.249999985</v>
      </c>
      <c r="P18" s="85">
        <v>40037523.990000002</v>
      </c>
      <c r="Q18" s="85">
        <v>42832155.160000019</v>
      </c>
      <c r="R18" s="85">
        <f t="shared" si="0"/>
        <v>39422199.28384617</v>
      </c>
      <c r="S18" s="4"/>
      <c r="T18" s="6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</row>
    <row r="19" spans="1:69">
      <c r="A19" s="13">
        <f t="shared" si="1"/>
        <v>5</v>
      </c>
      <c r="B19" s="6"/>
      <c r="C19" s="2" t="s">
        <v>101</v>
      </c>
      <c r="D19" s="4" t="s">
        <v>329</v>
      </c>
      <c r="E19" s="85">
        <v>31425945.649999999</v>
      </c>
      <c r="F19" s="85">
        <v>31329479</v>
      </c>
      <c r="G19" s="85">
        <v>31406728</v>
      </c>
      <c r="H19" s="85">
        <v>31799533</v>
      </c>
      <c r="I19" s="85">
        <v>31389632</v>
      </c>
      <c r="J19" s="85">
        <v>31688252</v>
      </c>
      <c r="K19" s="85">
        <v>31444702</v>
      </c>
      <c r="L19" s="85">
        <v>32305730</v>
      </c>
      <c r="M19" s="85">
        <v>30860716</v>
      </c>
      <c r="N19" s="85">
        <v>29757288</v>
      </c>
      <c r="O19" s="85">
        <v>28288531</v>
      </c>
      <c r="P19" s="85">
        <v>28223976</v>
      </c>
      <c r="Q19" s="85">
        <f>11165791+18155963</f>
        <v>29321754</v>
      </c>
      <c r="R19" s="85">
        <f t="shared" si="0"/>
        <v>30710943.588461537</v>
      </c>
      <c r="S19" s="4"/>
      <c r="T19" s="6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</row>
    <row r="20" spans="1:69">
      <c r="A20" s="13">
        <f t="shared" si="1"/>
        <v>6</v>
      </c>
      <c r="B20" s="6"/>
      <c r="C20" s="2" t="s">
        <v>68</v>
      </c>
      <c r="D20" s="4" t="s">
        <v>67</v>
      </c>
      <c r="E20" s="85">
        <v>7058966.879999999</v>
      </c>
      <c r="F20" s="85">
        <v>7616453.8299999991</v>
      </c>
      <c r="G20" s="85">
        <v>7618591.8999999994</v>
      </c>
      <c r="H20" s="85">
        <v>7617838.8499999996</v>
      </c>
      <c r="I20" s="85">
        <v>7618083.959999999</v>
      </c>
      <c r="J20" s="85">
        <v>7620555.5399999991</v>
      </c>
      <c r="K20" s="85">
        <v>7610687.8699999992</v>
      </c>
      <c r="L20" s="85">
        <v>7880432.4799999995</v>
      </c>
      <c r="M20" s="85">
        <v>7878232.2899999991</v>
      </c>
      <c r="N20" s="85">
        <v>7877890.7999999989</v>
      </c>
      <c r="O20" s="85">
        <v>7877890.7999999989</v>
      </c>
      <c r="P20" s="85">
        <v>7921110.1200000001</v>
      </c>
      <c r="Q20" s="85">
        <v>7921110</v>
      </c>
      <c r="R20" s="85">
        <f t="shared" si="0"/>
        <v>7701372.7169230767</v>
      </c>
      <c r="S20" s="4"/>
      <c r="T20" s="6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</row>
    <row r="21" spans="1:69">
      <c r="A21" s="13">
        <f t="shared" si="1"/>
        <v>7</v>
      </c>
      <c r="B21" s="6"/>
      <c r="C21" s="2" t="s">
        <v>157</v>
      </c>
      <c r="D21" s="4" t="s">
        <v>158</v>
      </c>
      <c r="E21" s="85">
        <v>0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>
        <v>0</v>
      </c>
      <c r="R21" s="85">
        <f t="shared" si="0"/>
        <v>0</v>
      </c>
      <c r="S21" s="4"/>
      <c r="T21" s="6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</row>
    <row r="22" spans="1:69">
      <c r="A22" s="13">
        <f t="shared" si="1"/>
        <v>8</v>
      </c>
      <c r="B22" s="6"/>
      <c r="C22" s="12" t="s">
        <v>5</v>
      </c>
      <c r="D22" s="4" t="str">
        <f>"(sum lines "&amp;A15&amp;" - "&amp;A21&amp;")"</f>
        <v>(sum lines 1 - 7)</v>
      </c>
      <c r="E22" s="112">
        <f>SUM(E15:E21)</f>
        <v>1234492943.6700003</v>
      </c>
      <c r="F22" s="112">
        <f>SUM(F15:F21)</f>
        <v>1229098374.23</v>
      </c>
      <c r="G22" s="112">
        <f t="shared" ref="G22:R22" si="2">SUM(G15:G21)</f>
        <v>1229654716.3500001</v>
      </c>
      <c r="H22" s="112">
        <f t="shared" si="2"/>
        <v>1230683457.5599999</v>
      </c>
      <c r="I22" s="112">
        <f t="shared" si="2"/>
        <v>1230992482</v>
      </c>
      <c r="J22" s="112">
        <f t="shared" si="2"/>
        <v>1231933581.8799999</v>
      </c>
      <c r="K22" s="112">
        <f t="shared" si="2"/>
        <v>1233732354.4899998</v>
      </c>
      <c r="L22" s="112">
        <f t="shared" si="2"/>
        <v>1248770045.3199999</v>
      </c>
      <c r="M22" s="112">
        <f t="shared" si="2"/>
        <v>1250568852.5700004</v>
      </c>
      <c r="N22" s="112">
        <f t="shared" si="2"/>
        <v>1253293344.45</v>
      </c>
      <c r="O22" s="112">
        <f t="shared" si="2"/>
        <v>1254511781.8500001</v>
      </c>
      <c r="P22" s="112">
        <f t="shared" si="2"/>
        <v>1267957482.02</v>
      </c>
      <c r="Q22" s="112">
        <f t="shared" si="2"/>
        <v>1275152405.1600001</v>
      </c>
      <c r="R22" s="112">
        <f t="shared" si="2"/>
        <v>1243910909.3499999</v>
      </c>
      <c r="S22" s="4"/>
      <c r="T22" s="11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</row>
    <row r="23" spans="1:69">
      <c r="A23" s="13">
        <f t="shared" si="1"/>
        <v>9</v>
      </c>
      <c r="B23" s="6"/>
      <c r="C23" s="2"/>
      <c r="D23" s="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4"/>
      <c r="T23" s="4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</row>
    <row r="24" spans="1:69">
      <c r="A24" s="13">
        <f t="shared" si="1"/>
        <v>10</v>
      </c>
      <c r="B24" s="6"/>
      <c r="C24" s="2" t="s">
        <v>31</v>
      </c>
      <c r="D24" s="4" t="s">
        <v>317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4"/>
      <c r="T24" s="4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</row>
    <row r="25" spans="1:69">
      <c r="A25" s="13">
        <f t="shared" si="1"/>
        <v>11</v>
      </c>
      <c r="B25" s="6"/>
      <c r="C25" s="2" t="str">
        <f>+C15</f>
        <v xml:space="preserve">  Production</v>
      </c>
      <c r="D25" s="4" t="s">
        <v>314</v>
      </c>
      <c r="E25" s="85">
        <v>190308275.31008568</v>
      </c>
      <c r="F25" s="85">
        <v>190956047.51105112</v>
      </c>
      <c r="G25" s="85">
        <v>191867819.68860266</v>
      </c>
      <c r="H25" s="85">
        <v>192316204.64247727</v>
      </c>
      <c r="I25" s="85">
        <v>192701907.6477952</v>
      </c>
      <c r="J25" s="85">
        <v>193150582.68840253</v>
      </c>
      <c r="K25" s="85">
        <v>194493325.5108605</v>
      </c>
      <c r="L25" s="85">
        <v>195860311.0600377</v>
      </c>
      <c r="M25" s="85">
        <v>197196019.29319263</v>
      </c>
      <c r="N25" s="85">
        <v>198354506.7238239</v>
      </c>
      <c r="O25" s="85">
        <v>199680669.64534965</v>
      </c>
      <c r="P25" s="85">
        <v>200923046.72423679</v>
      </c>
      <c r="Q25" s="85">
        <f>144651531+57635250</f>
        <v>202286781</v>
      </c>
      <c r="R25" s="85">
        <f t="shared" ref="R25:R31" si="3">AVERAGE(E25:Q25)</f>
        <v>195391961.34199351</v>
      </c>
      <c r="S25" s="4"/>
      <c r="T25" s="4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</row>
    <row r="26" spans="1:69">
      <c r="A26" s="13">
        <f t="shared" si="1"/>
        <v>12</v>
      </c>
      <c r="B26" s="6"/>
      <c r="C26" s="2" t="s">
        <v>153</v>
      </c>
      <c r="D26" s="4" t="s">
        <v>86</v>
      </c>
      <c r="E26" s="85">
        <v>43694317.812616833</v>
      </c>
      <c r="F26" s="85">
        <v>44021316.903654873</v>
      </c>
      <c r="G26" s="85">
        <v>44335698.609153129</v>
      </c>
      <c r="H26" s="85">
        <v>44643097.991596259</v>
      </c>
      <c r="I26" s="85">
        <v>45028669.460721269</v>
      </c>
      <c r="J26" s="85">
        <v>45367420.754334979</v>
      </c>
      <c r="K26" s="85">
        <v>45708803.092400201</v>
      </c>
      <c r="L26" s="85">
        <v>46005470.176557012</v>
      </c>
      <c r="M26" s="85">
        <v>46219361.537181139</v>
      </c>
      <c r="N26" s="85">
        <v>46590991.852520026</v>
      </c>
      <c r="O26" s="85">
        <v>46949892.025496669</v>
      </c>
      <c r="P26" s="85">
        <v>47342714.562738881</v>
      </c>
      <c r="Q26" s="323">
        <v>47705701.420000002</v>
      </c>
      <c r="R26" s="85">
        <f t="shared" si="3"/>
        <v>45662573.553767011</v>
      </c>
      <c r="S26" s="4"/>
      <c r="T26" s="4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</row>
    <row r="27" spans="1:69">
      <c r="A27" s="13">
        <f t="shared" si="1"/>
        <v>13</v>
      </c>
      <c r="B27" s="6"/>
      <c r="C27" s="2" t="s">
        <v>154</v>
      </c>
      <c r="D27" s="4" t="s">
        <v>87</v>
      </c>
      <c r="E27" s="85">
        <v>133804900.12065056</v>
      </c>
      <c r="F27" s="85">
        <v>134473807.40301153</v>
      </c>
      <c r="G27" s="85">
        <v>135160208.94387707</v>
      </c>
      <c r="H27" s="85">
        <v>135804396.77811816</v>
      </c>
      <c r="I27" s="85">
        <v>136739982.74018726</v>
      </c>
      <c r="J27" s="85">
        <v>137422230.98519814</v>
      </c>
      <c r="K27" s="85">
        <v>138028866.91409019</v>
      </c>
      <c r="L27" s="85">
        <v>138584827.42038071</v>
      </c>
      <c r="M27" s="85">
        <v>139319337.40327412</v>
      </c>
      <c r="N27" s="85">
        <v>140073478.55382833</v>
      </c>
      <c r="O27" s="85">
        <v>140792918.62416914</v>
      </c>
      <c r="P27" s="85">
        <v>141254359.88081011</v>
      </c>
      <c r="Q27" s="323">
        <v>141957768.58000001</v>
      </c>
      <c r="R27" s="85">
        <f>AVERAGE(E27:Q27)</f>
        <v>137955160.3344304</v>
      </c>
      <c r="S27" s="4"/>
      <c r="T27" s="4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</row>
    <row r="28" spans="1:69">
      <c r="A28" s="13">
        <f t="shared" si="1"/>
        <v>14</v>
      </c>
      <c r="B28" s="6"/>
      <c r="C28" s="220" t="str">
        <f>+C18</f>
        <v xml:space="preserve">  General &amp; Intangible</v>
      </c>
      <c r="D28" s="15" t="s">
        <v>330</v>
      </c>
      <c r="E28" s="85">
        <v>17944744.736646902</v>
      </c>
      <c r="F28" s="85">
        <v>17446453.91736982</v>
      </c>
      <c r="G28" s="85">
        <v>17542753.179069623</v>
      </c>
      <c r="H28" s="85">
        <v>17578739.815689102</v>
      </c>
      <c r="I28" s="85">
        <v>17686576.681872834</v>
      </c>
      <c r="J28" s="85">
        <v>17795898.066605091</v>
      </c>
      <c r="K28" s="85">
        <v>17670944.696190093</v>
      </c>
      <c r="L28" s="85">
        <v>17716989.216611594</v>
      </c>
      <c r="M28" s="85">
        <v>17946927.189431105</v>
      </c>
      <c r="N28" s="85">
        <v>17973806.511934586</v>
      </c>
      <c r="O28" s="85">
        <v>18069474.801516704</v>
      </c>
      <c r="P28" s="85">
        <v>18183513.50272388</v>
      </c>
      <c r="Q28" s="85">
        <v>18229100.984651692</v>
      </c>
      <c r="R28" s="85">
        <f t="shared" si="3"/>
        <v>17829686.407716386</v>
      </c>
      <c r="S28" s="4"/>
      <c r="T28" s="4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</row>
    <row r="29" spans="1:69">
      <c r="A29" s="13">
        <f t="shared" si="1"/>
        <v>15</v>
      </c>
      <c r="B29" s="6"/>
      <c r="C29" s="220" t="s">
        <v>101</v>
      </c>
      <c r="D29" s="15" t="s">
        <v>331</v>
      </c>
      <c r="E29" s="85">
        <v>15571481.040000001</v>
      </c>
      <c r="F29" s="85">
        <v>15701938</v>
      </c>
      <c r="G29" s="85">
        <v>15895803</v>
      </c>
      <c r="H29" s="85">
        <v>15924193</v>
      </c>
      <c r="I29" s="85">
        <v>15441747</v>
      </c>
      <c r="J29" s="85">
        <v>15726808</v>
      </c>
      <c r="K29" s="85">
        <v>15844192</v>
      </c>
      <c r="L29" s="85">
        <v>15221600</v>
      </c>
      <c r="M29" s="85">
        <v>15204912</v>
      </c>
      <c r="N29" s="85">
        <v>15090060</v>
      </c>
      <c r="O29" s="85">
        <v>13653278</v>
      </c>
      <c r="P29" s="85">
        <v>13844495</v>
      </c>
      <c r="Q29" s="85">
        <f>5557061+8070228</f>
        <v>13627289</v>
      </c>
      <c r="R29" s="85">
        <f t="shared" si="3"/>
        <v>15134445.849230768</v>
      </c>
      <c r="S29" s="4"/>
      <c r="T29" s="4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</row>
    <row r="30" spans="1:69">
      <c r="A30" s="13">
        <f t="shared" si="1"/>
        <v>16</v>
      </c>
      <c r="B30" s="6"/>
      <c r="C30" s="220" t="str">
        <f>+C20</f>
        <v xml:space="preserve">  Communication System</v>
      </c>
      <c r="D30" s="15" t="s">
        <v>332</v>
      </c>
      <c r="E30" s="85">
        <v>2450694.38</v>
      </c>
      <c r="F30" s="85">
        <v>2484734.08</v>
      </c>
      <c r="G30" s="85">
        <v>2519939.67</v>
      </c>
      <c r="H30" s="85">
        <v>2555148.14</v>
      </c>
      <c r="I30" s="85">
        <v>2590355.5499999998</v>
      </c>
      <c r="J30" s="85">
        <v>2625568.62</v>
      </c>
      <c r="K30" s="85">
        <v>2650900.9700000002</v>
      </c>
      <c r="L30" s="85">
        <v>2678355.67</v>
      </c>
      <c r="M30" s="85">
        <v>2714706.11</v>
      </c>
      <c r="N30" s="85">
        <v>2751051.02</v>
      </c>
      <c r="O30" s="85">
        <v>2787395.19</v>
      </c>
      <c r="P30" s="85">
        <v>2823829.4000000004</v>
      </c>
      <c r="Q30" s="85">
        <v>2860353.6399999997</v>
      </c>
      <c r="R30" s="85">
        <f t="shared" si="3"/>
        <v>2653310.1876923074</v>
      </c>
      <c r="S30" s="4"/>
      <c r="T30" s="4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</row>
    <row r="31" spans="1:69">
      <c r="A31" s="13">
        <f t="shared" si="1"/>
        <v>17</v>
      </c>
      <c r="B31" s="6"/>
      <c r="C31" s="2" t="str">
        <f>+C21</f>
        <v xml:space="preserve">  Common</v>
      </c>
      <c r="D31" s="4" t="s">
        <v>158</v>
      </c>
      <c r="E31" s="85">
        <v>0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>
        <v>0</v>
      </c>
      <c r="R31" s="85">
        <f t="shared" si="3"/>
        <v>0</v>
      </c>
      <c r="S31" s="4"/>
      <c r="T31" s="4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</row>
    <row r="32" spans="1:69">
      <c r="A32" s="13">
        <f t="shared" si="1"/>
        <v>18</v>
      </c>
      <c r="B32" s="6"/>
      <c r="C32" s="2" t="s">
        <v>7</v>
      </c>
      <c r="D32" s="4" t="str">
        <f>"(sum lines "&amp;A25&amp;" - "&amp;A31&amp;")"</f>
        <v>(sum lines 11 - 17)</v>
      </c>
      <c r="E32" s="112">
        <f>SUM(E25:E31)</f>
        <v>403774413.39999998</v>
      </c>
      <c r="F32" s="112">
        <f t="shared" ref="F32:R32" si="4">SUM(F25:F31)</f>
        <v>405084297.81508738</v>
      </c>
      <c r="G32" s="112">
        <f t="shared" si="4"/>
        <v>407322223.09070247</v>
      </c>
      <c r="H32" s="112">
        <f t="shared" si="4"/>
        <v>408821780.36788076</v>
      </c>
      <c r="I32" s="112">
        <f t="shared" si="4"/>
        <v>410189239.0805766</v>
      </c>
      <c r="J32" s="112">
        <f t="shared" si="4"/>
        <v>412088509.11454076</v>
      </c>
      <c r="K32" s="112">
        <f t="shared" si="4"/>
        <v>414397033.18354106</v>
      </c>
      <c r="L32" s="112">
        <f t="shared" si="4"/>
        <v>416067553.54358703</v>
      </c>
      <c r="M32" s="112">
        <f t="shared" si="4"/>
        <v>418601263.53307903</v>
      </c>
      <c r="N32" s="112">
        <f t="shared" si="4"/>
        <v>420833894.66210681</v>
      </c>
      <c r="O32" s="112">
        <f>SUM(O25:O31)</f>
        <v>421933628.28653216</v>
      </c>
      <c r="P32" s="112">
        <f>SUM(P25:P31)</f>
        <v>424371959.07050961</v>
      </c>
      <c r="Q32" s="112">
        <f>SUM(Q25:Q31)</f>
        <v>426666994.62465167</v>
      </c>
      <c r="R32" s="112">
        <f t="shared" si="4"/>
        <v>414627137.67483038</v>
      </c>
      <c r="S32" s="4"/>
      <c r="T32" s="127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</row>
    <row r="33" spans="1:69">
      <c r="A33" s="13">
        <f t="shared" si="1"/>
        <v>19</v>
      </c>
      <c r="B33" s="6"/>
      <c r="C33" s="6"/>
      <c r="D33" s="4" t="s">
        <v>133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4"/>
      <c r="T33" s="4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</row>
    <row r="34" spans="1:69">
      <c r="A34" s="13">
        <f t="shared" si="1"/>
        <v>20</v>
      </c>
      <c r="B34" s="6"/>
      <c r="C34" s="2" t="s">
        <v>161</v>
      </c>
      <c r="D34" s="4" t="s">
        <v>317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4"/>
      <c r="T34" s="4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</row>
    <row r="35" spans="1:69">
      <c r="A35" s="13">
        <f t="shared" si="1"/>
        <v>21</v>
      </c>
      <c r="B35" s="6"/>
      <c r="C35" s="2" t="str">
        <f>+C25</f>
        <v xml:space="preserve">  Production</v>
      </c>
      <c r="D35" s="4" t="str">
        <f t="shared" ref="D35:D41" si="5">"(line "&amp;A15&amp;" - line "&amp;A25&amp;")"</f>
        <v>(line 1 - line 11)</v>
      </c>
      <c r="E35" s="85">
        <f t="shared" ref="E35:E41" si="6">+E15-E25</f>
        <v>400553416.14991426</v>
      </c>
      <c r="F35" s="85">
        <f t="shared" ref="F35:Q35" si="7">+F15-F25</f>
        <v>399063768.04894882</v>
      </c>
      <c r="G35" s="85">
        <f t="shared" si="7"/>
        <v>397675502.43139708</v>
      </c>
      <c r="H35" s="85">
        <f t="shared" si="7"/>
        <v>396199659.91752267</v>
      </c>
      <c r="I35" s="85">
        <f t="shared" si="7"/>
        <v>395870423.34220469</v>
      </c>
      <c r="J35" s="85">
        <f t="shared" si="7"/>
        <v>395478089.79159737</v>
      </c>
      <c r="K35" s="85">
        <f t="shared" si="7"/>
        <v>394086325.35913938</v>
      </c>
      <c r="L35" s="85">
        <f t="shared" si="7"/>
        <v>392690976.73996234</v>
      </c>
      <c r="M35" s="85">
        <f t="shared" si="7"/>
        <v>391659725.85680735</v>
      </c>
      <c r="N35" s="85">
        <f t="shared" si="7"/>
        <v>391112851.26617599</v>
      </c>
      <c r="O35" s="85">
        <f t="shared" si="7"/>
        <v>390417606.66465032</v>
      </c>
      <c r="P35" s="85">
        <f t="shared" si="7"/>
        <v>389255228.55576319</v>
      </c>
      <c r="Q35" s="85">
        <f t="shared" si="7"/>
        <v>389960022</v>
      </c>
      <c r="R35" s="85">
        <f>R15-R25</f>
        <v>394155661.24031407</v>
      </c>
      <c r="S35" s="4"/>
      <c r="T35" s="4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</row>
    <row r="36" spans="1:69">
      <c r="A36" s="13">
        <f t="shared" si="1"/>
        <v>22</v>
      </c>
      <c r="B36" s="6"/>
      <c r="C36" s="2" t="s">
        <v>153</v>
      </c>
      <c r="D36" s="4" t="str">
        <f t="shared" si="5"/>
        <v>(line 2 - line 12)</v>
      </c>
      <c r="E36" s="85">
        <f t="shared" si="6"/>
        <v>141032913.59738314</v>
      </c>
      <c r="F36" s="85">
        <f t="shared" ref="F36:Q41" si="8">+F16-F26</f>
        <v>141115761.42634511</v>
      </c>
      <c r="G36" s="85">
        <f t="shared" si="8"/>
        <v>140816023.47084686</v>
      </c>
      <c r="H36" s="85">
        <f t="shared" si="8"/>
        <v>140714609.90840375</v>
      </c>
      <c r="I36" s="85">
        <f t="shared" si="8"/>
        <v>140203710.68927878</v>
      </c>
      <c r="J36" s="85">
        <f t="shared" si="8"/>
        <v>139874742.73566502</v>
      </c>
      <c r="K36" s="85">
        <f t="shared" si="8"/>
        <v>139565749.85759979</v>
      </c>
      <c r="L36" s="85">
        <f t="shared" si="8"/>
        <v>152400477.83344299</v>
      </c>
      <c r="M36" s="85">
        <f t="shared" si="8"/>
        <v>152140620.93281889</v>
      </c>
      <c r="N36" s="85">
        <f t="shared" si="8"/>
        <v>151974881.09748</v>
      </c>
      <c r="O36" s="85">
        <f t="shared" si="8"/>
        <v>151532671.35450339</v>
      </c>
      <c r="P36" s="85">
        <f t="shared" si="8"/>
        <v>160617863.28726113</v>
      </c>
      <c r="Q36" s="85">
        <f t="shared" si="8"/>
        <v>160449960.57999998</v>
      </c>
      <c r="R36" s="85">
        <f t="shared" ref="R36:R41" si="9">R16-R26</f>
        <v>147110768.2131561</v>
      </c>
      <c r="S36" s="4"/>
      <c r="T36" s="4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</row>
    <row r="37" spans="1:69">
      <c r="A37" s="13">
        <f t="shared" si="1"/>
        <v>23</v>
      </c>
      <c r="B37" s="6"/>
      <c r="C37" s="2" t="s">
        <v>234</v>
      </c>
      <c r="D37" s="4" t="str">
        <f t="shared" si="5"/>
        <v>(line 3 - line 13)</v>
      </c>
      <c r="E37" s="85">
        <f t="shared" si="6"/>
        <v>242472540.98934945</v>
      </c>
      <c r="F37" s="85">
        <f t="shared" si="8"/>
        <v>242187316.8369886</v>
      </c>
      <c r="G37" s="85">
        <f t="shared" si="8"/>
        <v>242430689.88612309</v>
      </c>
      <c r="H37" s="85">
        <f t="shared" si="8"/>
        <v>243282613.73188189</v>
      </c>
      <c r="I37" s="85">
        <f t="shared" si="8"/>
        <v>243070823.95981285</v>
      </c>
      <c r="J37" s="85">
        <f t="shared" si="8"/>
        <v>242888075.84480196</v>
      </c>
      <c r="K37" s="85">
        <f t="shared" si="8"/>
        <v>244566139.69590965</v>
      </c>
      <c r="L37" s="85">
        <f t="shared" si="8"/>
        <v>244812294.5096193</v>
      </c>
      <c r="M37" s="85">
        <f t="shared" si="8"/>
        <v>246547321.09672618</v>
      </c>
      <c r="N37" s="85">
        <f t="shared" si="8"/>
        <v>248465151.64617184</v>
      </c>
      <c r="O37" s="85">
        <f t="shared" si="8"/>
        <v>249581718.48583111</v>
      </c>
      <c r="P37" s="85">
        <f t="shared" si="8"/>
        <v>252381658.89918992</v>
      </c>
      <c r="Q37" s="85">
        <f t="shared" si="8"/>
        <v>252717152.41999999</v>
      </c>
      <c r="R37" s="85">
        <f t="shared" si="9"/>
        <v>245800269.07710809</v>
      </c>
      <c r="S37" s="4"/>
      <c r="T37" s="4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</row>
    <row r="38" spans="1:69">
      <c r="A38" s="13">
        <f t="shared" si="1"/>
        <v>24</v>
      </c>
      <c r="B38" s="6"/>
      <c r="C38" s="2" t="str">
        <f>+C28</f>
        <v xml:space="preserve">  General &amp; Intangible</v>
      </c>
      <c r="D38" s="4" t="str">
        <f t="shared" si="5"/>
        <v>(line 4 - line 14)</v>
      </c>
      <c r="E38" s="85">
        <f t="shared" si="6"/>
        <v>26196922.423353124</v>
      </c>
      <c r="F38" s="85">
        <f t="shared" si="8"/>
        <v>20887969.352630191</v>
      </c>
      <c r="G38" s="85">
        <f t="shared" si="8"/>
        <v>20800700.240930416</v>
      </c>
      <c r="H38" s="85">
        <f t="shared" si="8"/>
        <v>20726762.924310885</v>
      </c>
      <c r="I38" s="85">
        <f t="shared" si="8"/>
        <v>20682671.518127162</v>
      </c>
      <c r="J38" s="85">
        <f t="shared" si="8"/>
        <v>20647733.473394923</v>
      </c>
      <c r="K38" s="85">
        <f t="shared" si="8"/>
        <v>20556809.493809912</v>
      </c>
      <c r="L38" s="85">
        <f t="shared" si="8"/>
        <v>20512535.883388422</v>
      </c>
      <c r="M38" s="85">
        <f t="shared" si="8"/>
        <v>20800590.970568899</v>
      </c>
      <c r="N38" s="85">
        <f t="shared" si="8"/>
        <v>21112497.998065434</v>
      </c>
      <c r="O38" s="85">
        <f t="shared" si="8"/>
        <v>21320408.448483281</v>
      </c>
      <c r="P38" s="85">
        <f t="shared" si="8"/>
        <v>21854010.487276122</v>
      </c>
      <c r="Q38" s="85">
        <f t="shared" si="8"/>
        <v>24603054.175348327</v>
      </c>
      <c r="R38" s="85">
        <f t="shared" si="9"/>
        <v>21592512.876129784</v>
      </c>
      <c r="S38" s="4"/>
      <c r="T38" s="4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</row>
    <row r="39" spans="1:69">
      <c r="A39" s="13">
        <f t="shared" si="1"/>
        <v>25</v>
      </c>
      <c r="B39" s="6"/>
      <c r="C39" s="2" t="s">
        <v>101</v>
      </c>
      <c r="D39" s="4" t="str">
        <f t="shared" si="5"/>
        <v>(line 5 - line 15)</v>
      </c>
      <c r="E39" s="85">
        <f t="shared" si="6"/>
        <v>15854464.609999998</v>
      </c>
      <c r="F39" s="85">
        <f t="shared" si="8"/>
        <v>15627541</v>
      </c>
      <c r="G39" s="85">
        <f t="shared" si="8"/>
        <v>15510925</v>
      </c>
      <c r="H39" s="85">
        <f t="shared" si="8"/>
        <v>15875340</v>
      </c>
      <c r="I39" s="85">
        <f t="shared" si="8"/>
        <v>15947885</v>
      </c>
      <c r="J39" s="85">
        <f t="shared" si="8"/>
        <v>15961444</v>
      </c>
      <c r="K39" s="85">
        <f t="shared" si="8"/>
        <v>15600510</v>
      </c>
      <c r="L39" s="85">
        <f t="shared" si="8"/>
        <v>17084130</v>
      </c>
      <c r="M39" s="85">
        <f t="shared" si="8"/>
        <v>15655804</v>
      </c>
      <c r="N39" s="85">
        <f t="shared" si="8"/>
        <v>14667228</v>
      </c>
      <c r="O39" s="85">
        <f t="shared" si="8"/>
        <v>14635253</v>
      </c>
      <c r="P39" s="85">
        <f t="shared" si="8"/>
        <v>14379481</v>
      </c>
      <c r="Q39" s="85">
        <f t="shared" si="8"/>
        <v>15694465</v>
      </c>
      <c r="R39" s="85">
        <f t="shared" si="9"/>
        <v>15576497.739230769</v>
      </c>
      <c r="S39" s="4"/>
      <c r="T39" s="4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</row>
    <row r="40" spans="1:69">
      <c r="A40" s="13">
        <f t="shared" si="1"/>
        <v>26</v>
      </c>
      <c r="B40" s="6"/>
      <c r="C40" s="2" t="str">
        <f>+C30</f>
        <v xml:space="preserve">  Communication System</v>
      </c>
      <c r="D40" s="4" t="str">
        <f t="shared" si="5"/>
        <v>(line 6 - line 16)</v>
      </c>
      <c r="E40" s="85">
        <f t="shared" si="6"/>
        <v>4608272.4999999991</v>
      </c>
      <c r="F40" s="85">
        <f t="shared" si="8"/>
        <v>5131719.7499999991</v>
      </c>
      <c r="G40" s="85">
        <f t="shared" si="8"/>
        <v>5098652.2299999995</v>
      </c>
      <c r="H40" s="85">
        <f t="shared" si="8"/>
        <v>5062690.709999999</v>
      </c>
      <c r="I40" s="85">
        <f t="shared" si="8"/>
        <v>5027728.4099999992</v>
      </c>
      <c r="J40" s="85">
        <f t="shared" si="8"/>
        <v>4994986.919999999</v>
      </c>
      <c r="K40" s="85">
        <f t="shared" si="8"/>
        <v>4959786.8999999985</v>
      </c>
      <c r="L40" s="85">
        <f t="shared" si="8"/>
        <v>5202076.8099999996</v>
      </c>
      <c r="M40" s="85">
        <f t="shared" si="8"/>
        <v>5163526.18</v>
      </c>
      <c r="N40" s="85">
        <f t="shared" si="8"/>
        <v>5126839.7799999993</v>
      </c>
      <c r="O40" s="85">
        <f t="shared" si="8"/>
        <v>5090495.6099999994</v>
      </c>
      <c r="P40" s="85">
        <f t="shared" si="8"/>
        <v>5097280.72</v>
      </c>
      <c r="Q40" s="85">
        <f>+Q20-Q30</f>
        <v>5060756.3600000003</v>
      </c>
      <c r="R40" s="85">
        <f t="shared" si="9"/>
        <v>5048062.5292307697</v>
      </c>
      <c r="S40" s="4"/>
      <c r="T40" s="4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</row>
    <row r="41" spans="1:69">
      <c r="A41" s="13">
        <f t="shared" si="1"/>
        <v>27</v>
      </c>
      <c r="B41" s="6"/>
      <c r="C41" s="2" t="str">
        <f>+C31</f>
        <v xml:space="preserve">  Common</v>
      </c>
      <c r="D41" s="4" t="str">
        <f t="shared" si="5"/>
        <v>(line 7 - line 17)</v>
      </c>
      <c r="E41" s="85">
        <f t="shared" si="6"/>
        <v>0</v>
      </c>
      <c r="F41" s="85">
        <f t="shared" si="8"/>
        <v>0</v>
      </c>
      <c r="G41" s="85">
        <f t="shared" si="8"/>
        <v>0</v>
      </c>
      <c r="H41" s="85">
        <f t="shared" si="8"/>
        <v>0</v>
      </c>
      <c r="I41" s="85">
        <f t="shared" si="8"/>
        <v>0</v>
      </c>
      <c r="J41" s="85">
        <f t="shared" si="8"/>
        <v>0</v>
      </c>
      <c r="K41" s="85">
        <f t="shared" si="8"/>
        <v>0</v>
      </c>
      <c r="L41" s="85">
        <f t="shared" si="8"/>
        <v>0</v>
      </c>
      <c r="M41" s="85">
        <f t="shared" si="8"/>
        <v>0</v>
      </c>
      <c r="N41" s="85">
        <f t="shared" si="8"/>
        <v>0</v>
      </c>
      <c r="O41" s="85">
        <f t="shared" si="8"/>
        <v>0</v>
      </c>
      <c r="P41" s="85">
        <f t="shared" si="8"/>
        <v>0</v>
      </c>
      <c r="Q41" s="85">
        <f t="shared" si="8"/>
        <v>0</v>
      </c>
      <c r="R41" s="108">
        <f t="shared" si="9"/>
        <v>0</v>
      </c>
      <c r="S41" s="4"/>
      <c r="T41" s="4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</row>
    <row r="42" spans="1:69">
      <c r="A42" s="13">
        <f t="shared" si="1"/>
        <v>28</v>
      </c>
      <c r="B42" s="6"/>
      <c r="C42" s="2" t="s">
        <v>6</v>
      </c>
      <c r="D42" s="4" t="str">
        <f>"(sum lines "&amp;A35&amp;" - "&amp;A41&amp;")"</f>
        <v>(sum lines 21 - 27)</v>
      </c>
      <c r="E42" s="112">
        <f>SUM(E35:E41)</f>
        <v>830718530.26999998</v>
      </c>
      <c r="F42" s="113">
        <f t="shared" ref="F42:Q42" si="10">SUM(F35:F41)</f>
        <v>824014076.41491258</v>
      </c>
      <c r="G42" s="113">
        <f t="shared" si="10"/>
        <v>822332493.25929749</v>
      </c>
      <c r="H42" s="113">
        <f t="shared" si="10"/>
        <v>821861677.19211924</v>
      </c>
      <c r="I42" s="113">
        <f t="shared" si="10"/>
        <v>820803242.91942346</v>
      </c>
      <c r="J42" s="113">
        <f t="shared" si="10"/>
        <v>819845072.76545918</v>
      </c>
      <c r="K42" s="113">
        <f t="shared" si="10"/>
        <v>819335321.30645871</v>
      </c>
      <c r="L42" s="113">
        <f t="shared" si="10"/>
        <v>832702491.77641284</v>
      </c>
      <c r="M42" s="113">
        <f t="shared" si="10"/>
        <v>831967589.03692126</v>
      </c>
      <c r="N42" s="113">
        <f t="shared" si="10"/>
        <v>832459449.7878933</v>
      </c>
      <c r="O42" s="113">
        <f t="shared" si="10"/>
        <v>832578153.5634681</v>
      </c>
      <c r="P42" s="113">
        <f t="shared" si="10"/>
        <v>843585522.94949031</v>
      </c>
      <c r="Q42" s="113">
        <f t="shared" si="10"/>
        <v>848485410.53534818</v>
      </c>
      <c r="R42" s="113">
        <f>SUM(R35:R41)</f>
        <v>829283771.67516959</v>
      </c>
      <c r="S42" s="4"/>
      <c r="T42" s="74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</row>
    <row r="43" spans="1:69">
      <c r="A43" s="13"/>
      <c r="B43" s="6"/>
      <c r="C43" s="2"/>
      <c r="D43" s="4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4"/>
      <c r="T43" s="74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</row>
    <row r="44" spans="1:69">
      <c r="A44" s="13"/>
      <c r="B44" s="6"/>
      <c r="C44" s="2" t="s">
        <v>318</v>
      </c>
      <c r="D44" s="4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4"/>
      <c r="T44" s="74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</row>
    <row r="45" spans="1:69" ht="18">
      <c r="A45" s="13"/>
      <c r="B45" s="6"/>
      <c r="C45" s="123" t="s">
        <v>319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74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</row>
    <row r="46" spans="1:69">
      <c r="A46" s="13"/>
      <c r="B46" s="6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74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</row>
    <row r="47" spans="1:69" ht="23.25">
      <c r="A47" s="13"/>
      <c r="B47" s="6"/>
      <c r="C47" s="2"/>
      <c r="D47" s="4"/>
      <c r="E47" s="158" t="s">
        <v>385</v>
      </c>
      <c r="F47" s="15"/>
      <c r="G47" s="15"/>
      <c r="H47" s="1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74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</row>
    <row r="48" spans="1:69">
      <c r="A48" s="13">
        <f>+A42+1</f>
        <v>29</v>
      </c>
      <c r="B48" s="6"/>
      <c r="C48" s="6"/>
      <c r="D48" s="4"/>
      <c r="E48" s="159" t="s">
        <v>15</v>
      </c>
      <c r="F48" s="159" t="s">
        <v>16</v>
      </c>
      <c r="G48" s="159" t="s">
        <v>17</v>
      </c>
      <c r="H48" s="15"/>
      <c r="I48" s="4"/>
      <c r="J48" s="4"/>
      <c r="K48" s="4"/>
      <c r="L48" s="4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</row>
    <row r="49" spans="1:62">
      <c r="A49" s="13">
        <f t="shared" si="1"/>
        <v>30</v>
      </c>
      <c r="B49" s="6"/>
      <c r="C49" s="12" t="s">
        <v>393</v>
      </c>
      <c r="D49" s="4"/>
      <c r="E49" s="160">
        <v>43070</v>
      </c>
      <c r="F49" s="160">
        <v>43435</v>
      </c>
      <c r="G49" s="15" t="s">
        <v>29</v>
      </c>
      <c r="H49" s="15"/>
      <c r="I49" s="4"/>
      <c r="J49" s="4"/>
      <c r="K49" s="4"/>
      <c r="L49" s="4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</row>
    <row r="50" spans="1:62">
      <c r="A50" s="13">
        <f t="shared" si="1"/>
        <v>31</v>
      </c>
      <c r="B50" s="6"/>
      <c r="C50" s="2" t="s">
        <v>207</v>
      </c>
      <c r="D50" s="122" t="s">
        <v>307</v>
      </c>
      <c r="E50" s="85">
        <v>0</v>
      </c>
      <c r="F50" s="85">
        <v>0</v>
      </c>
      <c r="G50" s="85">
        <f t="shared" ref="G50:G55" si="11">(+E50+F50)/2</f>
        <v>0</v>
      </c>
      <c r="H50" s="15"/>
      <c r="I50" s="15"/>
      <c r="J50" s="15"/>
      <c r="K50" s="15"/>
      <c r="L50" s="8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</row>
    <row r="51" spans="1:62">
      <c r="A51" s="13">
        <f t="shared" si="1"/>
        <v>32</v>
      </c>
      <c r="B51" s="6"/>
      <c r="C51" s="2" t="s">
        <v>208</v>
      </c>
      <c r="D51" s="122" t="s">
        <v>308</v>
      </c>
      <c r="E51" s="323">
        <v>-118329580</v>
      </c>
      <c r="F51" s="323">
        <v>-122562026</v>
      </c>
      <c r="G51" s="85">
        <f t="shared" si="11"/>
        <v>-120445803</v>
      </c>
      <c r="H51" s="15"/>
      <c r="I51" s="4"/>
      <c r="J51" s="4"/>
      <c r="K51" s="4"/>
      <c r="L51" s="102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</row>
    <row r="52" spans="1:62">
      <c r="A52" s="13">
        <f t="shared" si="1"/>
        <v>33</v>
      </c>
      <c r="B52" s="6"/>
      <c r="C52" s="2" t="s">
        <v>209</v>
      </c>
      <c r="D52" s="122" t="s">
        <v>309</v>
      </c>
      <c r="E52" s="108">
        <v>-18129142</v>
      </c>
      <c r="F52" s="108">
        <v>-18552793</v>
      </c>
      <c r="G52" s="85">
        <f t="shared" si="11"/>
        <v>-18340967.5</v>
      </c>
      <c r="H52" s="15"/>
      <c r="I52" s="4"/>
      <c r="J52" s="4"/>
      <c r="K52" s="4"/>
      <c r="L52" s="8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</row>
    <row r="53" spans="1:62">
      <c r="A53" s="13">
        <f t="shared" si="1"/>
        <v>34</v>
      </c>
      <c r="B53" s="6"/>
      <c r="C53" s="2" t="s">
        <v>211</v>
      </c>
      <c r="D53" s="122" t="s">
        <v>310</v>
      </c>
      <c r="E53" s="108">
        <v>29587154</v>
      </c>
      <c r="F53" s="325">
        <v>30263670</v>
      </c>
      <c r="G53" s="85">
        <f t="shared" si="11"/>
        <v>29925412</v>
      </c>
      <c r="H53" s="15"/>
      <c r="I53" s="326"/>
      <c r="J53" s="326"/>
      <c r="K53" s="15"/>
      <c r="L53" s="8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</row>
    <row r="54" spans="1:62">
      <c r="A54" s="13">
        <f t="shared" si="1"/>
        <v>35</v>
      </c>
      <c r="B54" s="6"/>
      <c r="C54" s="6" t="s">
        <v>210</v>
      </c>
      <c r="D54" s="122" t="s">
        <v>311</v>
      </c>
      <c r="E54" s="108">
        <v>0</v>
      </c>
      <c r="F54" s="108">
        <v>0</v>
      </c>
      <c r="G54" s="85">
        <f t="shared" si="11"/>
        <v>0</v>
      </c>
      <c r="H54" s="318"/>
      <c r="I54" s="85"/>
      <c r="J54" s="85"/>
      <c r="K54" s="85"/>
      <c r="L54" s="317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</row>
    <row r="55" spans="1:62">
      <c r="A55" s="13">
        <f t="shared" si="1"/>
        <v>36</v>
      </c>
      <c r="B55" s="6"/>
      <c r="C55" s="2" t="s">
        <v>230</v>
      </c>
      <c r="D55" s="20" t="s">
        <v>387</v>
      </c>
      <c r="E55" s="324">
        <v>-93503001</v>
      </c>
      <c r="F55" s="324">
        <v>-96693540</v>
      </c>
      <c r="G55" s="161">
        <f t="shared" si="11"/>
        <v>-95098270.5</v>
      </c>
      <c r="H55" s="15"/>
      <c r="I55" s="15"/>
      <c r="J55" s="15"/>
      <c r="K55" s="163"/>
      <c r="L55" s="8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</row>
    <row r="56" spans="1:62">
      <c r="A56" s="13">
        <f t="shared" si="1"/>
        <v>37</v>
      </c>
      <c r="B56" s="6"/>
      <c r="C56" s="2" t="s">
        <v>8</v>
      </c>
      <c r="D56" s="4" t="str">
        <f>"(sum lines "&amp;A50&amp;" - "&amp;A55&amp;")"</f>
        <v>(sum lines 31 - 36)</v>
      </c>
      <c r="E56" s="85">
        <f>SUM(E50:E55)</f>
        <v>-200374569</v>
      </c>
      <c r="F56" s="85">
        <f>SUM(F50:F55)</f>
        <v>-207544689</v>
      </c>
      <c r="G56" s="85">
        <f>SUM(G50:G55)</f>
        <v>-203959629</v>
      </c>
      <c r="H56" s="15"/>
      <c r="I56" s="4"/>
      <c r="J56" s="4"/>
      <c r="K56" s="4"/>
      <c r="L56" s="73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</row>
    <row r="57" spans="1:62">
      <c r="A57" s="13">
        <f t="shared" si="1"/>
        <v>38</v>
      </c>
      <c r="B57" s="6"/>
      <c r="C57" s="6"/>
      <c r="D57" s="4"/>
      <c r="E57" s="85"/>
      <c r="F57" s="85"/>
      <c r="G57" s="85"/>
      <c r="H57" s="15"/>
      <c r="I57" s="4"/>
      <c r="J57" s="4"/>
      <c r="K57" s="4"/>
      <c r="L57" s="4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</row>
    <row r="58" spans="1:62">
      <c r="A58" s="13">
        <f t="shared" si="1"/>
        <v>39</v>
      </c>
      <c r="B58" s="6"/>
      <c r="C58" s="12" t="s">
        <v>168</v>
      </c>
      <c r="D58" s="4" t="s">
        <v>390</v>
      </c>
      <c r="E58" s="85"/>
      <c r="F58" s="85"/>
      <c r="G58" s="85">
        <f>(+E58+F58)/2</f>
        <v>0</v>
      </c>
      <c r="H58" s="15"/>
      <c r="I58" s="4"/>
      <c r="J58" s="4"/>
      <c r="K58" s="4"/>
      <c r="L58" s="103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</row>
    <row r="59" spans="1:62">
      <c r="A59" s="13">
        <f t="shared" si="1"/>
        <v>40</v>
      </c>
      <c r="B59" s="6"/>
      <c r="C59" s="2"/>
      <c r="D59" s="4"/>
      <c r="E59" s="85"/>
      <c r="F59" s="85"/>
      <c r="G59" s="85"/>
      <c r="H59" s="15"/>
      <c r="I59" s="4"/>
      <c r="J59" s="4"/>
      <c r="K59" s="4"/>
      <c r="L59" s="4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</row>
    <row r="60" spans="1:62">
      <c r="A60" s="13">
        <f t="shared" si="1"/>
        <v>41</v>
      </c>
      <c r="B60" s="6"/>
      <c r="C60" s="2" t="s">
        <v>391</v>
      </c>
      <c r="D60" s="4"/>
      <c r="E60" s="85"/>
      <c r="F60" s="85"/>
      <c r="G60" s="85"/>
      <c r="H60" s="15"/>
      <c r="I60" s="4"/>
      <c r="J60" s="4"/>
      <c r="K60" s="4"/>
      <c r="L60" s="4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</row>
    <row r="61" spans="1:62">
      <c r="A61" s="13">
        <f t="shared" si="1"/>
        <v>42</v>
      </c>
      <c r="B61" s="6"/>
      <c r="C61" s="2"/>
      <c r="D61" s="20"/>
      <c r="E61" s="85"/>
      <c r="F61" s="85"/>
      <c r="G61" s="85"/>
      <c r="H61" s="15"/>
      <c r="I61" s="4"/>
      <c r="J61" s="4"/>
      <c r="K61" s="4"/>
      <c r="L61" s="5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</row>
    <row r="62" spans="1:62">
      <c r="A62" s="13">
        <f t="shared" si="1"/>
        <v>43</v>
      </c>
      <c r="B62" s="6"/>
      <c r="C62" s="2" t="s">
        <v>271</v>
      </c>
      <c r="D62" s="4" t="s">
        <v>98</v>
      </c>
      <c r="E62" s="108">
        <v>4210110</v>
      </c>
      <c r="F62" s="108">
        <v>4426257</v>
      </c>
      <c r="G62" s="85">
        <f>(+E62+F62)/2</f>
        <v>4318183.5</v>
      </c>
      <c r="H62" s="15"/>
      <c r="I62" s="4"/>
      <c r="J62" s="4"/>
      <c r="K62" s="4"/>
      <c r="L62" s="5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</row>
    <row r="63" spans="1:62">
      <c r="A63" s="13">
        <f t="shared" si="1"/>
        <v>44</v>
      </c>
      <c r="B63" s="6"/>
      <c r="C63" s="2" t="s">
        <v>271</v>
      </c>
      <c r="D63" s="4" t="s">
        <v>97</v>
      </c>
      <c r="E63" s="108">
        <v>17641</v>
      </c>
      <c r="F63" s="108">
        <v>13114</v>
      </c>
      <c r="G63" s="85">
        <f>(+E63+F63)/2</f>
        <v>15377.5</v>
      </c>
      <c r="H63" s="15"/>
      <c r="I63" s="4"/>
      <c r="J63" s="4"/>
      <c r="K63" s="4"/>
      <c r="L63" s="5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</row>
    <row r="64" spans="1:62">
      <c r="A64" s="13">
        <f t="shared" si="1"/>
        <v>45</v>
      </c>
      <c r="B64" s="6"/>
      <c r="C64" s="2" t="s">
        <v>212</v>
      </c>
      <c r="D64" s="15" t="s">
        <v>40</v>
      </c>
      <c r="E64" s="108">
        <v>3496663.59</v>
      </c>
      <c r="F64" s="108">
        <v>3149219</v>
      </c>
      <c r="G64" s="85">
        <f>(+E64+F64)/2</f>
        <v>3322941.2949999999</v>
      </c>
      <c r="H64" s="15"/>
      <c r="I64" s="4"/>
      <c r="J64" s="4"/>
      <c r="K64" s="4"/>
      <c r="L64" s="5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</row>
    <row r="65" spans="1:62">
      <c r="A65" s="13">
        <f t="shared" si="1"/>
        <v>46</v>
      </c>
      <c r="B65" s="6"/>
      <c r="C65" s="2" t="s">
        <v>9</v>
      </c>
      <c r="D65" s="4" t="str">
        <f>"(sum lines "&amp;A61&amp;" - "&amp;A64&amp;")"</f>
        <v>(sum lines 42 - 45)</v>
      </c>
      <c r="E65" s="112">
        <f>SUM(E62:E64)</f>
        <v>7724414.5899999999</v>
      </c>
      <c r="F65" s="112">
        <f>SUM(F62:F64)</f>
        <v>7588590</v>
      </c>
      <c r="G65" s="112">
        <f>SUM(G62:G64)</f>
        <v>7656502.2949999999</v>
      </c>
      <c r="H65" s="162"/>
      <c r="I65" s="1"/>
      <c r="J65" s="1"/>
      <c r="K65" s="1"/>
      <c r="L65" s="73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</row>
    <row r="66" spans="1:62">
      <c r="E66" s="163"/>
      <c r="F66" s="163"/>
      <c r="G66" s="163"/>
      <c r="H66" s="163"/>
    </row>
    <row r="67" spans="1:62">
      <c r="E67" s="163"/>
      <c r="F67" s="163"/>
      <c r="G67" s="163"/>
      <c r="H67" s="163"/>
    </row>
  </sheetData>
  <mergeCells count="6">
    <mergeCell ref="A4:I4"/>
    <mergeCell ref="A5:I5"/>
    <mergeCell ref="A7:I7"/>
    <mergeCell ref="J4:R4"/>
    <mergeCell ref="J5:R5"/>
    <mergeCell ref="J7:R7"/>
  </mergeCells>
  <phoneticPr fontId="14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CC"/>
    <pageSetUpPr fitToPage="1"/>
  </sheetPr>
  <dimension ref="A1:L59"/>
  <sheetViews>
    <sheetView topLeftCell="A7" zoomScaleNormal="100" workbookViewId="0">
      <selection activeCell="J16" sqref="J16"/>
    </sheetView>
  </sheetViews>
  <sheetFormatPr defaultColWidth="7.109375" defaultRowHeight="12.75"/>
  <cols>
    <col min="1" max="1" width="4.77734375" style="50" customWidth="1"/>
    <col min="2" max="2" width="15.6640625" style="50" customWidth="1"/>
    <col min="3" max="3" width="7.109375" style="50" customWidth="1"/>
    <col min="4" max="4" width="8.77734375" style="50" customWidth="1"/>
    <col min="5" max="5" width="7.88671875" style="50" customWidth="1"/>
    <col min="6" max="6" width="7.6640625" style="50" customWidth="1"/>
    <col min="7" max="7" width="10.33203125" style="50" customWidth="1"/>
    <col min="8" max="8" width="13" style="50" customWidth="1"/>
    <col min="9" max="9" width="11.77734375" style="50" customWidth="1"/>
    <col min="10" max="10" width="11.5546875" style="50" bestFit="1" customWidth="1"/>
    <col min="11" max="11" width="8" style="50" customWidth="1"/>
    <col min="12" max="16384" width="7.109375" style="50"/>
  </cols>
  <sheetData>
    <row r="1" spans="1:11">
      <c r="K1" s="44"/>
    </row>
    <row r="2" spans="1:11">
      <c r="B2" s="22"/>
      <c r="C2" s="23"/>
      <c r="D2" s="23"/>
      <c r="E2" s="23"/>
      <c r="F2" s="23"/>
      <c r="G2" s="23"/>
      <c r="H2" s="23"/>
      <c r="J2" s="38" t="s">
        <v>353</v>
      </c>
    </row>
    <row r="3" spans="1:11" ht="15" customHeight="1">
      <c r="A3" s="333" t="s">
        <v>273</v>
      </c>
      <c r="B3" s="333"/>
      <c r="C3" s="333"/>
      <c r="D3" s="333"/>
      <c r="E3" s="333"/>
      <c r="F3" s="333"/>
      <c r="G3" s="333"/>
      <c r="H3" s="333"/>
      <c r="I3" s="333"/>
      <c r="J3" s="333"/>
    </row>
    <row r="4" spans="1:11" ht="15" customHeight="1">
      <c r="A4" s="333" t="s">
        <v>43</v>
      </c>
      <c r="B4" s="333"/>
      <c r="C4" s="333"/>
      <c r="D4" s="333"/>
      <c r="E4" s="333"/>
      <c r="F4" s="333"/>
      <c r="G4" s="333"/>
      <c r="H4" s="333"/>
      <c r="I4" s="333"/>
      <c r="J4" s="333"/>
    </row>
    <row r="5" spans="1:11">
      <c r="B5" s="22"/>
      <c r="C5" s="23"/>
      <c r="D5" s="45"/>
      <c r="E5" s="23"/>
      <c r="G5" s="23"/>
      <c r="H5" s="23"/>
      <c r="I5" s="23"/>
      <c r="J5" s="23"/>
    </row>
    <row r="6" spans="1:11" ht="18.75">
      <c r="A6" s="106" t="s">
        <v>135</v>
      </c>
      <c r="B6" s="22"/>
      <c r="C6" s="23"/>
      <c r="D6" s="346" t="s">
        <v>398</v>
      </c>
      <c r="E6" s="347"/>
      <c r="F6" s="347"/>
      <c r="G6" s="347"/>
      <c r="H6" s="348"/>
      <c r="I6" s="23"/>
      <c r="J6" s="23"/>
    </row>
    <row r="7" spans="1:11" ht="13.5" thickBot="1">
      <c r="A7" s="107" t="s">
        <v>136</v>
      </c>
    </row>
    <row r="8" spans="1:11" ht="15">
      <c r="A8" s="104">
        <v>1</v>
      </c>
      <c r="B8" s="48"/>
      <c r="C8" s="49"/>
      <c r="D8" s="88" t="s">
        <v>37</v>
      </c>
      <c r="E8" s="76" t="s">
        <v>60</v>
      </c>
      <c r="F8" s="76" t="s">
        <v>61</v>
      </c>
      <c r="G8" s="77" t="s">
        <v>62</v>
      </c>
      <c r="H8" s="88" t="s">
        <v>103</v>
      </c>
      <c r="I8" s="88" t="s">
        <v>1</v>
      </c>
      <c r="J8" s="76" t="s">
        <v>239</v>
      </c>
      <c r="K8"/>
    </row>
    <row r="9" spans="1:11" ht="15">
      <c r="A9" s="104">
        <f>A8+1</f>
        <v>2</v>
      </c>
      <c r="B9" s="51"/>
      <c r="C9" s="52"/>
      <c r="D9" s="78" t="s">
        <v>239</v>
      </c>
      <c r="E9" s="78" t="s">
        <v>239</v>
      </c>
      <c r="F9" s="78" t="s">
        <v>63</v>
      </c>
      <c r="G9" s="79" t="s">
        <v>64</v>
      </c>
      <c r="H9" s="80" t="s">
        <v>104</v>
      </c>
      <c r="I9" s="80" t="s">
        <v>2</v>
      </c>
      <c r="J9" s="80" t="s">
        <v>75</v>
      </c>
      <c r="K9"/>
    </row>
    <row r="10" spans="1:11" ht="15.75" thickBot="1">
      <c r="A10" s="104">
        <f t="shared" ref="A10:A47" si="0">A9+1</f>
        <v>3</v>
      </c>
      <c r="B10" s="53"/>
      <c r="C10" s="54"/>
      <c r="D10" s="81" t="s">
        <v>65</v>
      </c>
      <c r="E10" s="78" t="s">
        <v>65</v>
      </c>
      <c r="F10" s="81" t="s">
        <v>65</v>
      </c>
      <c r="G10" s="82" t="s">
        <v>65</v>
      </c>
      <c r="H10" s="89" t="s">
        <v>65</v>
      </c>
      <c r="I10" s="89" t="s">
        <v>65</v>
      </c>
      <c r="J10" s="80" t="s">
        <v>76</v>
      </c>
      <c r="K10"/>
    </row>
    <row r="11" spans="1:11" ht="15">
      <c r="A11" s="104">
        <f t="shared" si="0"/>
        <v>4</v>
      </c>
      <c r="B11" s="90" t="s">
        <v>113</v>
      </c>
      <c r="C11" s="91"/>
      <c r="D11" s="175">
        <v>305</v>
      </c>
      <c r="E11" s="166">
        <v>361</v>
      </c>
      <c r="F11" s="176">
        <v>2</v>
      </c>
      <c r="G11" s="166">
        <v>56</v>
      </c>
      <c r="H11" s="77">
        <v>260</v>
      </c>
      <c r="I11" s="175">
        <v>80</v>
      </c>
      <c r="J11" s="166">
        <f>SUM(D11:I11)</f>
        <v>1064</v>
      </c>
      <c r="K11"/>
    </row>
    <row r="12" spans="1:11" ht="15">
      <c r="A12" s="104">
        <f t="shared" si="0"/>
        <v>5</v>
      </c>
      <c r="B12" s="90" t="s">
        <v>124</v>
      </c>
      <c r="C12" s="92"/>
      <c r="D12" s="177">
        <v>279</v>
      </c>
      <c r="E12" s="167">
        <v>337</v>
      </c>
      <c r="F12" s="178">
        <v>3</v>
      </c>
      <c r="G12" s="167">
        <v>52</v>
      </c>
      <c r="H12" s="79">
        <v>260</v>
      </c>
      <c r="I12" s="177">
        <v>80</v>
      </c>
      <c r="J12" s="167">
        <f t="shared" ref="J12:J21" si="1">SUM(D12:I12)</f>
        <v>1011</v>
      </c>
      <c r="K12"/>
    </row>
    <row r="13" spans="1:11" ht="15">
      <c r="A13" s="104">
        <f t="shared" si="0"/>
        <v>6</v>
      </c>
      <c r="B13" s="90" t="s">
        <v>125</v>
      </c>
      <c r="C13" s="92"/>
      <c r="D13" s="177">
        <v>245</v>
      </c>
      <c r="E13" s="167">
        <v>334</v>
      </c>
      <c r="F13" s="178">
        <v>2</v>
      </c>
      <c r="G13" s="167">
        <v>42</v>
      </c>
      <c r="H13" s="79">
        <v>260</v>
      </c>
      <c r="I13" s="177">
        <v>80</v>
      </c>
      <c r="J13" s="167">
        <f t="shared" si="1"/>
        <v>963</v>
      </c>
      <c r="K13"/>
    </row>
    <row r="14" spans="1:11" ht="15">
      <c r="A14" s="104">
        <f t="shared" si="0"/>
        <v>7</v>
      </c>
      <c r="B14" s="90" t="s">
        <v>129</v>
      </c>
      <c r="C14" s="92"/>
      <c r="D14" s="177">
        <v>249</v>
      </c>
      <c r="E14" s="167">
        <v>302</v>
      </c>
      <c r="F14" s="178">
        <v>3</v>
      </c>
      <c r="G14" s="167">
        <v>43</v>
      </c>
      <c r="H14" s="79">
        <v>260</v>
      </c>
      <c r="I14" s="177">
        <v>80</v>
      </c>
      <c r="J14" s="167">
        <f t="shared" si="1"/>
        <v>937</v>
      </c>
      <c r="K14"/>
    </row>
    <row r="15" spans="1:11" ht="15">
      <c r="A15" s="104">
        <f t="shared" si="0"/>
        <v>8</v>
      </c>
      <c r="B15" s="90" t="s">
        <v>130</v>
      </c>
      <c r="C15" s="92"/>
      <c r="D15" s="177">
        <v>299</v>
      </c>
      <c r="E15" s="167">
        <v>241</v>
      </c>
      <c r="F15" s="178">
        <v>3</v>
      </c>
      <c r="G15" s="167">
        <v>50</v>
      </c>
      <c r="H15" s="79">
        <v>260</v>
      </c>
      <c r="I15" s="177">
        <v>80</v>
      </c>
      <c r="J15" s="167">
        <f t="shared" si="1"/>
        <v>933</v>
      </c>
      <c r="K15"/>
    </row>
    <row r="16" spans="1:11" ht="15">
      <c r="A16" s="104">
        <f t="shared" si="0"/>
        <v>9</v>
      </c>
      <c r="B16" s="90" t="s">
        <v>131</v>
      </c>
      <c r="C16" s="92"/>
      <c r="D16" s="177">
        <v>322</v>
      </c>
      <c r="E16" s="167">
        <v>265</v>
      </c>
      <c r="F16" s="178">
        <v>4</v>
      </c>
      <c r="G16" s="167">
        <v>69</v>
      </c>
      <c r="H16" s="79">
        <v>255</v>
      </c>
      <c r="I16" s="177">
        <v>80</v>
      </c>
      <c r="J16" s="167">
        <f t="shared" si="1"/>
        <v>995</v>
      </c>
      <c r="K16"/>
    </row>
    <row r="17" spans="1:12" ht="15">
      <c r="A17" s="104">
        <f t="shared" si="0"/>
        <v>10</v>
      </c>
      <c r="B17" s="90" t="s">
        <v>126</v>
      </c>
      <c r="C17" s="92"/>
      <c r="D17" s="177">
        <v>352</v>
      </c>
      <c r="E17" s="167">
        <v>250</v>
      </c>
      <c r="F17" s="178">
        <v>4</v>
      </c>
      <c r="G17" s="167">
        <v>74</v>
      </c>
      <c r="H17" s="79">
        <v>255</v>
      </c>
      <c r="I17" s="177">
        <v>80</v>
      </c>
      <c r="J17" s="167">
        <f t="shared" si="1"/>
        <v>1015</v>
      </c>
      <c r="K17"/>
    </row>
    <row r="18" spans="1:12" ht="15">
      <c r="A18" s="104">
        <f t="shared" si="0"/>
        <v>11</v>
      </c>
      <c r="B18" s="90" t="s">
        <v>110</v>
      </c>
      <c r="C18" s="92"/>
      <c r="D18" s="177">
        <v>325</v>
      </c>
      <c r="E18" s="167">
        <v>268</v>
      </c>
      <c r="F18" s="178">
        <v>3</v>
      </c>
      <c r="G18" s="167">
        <v>62</v>
      </c>
      <c r="H18" s="79">
        <v>255</v>
      </c>
      <c r="I18" s="177">
        <v>80</v>
      </c>
      <c r="J18" s="167">
        <f t="shared" si="1"/>
        <v>993</v>
      </c>
      <c r="K18"/>
    </row>
    <row r="19" spans="1:12" ht="15">
      <c r="A19" s="104">
        <f t="shared" si="0"/>
        <v>12</v>
      </c>
      <c r="B19" s="90" t="s">
        <v>127</v>
      </c>
      <c r="C19" s="92"/>
      <c r="D19" s="177">
        <v>244</v>
      </c>
      <c r="E19" s="167">
        <v>257</v>
      </c>
      <c r="F19" s="178">
        <v>3</v>
      </c>
      <c r="G19" s="167">
        <v>45</v>
      </c>
      <c r="H19" s="79">
        <v>255</v>
      </c>
      <c r="I19" s="177">
        <v>80</v>
      </c>
      <c r="J19" s="167">
        <f t="shared" si="1"/>
        <v>884</v>
      </c>
      <c r="K19"/>
    </row>
    <row r="20" spans="1:12" ht="15">
      <c r="A20" s="104">
        <f t="shared" si="0"/>
        <v>13</v>
      </c>
      <c r="B20" s="90" t="s">
        <v>111</v>
      </c>
      <c r="C20" s="92"/>
      <c r="D20" s="177">
        <v>215</v>
      </c>
      <c r="E20" s="167">
        <v>265</v>
      </c>
      <c r="F20" s="178">
        <v>3</v>
      </c>
      <c r="G20" s="167">
        <v>38</v>
      </c>
      <c r="H20" s="79">
        <v>255</v>
      </c>
      <c r="I20" s="177">
        <v>80</v>
      </c>
      <c r="J20" s="167">
        <f t="shared" si="1"/>
        <v>856</v>
      </c>
      <c r="K20"/>
    </row>
    <row r="21" spans="1:12" ht="15">
      <c r="A21" s="104">
        <f t="shared" si="0"/>
        <v>14</v>
      </c>
      <c r="B21" s="90" t="s">
        <v>112</v>
      </c>
      <c r="C21" s="92"/>
      <c r="D21" s="177">
        <v>236</v>
      </c>
      <c r="E21" s="167">
        <v>307</v>
      </c>
      <c r="F21" s="178">
        <v>3</v>
      </c>
      <c r="G21" s="167">
        <v>42</v>
      </c>
      <c r="H21" s="79">
        <v>255</v>
      </c>
      <c r="I21" s="177">
        <v>80</v>
      </c>
      <c r="J21" s="167">
        <f t="shared" si="1"/>
        <v>923</v>
      </c>
      <c r="K21"/>
    </row>
    <row r="22" spans="1:12" ht="15.75" thickBot="1">
      <c r="A22" s="104">
        <f t="shared" si="0"/>
        <v>15</v>
      </c>
      <c r="B22" s="93" t="s">
        <v>128</v>
      </c>
      <c r="C22" s="94"/>
      <c r="D22" s="179">
        <v>287</v>
      </c>
      <c r="E22" s="168">
        <v>321</v>
      </c>
      <c r="F22" s="180">
        <v>2</v>
      </c>
      <c r="G22" s="168">
        <v>49</v>
      </c>
      <c r="H22" s="180">
        <v>255</v>
      </c>
      <c r="I22" s="179">
        <v>80</v>
      </c>
      <c r="J22" s="168">
        <f>SUM(D22:I22)</f>
        <v>994</v>
      </c>
      <c r="K22"/>
    </row>
    <row r="23" spans="1:12" ht="15.75" thickBot="1">
      <c r="A23" s="104">
        <f t="shared" si="0"/>
        <v>16</v>
      </c>
      <c r="B23" s="56"/>
      <c r="C23" s="55"/>
      <c r="D23" s="83"/>
      <c r="E23" s="83"/>
      <c r="F23" s="83"/>
      <c r="G23" s="78"/>
      <c r="H23" s="79"/>
      <c r="I23" s="81"/>
      <c r="J23" s="83"/>
      <c r="K23"/>
    </row>
    <row r="24" spans="1:12" ht="15.75" thickBot="1">
      <c r="A24" s="104">
        <f t="shared" si="0"/>
        <v>17</v>
      </c>
      <c r="B24" s="60" t="s">
        <v>82</v>
      </c>
      <c r="C24" s="57"/>
      <c r="D24" s="150">
        <f t="shared" ref="D24:J24" si="2">SUM(D11:D22)/12</f>
        <v>279.83333333333331</v>
      </c>
      <c r="E24" s="150">
        <f t="shared" si="2"/>
        <v>292.33333333333331</v>
      </c>
      <c r="F24" s="150">
        <f t="shared" si="2"/>
        <v>2.9166666666666665</v>
      </c>
      <c r="G24" s="150">
        <f t="shared" si="2"/>
        <v>51.833333333333336</v>
      </c>
      <c r="H24" s="150">
        <f>SUM(H11:H22)/12</f>
        <v>257.08333333333331</v>
      </c>
      <c r="I24" s="84">
        <f t="shared" si="2"/>
        <v>80</v>
      </c>
      <c r="J24" s="84">
        <f t="shared" si="2"/>
        <v>964</v>
      </c>
      <c r="K24"/>
    </row>
    <row r="25" spans="1:12">
      <c r="A25" s="104">
        <f t="shared" si="0"/>
        <v>18</v>
      </c>
      <c r="D25" s="151"/>
      <c r="E25" s="151"/>
      <c r="F25" s="151"/>
      <c r="G25" s="151"/>
      <c r="H25" s="151"/>
    </row>
    <row r="26" spans="1:12" ht="18.75">
      <c r="A26" s="104">
        <f t="shared" si="0"/>
        <v>19</v>
      </c>
      <c r="B26" s="22"/>
      <c r="C26" s="23"/>
      <c r="D26" s="349" t="s">
        <v>386</v>
      </c>
      <c r="E26" s="350"/>
      <c r="F26" s="350"/>
      <c r="G26" s="350"/>
      <c r="H26" s="351"/>
      <c r="I26" s="23"/>
    </row>
    <row r="27" spans="1:12" ht="13.5" thickBot="1">
      <c r="A27" s="104">
        <f t="shared" si="0"/>
        <v>20</v>
      </c>
      <c r="D27" s="151"/>
      <c r="E27" s="151"/>
      <c r="F27" s="151"/>
      <c r="G27" s="151"/>
      <c r="H27" s="151"/>
    </row>
    <row r="28" spans="1:12">
      <c r="A28" s="104">
        <f t="shared" si="0"/>
        <v>21</v>
      </c>
      <c r="B28" s="48"/>
      <c r="C28" s="49"/>
      <c r="D28" s="152" t="s">
        <v>37</v>
      </c>
      <c r="E28" s="124" t="s">
        <v>60</v>
      </c>
      <c r="F28" s="124" t="s">
        <v>61</v>
      </c>
      <c r="G28" s="148" t="s">
        <v>62</v>
      </c>
      <c r="H28" s="152" t="s">
        <v>103</v>
      </c>
      <c r="I28" s="88" t="s">
        <v>1</v>
      </c>
      <c r="J28" s="76" t="s">
        <v>239</v>
      </c>
    </row>
    <row r="29" spans="1:12">
      <c r="A29" s="104">
        <f t="shared" si="0"/>
        <v>22</v>
      </c>
      <c r="B29" s="51"/>
      <c r="C29" s="52"/>
      <c r="D29" s="125" t="s">
        <v>239</v>
      </c>
      <c r="E29" s="125" t="s">
        <v>239</v>
      </c>
      <c r="F29" s="125" t="s">
        <v>63</v>
      </c>
      <c r="G29" s="149" t="s">
        <v>64</v>
      </c>
      <c r="H29" s="153" t="s">
        <v>104</v>
      </c>
      <c r="I29" s="80" t="s">
        <v>2</v>
      </c>
      <c r="J29" s="80" t="s">
        <v>75</v>
      </c>
    </row>
    <row r="30" spans="1:12" ht="13.5" thickBot="1">
      <c r="A30" s="104">
        <f t="shared" si="0"/>
        <v>23</v>
      </c>
      <c r="B30" s="53"/>
      <c r="C30" s="54"/>
      <c r="D30" s="126" t="s">
        <v>65</v>
      </c>
      <c r="E30" s="125" t="s">
        <v>65</v>
      </c>
      <c r="F30" s="126" t="s">
        <v>65</v>
      </c>
      <c r="G30" s="154" t="s">
        <v>65</v>
      </c>
      <c r="H30" s="155" t="s">
        <v>65</v>
      </c>
      <c r="I30" s="89" t="s">
        <v>65</v>
      </c>
      <c r="J30" s="89" t="s">
        <v>76</v>
      </c>
    </row>
    <row r="31" spans="1:12">
      <c r="A31" s="104">
        <f t="shared" si="0"/>
        <v>24</v>
      </c>
      <c r="B31" s="90" t="s">
        <v>113</v>
      </c>
      <c r="C31" s="91"/>
      <c r="D31" s="208">
        <v>292</v>
      </c>
      <c r="E31" s="208">
        <v>343.16660000000002</v>
      </c>
      <c r="F31" s="209">
        <v>2</v>
      </c>
      <c r="G31" s="208">
        <v>55.55</v>
      </c>
      <c r="H31" s="148">
        <v>255</v>
      </c>
      <c r="I31" s="124">
        <v>80</v>
      </c>
      <c r="J31" s="166">
        <f>SUM(D31:I31)</f>
        <v>1027.7166</v>
      </c>
      <c r="K31" s="55"/>
      <c r="L31" s="62"/>
    </row>
    <row r="32" spans="1:12">
      <c r="A32" s="104">
        <f t="shared" si="0"/>
        <v>25</v>
      </c>
      <c r="B32" s="90" t="s">
        <v>124</v>
      </c>
      <c r="C32" s="92"/>
      <c r="D32" s="210">
        <v>305</v>
      </c>
      <c r="E32" s="210">
        <v>320.35219999999998</v>
      </c>
      <c r="F32" s="211">
        <v>3</v>
      </c>
      <c r="G32" s="210">
        <v>57.57</v>
      </c>
      <c r="H32" s="149">
        <v>255</v>
      </c>
      <c r="I32" s="125">
        <v>80</v>
      </c>
      <c r="J32" s="167">
        <f t="shared" ref="J32:J41" si="3">SUM(D32:I32)</f>
        <v>1020.9222000000001</v>
      </c>
      <c r="K32" s="55"/>
    </row>
    <row r="33" spans="1:11">
      <c r="A33" s="104">
        <f t="shared" si="0"/>
        <v>26</v>
      </c>
      <c r="B33" s="90" t="s">
        <v>125</v>
      </c>
      <c r="C33" s="92"/>
      <c r="D33" s="210">
        <v>272</v>
      </c>
      <c r="E33" s="210">
        <v>317.50040000000001</v>
      </c>
      <c r="F33" s="211">
        <v>2</v>
      </c>
      <c r="G33" s="210">
        <v>52.52</v>
      </c>
      <c r="H33" s="149">
        <v>255</v>
      </c>
      <c r="I33" s="125">
        <v>80</v>
      </c>
      <c r="J33" s="167">
        <f t="shared" si="3"/>
        <v>979.0204</v>
      </c>
      <c r="K33" s="55"/>
    </row>
    <row r="34" spans="1:11">
      <c r="A34" s="104">
        <f t="shared" si="0"/>
        <v>27</v>
      </c>
      <c r="B34" s="90" t="s">
        <v>129</v>
      </c>
      <c r="C34" s="92"/>
      <c r="D34" s="210">
        <v>234</v>
      </c>
      <c r="E34" s="210">
        <v>287.08119999999997</v>
      </c>
      <c r="F34" s="211">
        <v>3</v>
      </c>
      <c r="G34" s="210">
        <v>42.42</v>
      </c>
      <c r="H34" s="149">
        <v>255</v>
      </c>
      <c r="I34" s="125">
        <v>80</v>
      </c>
      <c r="J34" s="167">
        <f t="shared" si="3"/>
        <v>901.50119999999993</v>
      </c>
      <c r="K34" s="55"/>
    </row>
    <row r="35" spans="1:11">
      <c r="A35" s="104">
        <f t="shared" si="0"/>
        <v>28</v>
      </c>
      <c r="B35" s="90" t="s">
        <v>130</v>
      </c>
      <c r="C35" s="92"/>
      <c r="D35" s="210">
        <v>261</v>
      </c>
      <c r="E35" s="210">
        <v>229.09459999999999</v>
      </c>
      <c r="F35" s="211">
        <v>3</v>
      </c>
      <c r="G35" s="210">
        <v>38.380000000000003</v>
      </c>
      <c r="H35" s="149">
        <v>255</v>
      </c>
      <c r="I35" s="125">
        <v>80</v>
      </c>
      <c r="J35" s="167">
        <f t="shared" si="3"/>
        <v>866.47460000000001</v>
      </c>
      <c r="K35" s="55"/>
    </row>
    <row r="36" spans="1:11">
      <c r="A36" s="104">
        <f t="shared" si="0"/>
        <v>29</v>
      </c>
      <c r="B36" s="90" t="s">
        <v>131</v>
      </c>
      <c r="C36" s="92"/>
      <c r="D36" s="210">
        <v>325</v>
      </c>
      <c r="E36" s="210">
        <v>251.90900000000002</v>
      </c>
      <c r="F36" s="211">
        <v>3</v>
      </c>
      <c r="G36" s="210">
        <v>65</v>
      </c>
      <c r="H36" s="149">
        <v>252</v>
      </c>
      <c r="I36" s="125">
        <v>80</v>
      </c>
      <c r="J36" s="167">
        <f t="shared" si="3"/>
        <v>976.90899999999999</v>
      </c>
      <c r="K36" s="55"/>
    </row>
    <row r="37" spans="1:11">
      <c r="A37" s="104">
        <f t="shared" si="0"/>
        <v>30</v>
      </c>
      <c r="B37" s="90" t="s">
        <v>126</v>
      </c>
      <c r="C37" s="92"/>
      <c r="D37" s="210">
        <v>355</v>
      </c>
      <c r="E37" s="210">
        <v>237.65</v>
      </c>
      <c r="F37" s="211">
        <v>4</v>
      </c>
      <c r="G37" s="210">
        <v>76</v>
      </c>
      <c r="H37" s="149">
        <v>252</v>
      </c>
      <c r="I37" s="125">
        <v>80</v>
      </c>
      <c r="J37" s="167">
        <f t="shared" si="3"/>
        <v>1004.65</v>
      </c>
      <c r="K37" s="55"/>
    </row>
    <row r="38" spans="1:11">
      <c r="A38" s="104">
        <f t="shared" si="0"/>
        <v>31</v>
      </c>
      <c r="B38" s="90" t="s">
        <v>110</v>
      </c>
      <c r="C38" s="92"/>
      <c r="D38" s="210">
        <v>356</v>
      </c>
      <c r="E38" s="210">
        <v>251.52876000000003</v>
      </c>
      <c r="F38" s="211">
        <v>4</v>
      </c>
      <c r="G38" s="210">
        <v>65</v>
      </c>
      <c r="H38" s="149">
        <v>252</v>
      </c>
      <c r="I38" s="125">
        <v>80</v>
      </c>
      <c r="J38" s="167">
        <f t="shared" si="3"/>
        <v>1008.52876</v>
      </c>
      <c r="K38" s="55"/>
    </row>
    <row r="39" spans="1:11">
      <c r="A39" s="104">
        <f t="shared" si="0"/>
        <v>32</v>
      </c>
      <c r="B39" s="90" t="s">
        <v>127</v>
      </c>
      <c r="C39" s="92"/>
      <c r="D39" s="210">
        <v>262</v>
      </c>
      <c r="E39" s="210">
        <v>254.32352399999999</v>
      </c>
      <c r="F39" s="211">
        <v>3</v>
      </c>
      <c r="G39" s="210">
        <v>59</v>
      </c>
      <c r="H39" s="149">
        <v>252</v>
      </c>
      <c r="I39" s="125">
        <v>80</v>
      </c>
      <c r="J39" s="167">
        <f t="shared" si="3"/>
        <v>910.32352400000002</v>
      </c>
      <c r="K39" s="55"/>
    </row>
    <row r="40" spans="1:11">
      <c r="A40" s="104">
        <f t="shared" si="0"/>
        <v>33</v>
      </c>
      <c r="B40" s="90" t="s">
        <v>111</v>
      </c>
      <c r="C40" s="92"/>
      <c r="D40" s="210">
        <v>249</v>
      </c>
      <c r="E40" s="210">
        <v>242.21287999999998</v>
      </c>
      <c r="F40" s="211">
        <v>3</v>
      </c>
      <c r="G40" s="210">
        <v>40</v>
      </c>
      <c r="H40" s="149">
        <v>252</v>
      </c>
      <c r="I40" s="125">
        <v>80</v>
      </c>
      <c r="J40" s="167">
        <f t="shared" si="3"/>
        <v>866.21288000000004</v>
      </c>
      <c r="K40" s="55"/>
    </row>
    <row r="41" spans="1:11">
      <c r="A41" s="104">
        <f t="shared" si="0"/>
        <v>34</v>
      </c>
      <c r="B41" s="90" t="s">
        <v>112</v>
      </c>
      <c r="C41" s="92"/>
      <c r="D41" s="210">
        <v>223</v>
      </c>
      <c r="E41" s="210">
        <v>298.10816</v>
      </c>
      <c r="F41" s="211">
        <v>2</v>
      </c>
      <c r="G41" s="210">
        <v>42</v>
      </c>
      <c r="H41" s="149">
        <v>252</v>
      </c>
      <c r="I41" s="125">
        <v>80</v>
      </c>
      <c r="J41" s="167">
        <f t="shared" si="3"/>
        <v>897.10816</v>
      </c>
      <c r="K41" s="55"/>
    </row>
    <row r="42" spans="1:11" ht="13.5" thickBot="1">
      <c r="A42" s="104">
        <f t="shared" si="0"/>
        <v>35</v>
      </c>
      <c r="B42" s="93" t="s">
        <v>128</v>
      </c>
      <c r="C42" s="94"/>
      <c r="D42" s="212">
        <v>318</v>
      </c>
      <c r="E42" s="212">
        <v>324.19262400000002</v>
      </c>
      <c r="F42" s="213">
        <v>2</v>
      </c>
      <c r="G42" s="212">
        <v>55</v>
      </c>
      <c r="H42" s="212">
        <v>252</v>
      </c>
      <c r="I42" s="126">
        <v>80</v>
      </c>
      <c r="J42" s="168">
        <f>SUM(D42:I42)</f>
        <v>1031.192624</v>
      </c>
      <c r="K42" s="55"/>
    </row>
    <row r="43" spans="1:11" ht="13.5" thickBot="1">
      <c r="A43" s="104">
        <f t="shared" si="0"/>
        <v>36</v>
      </c>
      <c r="B43" s="56"/>
      <c r="C43" s="55"/>
      <c r="D43" s="214"/>
      <c r="E43" s="214"/>
      <c r="F43" s="214"/>
      <c r="G43" s="214"/>
      <c r="H43" s="214"/>
      <c r="I43" s="214"/>
      <c r="J43" s="214"/>
      <c r="K43" s="55"/>
    </row>
    <row r="44" spans="1:11" ht="13.5" thickBot="1">
      <c r="A44" s="104">
        <f t="shared" si="0"/>
        <v>37</v>
      </c>
      <c r="B44" s="60" t="s">
        <v>82</v>
      </c>
      <c r="C44" s="57"/>
      <c r="D44" s="215">
        <f t="shared" ref="D44:J44" si="4">SUM(D31:D42)/12</f>
        <v>287.66666666666669</v>
      </c>
      <c r="E44" s="150">
        <f t="shared" si="4"/>
        <v>279.75999566666673</v>
      </c>
      <c r="F44" s="216">
        <f t="shared" si="4"/>
        <v>2.8333333333333335</v>
      </c>
      <c r="G44" s="150">
        <f t="shared" si="4"/>
        <v>54.036666666666669</v>
      </c>
      <c r="H44" s="217">
        <f t="shared" si="4"/>
        <v>253.25</v>
      </c>
      <c r="I44" s="218">
        <f t="shared" si="4"/>
        <v>80</v>
      </c>
      <c r="J44" s="84">
        <f t="shared" si="4"/>
        <v>957.54666233333319</v>
      </c>
      <c r="K44" s="157"/>
    </row>
    <row r="45" spans="1:11">
      <c r="A45" s="104">
        <f t="shared" si="0"/>
        <v>38</v>
      </c>
    </row>
    <row r="46" spans="1:11">
      <c r="A46" s="104">
        <f t="shared" si="0"/>
        <v>39</v>
      </c>
      <c r="B46" s="64" t="s">
        <v>315</v>
      </c>
      <c r="C46" s="62"/>
      <c r="D46" s="58"/>
      <c r="E46" s="58"/>
      <c r="F46" s="58"/>
      <c r="G46" s="121"/>
      <c r="H46" s="121"/>
      <c r="I46" s="59"/>
    </row>
    <row r="47" spans="1:11">
      <c r="A47" s="104">
        <f t="shared" si="0"/>
        <v>40</v>
      </c>
      <c r="B47" s="64" t="s">
        <v>316</v>
      </c>
      <c r="C47" s="62"/>
      <c r="G47" s="121"/>
    </row>
    <row r="48" spans="1:11">
      <c r="A48" s="104"/>
      <c r="B48" s="64"/>
      <c r="D48" s="61"/>
      <c r="E48" s="61"/>
    </row>
    <row r="49" spans="1:7">
      <c r="A49" s="104"/>
      <c r="B49" s="95"/>
      <c r="C49" s="96"/>
      <c r="D49" s="97"/>
      <c r="E49" s="97"/>
      <c r="F49" s="96"/>
      <c r="G49" s="96"/>
    </row>
    <row r="50" spans="1:7">
      <c r="A50" s="104"/>
      <c r="B50" s="61"/>
      <c r="C50" s="61"/>
      <c r="D50" s="61"/>
      <c r="E50" s="61"/>
    </row>
    <row r="51" spans="1:7">
      <c r="A51" s="104"/>
      <c r="B51" s="61"/>
      <c r="C51" s="61"/>
      <c r="D51" s="61"/>
      <c r="E51" s="61"/>
    </row>
    <row r="52" spans="1:7">
      <c r="B52" s="61"/>
      <c r="C52" s="61"/>
      <c r="D52" s="61"/>
      <c r="E52" s="61"/>
    </row>
    <row r="53" spans="1:7">
      <c r="B53" s="61"/>
      <c r="C53" s="61"/>
      <c r="D53" s="61"/>
      <c r="E53" s="61"/>
    </row>
    <row r="54" spans="1:7">
      <c r="B54" s="61"/>
      <c r="C54" s="61"/>
      <c r="D54" s="61"/>
      <c r="E54" s="61"/>
    </row>
    <row r="55" spans="1:7">
      <c r="B55" s="61"/>
      <c r="C55" s="61"/>
      <c r="D55" s="61"/>
      <c r="E55" s="61"/>
    </row>
    <row r="56" spans="1:7">
      <c r="B56" s="61"/>
      <c r="C56" s="61"/>
      <c r="D56" s="61"/>
      <c r="E56" s="61"/>
    </row>
    <row r="57" spans="1:7">
      <c r="B57" s="61"/>
      <c r="C57" s="61"/>
      <c r="D57" s="61"/>
      <c r="E57" s="61"/>
    </row>
    <row r="58" spans="1:7">
      <c r="B58" s="61"/>
      <c r="C58" s="61"/>
      <c r="D58" s="61"/>
      <c r="E58" s="61"/>
    </row>
    <row r="59" spans="1:7">
      <c r="B59" s="63"/>
      <c r="C59" s="63"/>
      <c r="D59" s="63"/>
      <c r="E59" s="63"/>
    </row>
  </sheetData>
  <mergeCells count="4">
    <mergeCell ref="D6:H6"/>
    <mergeCell ref="D26:H26"/>
    <mergeCell ref="A3:J3"/>
    <mergeCell ref="A4:J4"/>
  </mergeCells>
  <phoneticPr fontId="14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Godsell, Karen</cp:lastModifiedBy>
  <cp:lastPrinted>2019-07-12T17:15:43Z</cp:lastPrinted>
  <dcterms:created xsi:type="dcterms:W3CDTF">1997-04-03T19:40:56Z</dcterms:created>
  <dcterms:modified xsi:type="dcterms:W3CDTF">2019-09-27T15:47:56Z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