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Rates\BHE CLFP\FERC\TransmissionFormula Rate\CLFP Trans Form Rates 2021\True Up\Files for OASIS\"/>
    </mc:Choice>
  </mc:AlternateContent>
  <xr:revisionPtr revIDLastSave="0" documentId="13_ncr:1_{09691B50-2D86-4D2B-9256-5B290A77C7F2}" xr6:coauthVersionLast="47" xr6:coauthVersionMax="47" xr10:uidLastSave="{00000000-0000-0000-0000-000000000000}"/>
  <bookViews>
    <workbookView xWindow="19090" yWindow="-70" windowWidth="19420" windowHeight="10420" tabRatio="892" activeTab="1"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1" i="9" l="1"/>
  <c r="B54" i="25" l="1"/>
  <c r="B55" i="25"/>
  <c r="D9" i="31" l="1"/>
  <c r="I200" i="9" l="1"/>
  <c r="D190" i="9"/>
  <c r="D131" i="9" l="1"/>
  <c r="N25" i="4" l="1"/>
  <c r="N27" i="4"/>
  <c r="D23" i="16" l="1"/>
  <c r="D14" i="16"/>
  <c r="C10" i="23" l="1"/>
  <c r="N26" i="4" l="1"/>
  <c r="N24" i="4"/>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79" i="25"/>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H53" i="21" l="1"/>
  <c r="D25" i="31" s="1"/>
  <c r="D26" i="31" s="1"/>
  <c r="D27" i="31" s="1"/>
  <c r="J18" i="26"/>
  <c r="D21" i="26"/>
  <c r="I21" i="26"/>
  <c r="E21" i="26" s="1"/>
  <c r="S21" i="26" s="1"/>
  <c r="A9" i="21"/>
  <c r="H57" i="21" l="1"/>
  <c r="H58" i="21" s="1"/>
  <c r="F18" i="26"/>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D29" i="31" s="1"/>
  <c r="D35" i="31" s="1"/>
  <c r="K52" i="4"/>
  <c r="J28" i="26"/>
  <c r="F28" i="26" s="1"/>
  <c r="D31" i="26"/>
  <c r="I31" i="26"/>
  <c r="E31" i="26" s="1"/>
  <c r="X31" i="26" s="1"/>
  <c r="D21" i="27"/>
  <c r="D27" i="27" s="1"/>
  <c r="I22" i="9"/>
  <c r="N45" i="4"/>
  <c r="D14" i="25" s="1"/>
  <c r="I14" i="25" s="1"/>
  <c r="J52" i="4"/>
  <c r="G52" i="4"/>
  <c r="H52" i="4"/>
  <c r="L52" i="4"/>
  <c r="I52" i="4"/>
  <c r="M52" i="4"/>
  <c r="F12" i="4"/>
  <c r="D116" i="9" l="1"/>
  <c r="D37" i="31"/>
  <c r="D36" i="31"/>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64" i="9" l="1"/>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D25" i="9" s="1"/>
  <c r="D27" i="9" s="1"/>
  <c r="I73" i="25"/>
  <c r="I63" i="25"/>
  <c r="I72" i="25"/>
  <c r="G67" i="25"/>
  <c r="G230" i="25"/>
  <c r="I230" i="25" s="1"/>
  <c r="G115" i="25"/>
  <c r="G54" i="25"/>
  <c r="G49" i="25"/>
  <c r="G79" i="25"/>
  <c r="I178" i="25"/>
  <c r="E184" i="25"/>
  <c r="G184" i="25" s="1"/>
  <c r="G187" i="25" s="1"/>
  <c r="I187" i="25" s="1"/>
  <c r="D26" i="9" l="1"/>
  <c r="G238" i="25"/>
  <c r="I238" i="25" s="1"/>
  <c r="G232" i="25"/>
  <c r="I232" i="25" s="1"/>
  <c r="G109" i="25"/>
  <c r="G104" i="25"/>
  <c r="G108" i="25"/>
  <c r="G55" i="25"/>
  <c r="G106" i="25"/>
  <c r="G50" i="25"/>
  <c r="D28" i="9"/>
  <c r="D30" i="9" s="1"/>
  <c r="D29" i="9"/>
  <c r="D31" i="9" s="1"/>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s="1"/>
  <c r="J158" i="37" l="1"/>
  <c r="I159" i="37"/>
  <c r="H160" i="37"/>
  <c r="H20" i="37" s="1"/>
  <c r="I20" i="37" s="1"/>
  <c r="J20" i="37" s="1"/>
  <c r="J159" i="37" l="1"/>
  <c r="I160" i="37"/>
  <c r="H161" i="37"/>
  <c r="H21" i="37" s="1"/>
  <c r="I21" i="37" s="1"/>
  <c r="J21" i="37" s="1"/>
  <c r="J160" i="37" l="1"/>
  <c r="H162" i="37"/>
  <c r="H22" i="37" s="1"/>
  <c r="I22" i="37" s="1"/>
  <c r="J22" i="37" s="1"/>
  <c r="I161" i="37"/>
  <c r="J161" i="37" l="1"/>
  <c r="I162" i="37"/>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<sst xmlns="http://schemas.openxmlformats.org/spreadsheetml/2006/main" count="2486" uniqueCount="1237">
  <si>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</si>
  <si>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</si>
  <si>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</si>
  <si>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</si>
  <si>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</si>
  <si>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</si>
  <si>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</si>
  <si>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</si>
  <si>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</si>
  <si>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</si>
  <si>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</si>
  <si>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</si>
  <si>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</si>
  <si>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</si>
  <si>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</si>
  <si>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</si>
  <si>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</si>
  <si>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</si>
  <si>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</si>
  <si>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</si>
  <si>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</si>
  <si>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</si>
  <si>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</si>
  <si>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</si>
  <si>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</si>
  <si>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</si>
  <si>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</si>
  <si>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</si>
  <si>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</si>
  <si>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</si>
  <si>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</si>
  <si>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</si>
  <si>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</si>
  <si>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</si>
  <si>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</si>
  <si>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</si>
  <si>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</si>
  <si>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</si>
  <si>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</si>
  <si>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</si>
  <si>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</si>
  <si>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</si>
  <si>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</si>
  <si>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</si>
  <si>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</si>
  <si>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</si>
  <si>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</si>
  <si>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</si>
  <si>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</si>
  <si>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</si>
  <si>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</si>
  <si>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</si>
  <si>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</si>
  <si>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</si>
  <si>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</si>
  <si>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</si>
  <si>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</si>
  <si>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</si>
  <si>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</si>
  <si>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</si>
  <si>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</si>
  <si>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</si>
  <si>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</si>
  <si>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</si>
  <si>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</si>
  <si>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</si>
  <si>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</si>
  <si>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</si>
  <si>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</si>
  <si>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</si>
  <si>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</si>
  <si>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</si>
  <si>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</si>
  <si>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</si>
  <si>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</si>
  <si>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</si>
  <si>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</si>
  <si>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</si>
  <si>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</si>
  <si>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</si>
  <si>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</si>
  <si>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</si>
  <si>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</si>
  <si>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</si>
  <si>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</si>
  <si>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</si>
  <si>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</si>
  <si>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</si>
  <si>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</si>
  <si>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</si>
  <si>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</si>
  <si>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</si>
  <si>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</si>
  <si>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</si>
  <si>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</si>
  <si>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</si>
  <si>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</si>
  <si>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</si>
  <si>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</si>
  <si>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</si>
  <si>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</si>
  <si>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</si>
  <si>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</si>
  <si>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</si>
  <si>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</si>
  <si>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</si>
  <si>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</si>
  <si>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</si>
  <si>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</si>
  <si>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</si>
  <si>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</si>
  <si>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</si>
  <si>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</si>
  <si>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</si>
  <si>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</si>
  <si>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</si>
  <si>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</si>
  <si>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</si>
  <si>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</si>
  <si>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</si>
  <si>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</si>
  <si>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</si>
  <si>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</si>
  <si>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</si>
  <si>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</si>
  <si>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</si>
  <si>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</si>
  <si>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</si>
  <si>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</si>
  <si>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</si>
  <si>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</si>
  <si>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</si>
  <si>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</si>
  <si>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</si>
  <si>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</si>
  <si>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</si>
  <si>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</si>
  <si>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</si>
  <si>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</si>
  <si>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</si>
  <si>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</si>
  <si>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</si>
  <si>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</si>
  <si>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</si>
  <si>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</si>
  <si>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</si>
  <si>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</si>
  <si>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</si>
  <si>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</si>
  <si>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</si>
  <si>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</si>
  <si>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</si>
  <si>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</si>
  <si>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</si>
  <si>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</si>
  <si>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</si>
  <si>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</si>
  <si>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</si>
  <si>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</si>
  <si>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</si>
  <si>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</si>
  <si>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</si>
  <si>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</si>
  <si>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</si>
  <si>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</si>
  <si>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</si>
  <si>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</si>
  <si>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</si>
  <si>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</si>
  <si>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</si>
  <si>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</si>
  <si>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</si>
  <si>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</si>
  <si>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</si>
  <si>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</si>
  <si>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</si>
  <si>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</si>
  <si>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</si>
  <si>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</si>
  <si>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</si>
  <si>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</si>
  <si>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</si>
  <si>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</si>
  <si>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</si>
  <si>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</si>
  <si>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</si>
  <si>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</si>
  <si>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</si>
  <si>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</si>
  <si>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</si>
  <si>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</si>
  <si>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</si>
  <si>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</si>
  <si>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</si>
  <si>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</si>
  <si>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</si>
  <si>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</si>
  <si>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</si>
  <si>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</si>
  <si>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</si>
  <si>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</si>
  <si>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</si>
  <si>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</si>
  <si>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</si>
  <si>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</si>
  <si>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</si>
  <si>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</si>
  <si>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</si>
  <si>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</si>
  <si>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</si>
  <si>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</si>
  <si>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</si>
  <si>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</si>
  <si>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</si>
  <si>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</si>
  <si>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</si>
  <si>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</si>
  <si>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</si>
  <si>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</si>
  <si>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</si>
  <si>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</si>
  <si>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</si>
  <si>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</si>
  <si>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</si>
  <si>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</si>
  <si>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</si>
  <si>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</si>
  <si>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</si>
  <si>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</si>
  <si>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</si>
  <si>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</si>
  <si>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</si>
  <si>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</si>
  <si>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</si>
  <si>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</si>
  <si>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</si>
  <si>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</si>
  <si>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</si>
  <si>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</si>
  <si>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</si>
  <si>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</si>
  <si>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</si>
  <si>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</si>
  <si>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</si>
  <si>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</si>
  <si>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</si>
  <si>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</si>
  <si>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</si>
  <si>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</si>
  <si>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</si>
  <si>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</si>
  <si>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</si>
  <si>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</si>
  <si>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</si>
  <si>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</si>
  <si>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</si>
  <si>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</si>
  <si>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</si>
  <si>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</si>
  <si>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</si>
  <si>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</si>
  <si>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</si>
  <si>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</si>
  <si>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</si>
  <si>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</si>
  <si>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</si>
  <si>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</si>
  <si>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</si>
  <si>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</si>
  <si>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</si>
  <si>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</si>
  <si>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</si>
  <si>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</si>
  <si>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</si>
  <si>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</si>
  <si>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</si>
  <si>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</si>
  <si>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</si>
  <si>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</si>
  <si>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</si>
  <si>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</si>
  <si>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</si>
  <si>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</si>
  <si>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</si>
  <si>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</si>
  <si>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</si>
  <si>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</si>
  <si>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</si>
  <si>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</si>
  <si>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</si>
  <si>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</si>
  <si>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</si>
  <si>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</si>
  <si>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</si>
  <si>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</si>
  <si>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</si>
  <si>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</si>
  <si>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</si>
  <si>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</si>
  <si>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</si>
  <si>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</si>
  <si>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</si>
  <si>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</si>
  <si>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</si>
  <si>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</si>
  <si>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</si>
  <si>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</si>
  <si>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</si>
  <si>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</si>
  <si>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</si>
  <si>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</si>
  <si>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</si>
  <si>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</si>
  <si>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</si>
  <si>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</si>
  <si>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</si>
  <si>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</si>
  <si>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</si>
  <si>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</si>
  <si>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</si>
  <si>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</si>
  <si>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</si>
  <si>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</si>
  <si>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</si>
  <si>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</si>
  <si>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</si>
  <si>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</si>
  <si>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</si>
  <si>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</si>
  <si>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</si>
  <si>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</si>
  <si>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</si>
  <si>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</si>
  <si>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</si>
  <si>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</si>
  <si>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</si>
  <si>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</si>
  <si>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</si>
  <si>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</si>
  <si>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</si>
  <si>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</si>
  <si>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</si>
  <si>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</si>
  <si>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</si>
  <si>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</si>
  <si>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</si>
  <si>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</si>
  <si>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</si>
  <si>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</si>
  <si>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</si>
  <si>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</si>
  <si>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</si>
  <si>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</si>
  <si>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</si>
  <si>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</si>
  <si>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</si>
  <si>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</si>
  <si>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</si>
  <si>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</si>
  <si>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</si>
  <si>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</si>
  <si>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</si>
  <si>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</si>
  <si>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</si>
  <si>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</si>
  <si>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</si>
  <si>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</si>
  <si>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</si>
  <si>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</si>
  <si>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</si>
  <si>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</si>
  <si>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</si>
  <si>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</si>
  <si>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</si>
  <si>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</si>
  <si>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</si>
  <si>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</si>
  <si>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</si>
  <si>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</si>
  <si>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</si>
  <si>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</si>
  <si>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</si>
  <si>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</si>
  <si>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</si>
  <si>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</si>
  <si>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</si>
  <si>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</si>
  <si>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</si>
  <si>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</si>
  <si>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</si>
  <si>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</si>
  <si>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</si>
  <si>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</si>
  <si>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</si>
  <si>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</si>
  <si>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</si>
  <si>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</si>
  <si>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</si>
  <si>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</si>
  <si>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</si>
  <si>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</si>
  <si>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</si>
  <si>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</si>
  <si>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</si>
  <si>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</si>
  <si>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</si>
  <si>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</si>
  <si>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</si>
  <si>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</si>
  <si>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</si>
  <si>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</si>
  <si>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</si>
  <si>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</si>
  <si>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</si>
  <si>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</si>
  <si>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</si>
  <si>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</si>
  <si>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</si>
  <si>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</si>
  <si>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</si>
  <si>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</si>
  <si>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</si>
  <si>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</si>
  <si>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</si>
  <si>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</si>
  <si>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</si>
  <si>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</si>
  <si>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</si>
  <si>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</si>
  <si>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</si>
  <si>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</si>
  <si>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</si>
  <si>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</si>
  <si>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</si>
  <si>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</si>
  <si>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</si>
  <si>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</si>
  <si>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</si>
  <si>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</si>
  <si>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</si>
  <si>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</si>
  <si>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</si>
  <si>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</si>
  <si>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</si>
  <si>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</si>
  <si>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</si>
  <si>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</si>
  <si>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</si>
  <si>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</si>
  <si>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</si>
  <si>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</si>
  <si>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</si>
  <si>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</si>
  <si>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</si>
  <si>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</si>
  <si>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</si>
  <si>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</si>
  <si>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</si>
  <si>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</si>
  <si>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</si>
  <si>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</si>
  <si>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</si>
  <si>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</si>
  <si>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</si>
  <si>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</si>
  <si>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</si>
  <si>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</si>
  <si>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</si>
  <si>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</si>
  <si>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</si>
  <si>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</si>
  <si>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</si>
  <si>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</si>
  <si>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</si>
  <si>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</si>
  <si>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</si>
  <si>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</si>
  <si>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</si>
  <si>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</si>
  <si>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</si>
  <si>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</si>
  <si>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</si>
  <si>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</si>
  <si>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</si>
  <si>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</si>
  <si>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</si>
  <si>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</si>
  <si>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</si>
  <si>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</si>
  <si>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</si>
  <si>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</si>
  <si>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</si>
  <si>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</si>
  <si>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</si>
  <si>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</si>
  <si>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</si>
  <si>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</si>
  <si>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</si>
  <si>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</si>
  <si>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</si>
  <si>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</si>
  <si>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</si>
  <si>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</si>
  <si>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</si>
  <si>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</si>
  <si>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</si>
  <si>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</si>
  <si>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</si>
  <si>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</si>
  <si>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</si>
  <si>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</si>
  <si>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</si>
  <si>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</si>
  <si>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</si>
  <si>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</si>
  <si>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</si>
  <si>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</si>
  <si>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</si>
  <si>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</si>
  <si>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</si>
  <si>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</si>
  <si>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</si>
  <si>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</si>
  <si>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</si>
  <si>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</si>
  <si>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</si>
  <si>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</si>
  <si>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</si>
  <si>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</si>
  <si>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</si>
  <si>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</si>
  <si>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</si>
  <si>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</si>
  <si>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</si>
  <si>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</si>
  <si>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</si>
  <si>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</si>
  <si>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</si>
  <si>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</si>
  <si>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</si>
  <si>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</si>
  <si>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</si>
  <si>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</si>
  <si>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</si>
  <si>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</si>
  <si>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</si>
  <si>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</si>
  <si>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</si>
  <si>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</si>
  <si>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</si>
  <si>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</si>
  <si>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</si>
  <si>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</si>
  <si>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</si>
  <si>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</si>
  <si>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</si>
  <si>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</si>
  <si>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</si>
  <si>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</si>
  <si>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</si>
  <si>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</si>
  <si>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</si>
  <si>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</si>
  <si>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</si>
  <si>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</si>
  <si>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</si>
  <si>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</si>
  <si>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</si>
  <si>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</si>
  <si>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</si>
  <si>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</si>
  <si>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</si>
  <si>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</si>
  <si>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</si>
  <si>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</si>
  <si>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</si>
  <si>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</si>
  <si>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</si>
  <si>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</si>
  <si>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</si>
  <si>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</si>
  <si>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</si>
  <si>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</si>
  <si>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</si>
  <si>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</si>
  <si>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</si>
  <si>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</si>
  <si>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</si>
  <si>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</si>
  <si>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</si>
  <si>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</si>
  <si>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</si>
  <si>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</si>
  <si>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</si>
  <si>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</si>
  <si>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</si>
  <si>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</si>
  <si>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</si>
  <si>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</si>
  <si>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</si>
  <si>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</si>
  <si>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</si>
  <si>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</si>
  <si>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</si>
  <si>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</si>
  <si>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</si>
  <si>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</si>
  <si>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</si>
  <si>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</si>
  <si>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</si>
  <si>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</si>
  <si>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</si>
  <si>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</si>
  <si>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</si>
  <si>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</si>
  <si>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</si>
  <si>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</si>
  <si>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</si>
  <si>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</si>
  <si>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</si>
  <si>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</si>
  <si>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</si>
  <si>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</si>
  <si>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</si>
  <si>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</si>
  <si>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</si>
  <si>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</si>
  <si>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</si>
  <si>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</si>
  <si>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</si>
  <si>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</si>
  <si>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</si>
  <si>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</si>
  <si>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</si>
  <si>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</si>
  <si>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</si>
  <si>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</si>
  <si>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</si>
  <si>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</si>
  <si>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</si>
  <si>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</si>
  <si>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</si>
  <si>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</si>
  <si>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</si>
  <si>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</si>
  <si>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</si>
  <si>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</si>
  <si>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</si>
  <si>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</si>
  <si>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</si>
  <si>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</si>
  <si>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</si>
  <si>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</si>
  <si>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</si>
  <si>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</si>
  <si>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</si>
  <si>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</si>
  <si>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</si>
  <si>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</si>
  <si>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</si>
  <si>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</si>
  <si>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</si>
  <si>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</si>
  <si>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</si>
  <si>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</si>
  <si>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</si>
  <si>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</si>
  <si>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</si>
  <si>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</si>
  <si>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</si>
  <si>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</si>
  <si>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</si>
  <si>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</si>
  <si>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</si>
  <si>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</si>
  <si>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</si>
  <si>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</si>
  <si>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</si>
  <si>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</si>
  <si>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</si>
  <si>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</si>
  <si>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</si>
  <si>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</si>
  <si>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</si>
  <si>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</si>
  <si>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</si>
  <si>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</si>
  <si>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</si>
  <si>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</si>
  <si>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</si>
  <si>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</si>
  <si>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</si>
  <si>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</si>
  <si>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</si>
  <si>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</si>
  <si>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</si>
  <si>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</si>
  <si>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</si>
  <si>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</si>
  <si>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</si>
  <si>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</si>
  <si>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</si>
  <si>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</si>
  <si>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</si>
  <si>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</si>
  <si>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</si>
  <si>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</si>
  <si>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</si>
  <si>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</si>
  <si>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</si>
  <si>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</si>
  <si>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</si>
  <si>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</si>
  <si>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</si>
  <si>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</si>
  <si>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</si>
  <si>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</si>
  <si>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</si>
  <si>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</si>
  <si>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</si>
  <si>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</si>
  <si>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</si>
  <si>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</si>
  <si>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</si>
  <si>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</si>
  <si>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</si>
  <si>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</si>
  <si>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</si>
  <si>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</si>
  <si>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</si>
  <si>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</si>
  <si>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</si>
  <si>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</si>
  <si>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</si>
  <si>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</si>
  <si>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</si>
  <si>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</si>
  <si>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</si>
  <si>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</si>
  <si>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</si>
  <si>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</si>
  <si>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</si>
  <si>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</si>
  <si>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</si>
  <si>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</si>
  <si>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</si>
  <si>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</si>
  <si>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</si>
  <si>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</si>
  <si>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</si>
  <si>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</si>
  <si>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</si>
  <si>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</si>
  <si>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</si>
  <si>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</si>
  <si>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</si>
  <si>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</si>
  <si>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</si>
  <si>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</si>
  <si>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</si>
  <si>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</si>
  <si>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</si>
  <si>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</si>
  <si>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</si>
  <si>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</si>
  <si>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</si>
  <si>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</si>
  <si>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</si>
  <si>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</si>
  <si>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</si>
  <si>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</si>
  <si>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</si>
  <si>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</si>
  <si>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</si>
  <si>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</si>
  <si>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</si>
  <si>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</si>
  <si>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</si>
  <si>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</si>
  <si>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</si>
  <si>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</si>
  <si>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</si>
  <si>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</si>
  <si>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</si>
  <si>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</si>
  <si>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</si>
  <si>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</si>
  <si>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</si>
  <si>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</si>
  <si>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</si>
  <si>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</si>
  <si>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</si>
  <si>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</si>
  <si>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</si>
  <si>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</si>
  <si>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</si>
  <si>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</si>
  <si>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</si>
  <si>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</si>
  <si>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</si>
  <si>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</si>
  <si>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</si>
  <si>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</si>
  <si>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</si>
  <si>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</si>
  <si>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</si>
  <si>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</si>
  <si>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</si>
  <si>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</si>
  <si>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</si>
  <si>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</si>
  <si>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</si>
  <si>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</si>
  <si>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</si>
  <si>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</si>
  <si>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</si>
  <si>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</si>
  <si>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</si>
  <si>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</si>
  <si>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</si>
  <si>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</si>
  <si>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</si>
  <si>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</si>
  <si>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</si>
  <si>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</si>
  <si>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</si>
  <si>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</si>
  <si>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</si>
  <si>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</si>
  <si>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</si>
  <si>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</si>
  <si>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</si>
  <si>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</si>
  <si>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</si>
  <si>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</si>
  <si>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</si>
  <si>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</si>
  <si>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</si>
  <si>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</si>
  <si>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</si>
  <si>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</si>
  <si>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</si>
  <si>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</si>
  <si>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</si>
  <si>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</si>
  <si>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</si>
  <si>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</si>
  <si>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</si>
  <si>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</si>
  <si>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</si>
  <si>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</si>
  <si>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</si>
  <si>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</si>
  <si>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</si>
  <si>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</si>
  <si>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</si>
  <si>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</si>
  <si>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</si>
  <si>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</si>
  <si>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</si>
  <si>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</si>
  <si>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</si>
  <si>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</si>
  <si>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</si>
  <si>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</si>
  <si>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</si>
  <si>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</si>
  <si>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</si>
  <si>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</si>
  <si>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</si>
  <si>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</si>
  <si>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</si>
  <si>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</si>
  <si>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</si>
  <si>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</si>
  <si>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</si>
  <si>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</si>
  <si>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</si>
  <si>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</si>
  <si>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</si>
  <si>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</si>
  <si>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</si>
  <si>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</si>
  <si>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</si>
  <si>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</si>
  <si>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</si>
  <si>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</si>
  <si>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</si>
  <si>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</si>
  <si>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</si>
  <si>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</si>
  <si>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</si>
  <si>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</si>
  <si>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</si>
  <si>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</si>
  <si>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</si>
  <si>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</si>
  <si>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</si>
  <si>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</si>
  <si>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</si>
  <si>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</si>
  <si>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</si>
  <si>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</si>
  <si>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</si>
  <si>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</si>
  <si>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</si>
  <si>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</si>
  <si>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</si>
  <si>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</si>
  <si>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</si>
  <si>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</si>
  <si>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</si>
  <si>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</si>
  <si>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</si>
  <si>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</si>
  <si>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</si>
  <si>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</si>
  <si>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</si>
  <si>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</si>
  <si>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</si>
  <si>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</si>
  <si>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</si>
  <si>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</si>
  <si>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</si>
  <si>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</si>
  <si>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</si>
  <si>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</si>
  <si>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</si>
  <si>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</si>
  <si>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</si>
  <si>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</si>
  <si>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</si>
  <si>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</si>
  <si>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</si>
  <si>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</si>
  <si>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</si>
  <si>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</si>
  <si>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</si>
  <si>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</si>
  <si>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</si>
  <si>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</si>
  <si>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</si>
  <si>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</si>
  <si>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</si>
  <si>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</si>
  <si>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</si>
  <si>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</si>
  <si>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</si>
  <si>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</si>
  <si>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</si>
  <si>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</si>
  <si>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</si>
  <si>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</si>
  <si>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</si>
  <si>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</si>
  <si>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</si>
  <si>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</si>
  <si>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</si>
  <si>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</si>
  <si>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</si>
  <si>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</si>
  <si>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</si>
  <si>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</si>
  <si>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</si>
  <si>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</si>
  <si>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</si>
  <si>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</si>
  <si>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</si>
  <si>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</si>
  <si>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</si>
  <si>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</si>
  <si>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</si>
  <si>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</si>
  <si>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</si>
  <si>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</si>
  <si>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</si>
  <si>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</si>
  <si>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</si>
  <si>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</si>
  <si>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</si>
  <si>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</si>
  <si>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</si>
  <si>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</si>
  <si>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</si>
  <si>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</si>
  <si>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</si>
  <si>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</si>
  <si>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</si>
  <si>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</si>
  <si>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</si>
  <si>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</si>
  <si>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</si>
  <si>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</si>
  <si>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</si>
  <si>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</si>
  <si>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</si>
  <si>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</si>
  <si>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</si>
  <si>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</si>
  <si>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</si>
  <si>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</si>
  <si>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</si>
  <si>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</si>
  <si>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</si>
  <si>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</si>
  <si>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</si>
  <si>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</si>
  <si>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</si>
  <si>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</si>
  <si>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</si>
  <si>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</si>
  <si>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</si>
  <si>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</si>
  <si>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</si>
  <si>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</si>
  <si>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</si>
  <si>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</si>
  <si>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</si>
  <si>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</si>
  <si>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</si>
  <si>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</si>
  <si>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</si>
  <si>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</si>
  <si>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</si>
  <si>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</si>
  <si>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</si>
  <si>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</si>
  <si>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</si>
  <si>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</si>
  <si>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</si>
  <si>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</si>
  <si>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</si>
  <si>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</si>
  <si>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</si>
  <si>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</si>
  <si>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</si>
  <si>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</si>
  <si>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</si>
  <si>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</si>
  <si>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</si>
  <si>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</si>
  <si>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</si>
  <si>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</si>
  <si>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</si>
  <si>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</si>
  <si>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</si>
  <si>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</si>
  <si>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</si>
  <si>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</si>
  <si>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</si>
  <si>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</si>
  <si>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</si>
  <si>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</si>
  <si>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</si>
  <si>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</si>
  <si>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</si>
  <si>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</si>
  <si>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</si>
  <si>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</si>
  <si>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</si>
  <si>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</si>
  <si>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</si>
  <si>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</si>
  <si>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</si>
  <si>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</si>
  <si>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</si>
  <si>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</si>
  <si>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</si>
  <si>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</si>
  <si>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</si>
  <si>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</si>
  <si>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</si>
  <si>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</si>
  <si>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</si>
  <si>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</si>
  <si>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</si>
  <si>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</si>
  <si>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</si>
  <si>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</si>
  <si>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</si>
  <si>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</si>
  <si>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</si>
  <si>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</si>
  <si>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</si>
  <si>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</si>
  <si>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</si>
  <si>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</si>
  <si>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</si>
  <si>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</si>
  <si>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</si>
  <si>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</si>
  <si>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</si>
  <si>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</si>
  <si>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</si>
  <si>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</si>
  <si>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</si>
  <si>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</si>
  <si>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</si>
  <si>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</si>
  <si>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</si>
  <si>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</si>
  <si>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</si>
  <si>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</si>
  <si>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</si>
  <si>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</si>
  <si>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</si>
  <si>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</si>
  <si>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</si>
  <si>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</si>
  <si>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</si>
  <si>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</si>
  <si>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</si>
  <si>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</si>
  <si>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</si>
  <si>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</si>
  <si>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</si>
  <si>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</si>
  <si>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</si>
  <si>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</si>
  <si>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</si>
  <si>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</si>
  <si>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</si>
  <si>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</si>
  <si>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</si>
  <si>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</si>
  <si>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</si>
  <si>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</si>
  <si>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</si>
  <si>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</si>
  <si>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</si>
  <si>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</si>
  <si>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</si>
  <si>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</si>
  <si>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</si>
  <si>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</si>
  <si>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</si>
  <si>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</si>
  <si>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</si>
  <si>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</si>
  <si>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</si>
  <si>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</si>
  <si>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</si>
  <si>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</si>
  <si>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</si>
  <si>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</si>
  <si>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</si>
  <si>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</si>
  <si>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</si>
  <si>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</si>
  <si>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</si>
  <si>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</si>
  <si>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</si>
  <si>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</si>
  <si>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</si>
  <si>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</si>
  <si>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</si>
  <si>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</si>
  <si>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</si>
  <si>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</si>
  <si>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</si>
  <si>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</si>
  <si>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</si>
  <si>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</si>
  <si>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</si>
  <si>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</si>
  <si>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</si>
  <si>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</si>
  <si>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</si>
  <si>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</si>
  <si>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</si>
  <si>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</si>
  <si>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</si>
  <si>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</si>
  <si>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</si>
  <si>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</si>
  <si>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</si>
  <si>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</si>
  <si>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</si>
  <si>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</si>
  <si>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</si>
  <si>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</si>
  <si>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</si>
  <si>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</si>
  <si>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</si>
  <si>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</si>
  <si>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</si>
  <si>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</si>
  <si>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</si>
  <si>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</si>
  <si>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</si>
  <si>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</si>
  <si>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</si>
  <si>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</si>
  <si>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</si>
  <si>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</si>
  <si>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</si>
  <si>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</si>
  <si>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</si>
  <si>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</si>
  <si>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</si>
  <si>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</si>
  <si>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</si>
  <si>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</si>
  <si>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</si>
  <si>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</si>
  <si>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</si>
  <si>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</si>
  <si>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</si>
  <si>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</si>
  <si>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</si>
  <si>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</si>
  <si>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</si>
  <si>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</si>
  <si>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</si>
  <si>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</si>
  <si>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</si>
  <si>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</si>
  <si>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</si>
  <si>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</si>
  <si>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</si>
  <si>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</si>
  <si>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</si>
  <si>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</si>
  <si>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</si>
  <si>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</si>
  <si>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Dec yyyy</t>
  </si>
  <si>
    <t>Dec  yyyy</t>
  </si>
  <si>
    <t>350.b</t>
  </si>
  <si>
    <t>Lease</t>
  </si>
  <si>
    <t>Wygen 2 Ground Lease (Production)</t>
  </si>
  <si>
    <t>Harriman Communication tower lease (Distribution)</t>
  </si>
  <si>
    <t>Horse Creek Site Trunking System Repeater Radio (Distribution)</t>
  </si>
  <si>
    <t xml:space="preserve">Branding </t>
  </si>
  <si>
    <t>Advertising and Promo</t>
  </si>
  <si>
    <t>Actuals - For the 12 months ended 12/31/2021</t>
  </si>
  <si>
    <t>BHBE System</t>
  </si>
  <si>
    <t>ARH Commodity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</si>
</sst>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30">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4" fontId="164" fillId="81" borderId="0" xfId="0" applyNumberFormat="1" applyFont="1" applyFill="1" applyProtection="1">
      <protection locked="0"/>
    </xf>
    <xf numFmtId="43" fontId="164" fillId="2" borderId="0" xfId="4665" applyFont="1" applyFill="1" applyAlignment="1" applyProtection="1">
      <protection locked="0"/>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Fill="1" applyAlignment="1">
      <alignment horizontal="left" vertical="top" wrapText="1"/>
    </xf>
    <xf numFmtId="0" fontId="29" fillId="0" borderId="0" xfId="0" applyNumberFormat="1" applyFont="1" applyFill="1" applyAlignment="1" applyProtection="1">
      <alignment horizontal="left" vertical="top" wrapText="1"/>
      <protection locked="0"/>
    </xf>
    <xf numFmtId="0" fontId="29" fillId="0" borderId="0" xfId="0" applyNumberFormat="1" applyFont="1" applyFill="1" applyAlignment="1" applyProtection="1">
      <alignment vertical="top" wrapText="1"/>
      <protection locked="0"/>
    </xf>
    <xf numFmtId="172" fontId="29" fillId="0" borderId="0" xfId="0"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4597" applyNumberFormat="1" applyFont="1" applyFill="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172" fontId="29" fillId="0" borderId="0" xfId="0" applyFont="1" applyFill="1" applyAlignment="1">
      <alignment horizontal="left" wrapText="1"/>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121" fillId="0" borderId="0" xfId="0" applyFont="1" applyFill="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zoomScale="80" zoomScaleNormal="80" workbookViewId="0">
      <selection activeCell="H17" sqref="H17"/>
    </sheetView>
  </sheetViews>
  <sheetFormatPr defaultColWidth="8.69140625" defaultRowHeight="15.5"/>
  <cols>
    <col min="1" max="1" width="23.69140625" style="251" customWidth="1"/>
    <col min="2" max="2" width="36.69140625" style="251" customWidth="1"/>
    <col min="3" max="3" width="67" style="251" bestFit="1" customWidth="1"/>
    <col min="4" max="4" width="18.69140625" style="251" customWidth="1"/>
    <col min="5" max="16384" width="8.69140625" style="251"/>
  </cols>
  <sheetData>
    <row r="1" spans="1:5" ht="20">
      <c r="A1" s="946" t="s">
        <v>317</v>
      </c>
      <c r="B1" s="946"/>
      <c r="C1" s="946"/>
      <c r="D1" s="946"/>
      <c r="E1" s="946"/>
    </row>
    <row r="2" spans="1:5" ht="20">
      <c r="A2" s="946" t="s">
        <v>547</v>
      </c>
      <c r="B2" s="946"/>
      <c r="C2" s="946"/>
      <c r="D2" s="946"/>
      <c r="E2" s="946"/>
    </row>
    <row r="3" spans="1:5">
      <c r="A3" s="252"/>
    </row>
    <row r="4" spans="1:5" ht="20">
      <c r="A4" s="946" t="s">
        <v>303</v>
      </c>
      <c r="B4" s="946"/>
      <c r="C4" s="946"/>
      <c r="D4" s="946"/>
      <c r="E4" s="946"/>
    </row>
    <row r="5" spans="1:5">
      <c r="A5" s="252"/>
      <c r="E5" s="253" t="s">
        <v>673</v>
      </c>
    </row>
    <row r="6" spans="1:5">
      <c r="A6" s="252" t="s">
        <v>304</v>
      </c>
    </row>
    <row r="7" spans="1:5" ht="47.25" customHeight="1">
      <c r="A7" s="944" t="s">
        <v>649</v>
      </c>
      <c r="B7" s="944"/>
      <c r="C7" s="944"/>
      <c r="D7" s="944"/>
      <c r="E7" s="944"/>
    </row>
    <row r="8" spans="1:5">
      <c r="A8" s="254"/>
      <c r="B8" s="254"/>
      <c r="C8" s="254"/>
      <c r="D8" s="254"/>
      <c r="E8" s="254"/>
    </row>
    <row r="9" spans="1:5" ht="36.75" customHeight="1">
      <c r="A9" s="944" t="s">
        <v>650</v>
      </c>
      <c r="B9" s="944"/>
      <c r="C9" s="944"/>
      <c r="D9" s="944"/>
      <c r="E9" s="944"/>
    </row>
    <row r="10" spans="1:5">
      <c r="A10" s="252"/>
    </row>
    <row r="11" spans="1:5" ht="51.75" customHeight="1">
      <c r="A11" s="944" t="s">
        <v>764</v>
      </c>
      <c r="B11" s="944"/>
      <c r="C11" s="944"/>
      <c r="D11" s="944"/>
      <c r="E11" s="944"/>
    </row>
    <row r="12" spans="1:5" ht="32.25" customHeight="1">
      <c r="A12" s="255"/>
      <c r="B12" s="945" t="s">
        <v>305</v>
      </c>
      <c r="C12" s="945"/>
      <c r="D12" s="945"/>
      <c r="E12" s="945"/>
    </row>
    <row r="13" spans="1:5" ht="19.5" customHeight="1">
      <c r="A13" s="256"/>
      <c r="B13" s="257" t="s">
        <v>674</v>
      </c>
      <c r="C13" s="257"/>
      <c r="D13" s="257"/>
      <c r="E13" s="257"/>
    </row>
    <row r="14" spans="1:5">
      <c r="A14" s="252"/>
      <c r="C14" s="251" t="s">
        <v>306</v>
      </c>
    </row>
    <row r="16" spans="1:5" ht="16"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J43"/>
  <sheetViews>
    <sheetView workbookViewId="0">
      <selection activeCell="I23" sqref="I23"/>
    </sheetView>
  </sheetViews>
  <sheetFormatPr defaultColWidth="7.07421875" defaultRowHeight="13"/>
  <cols>
    <col min="1" max="1" width="2.07421875" style="267" customWidth="1"/>
    <col min="2" max="2" width="4.69140625" style="267" customWidth="1"/>
    <col min="3" max="3" width="17.4609375" style="267" customWidth="1"/>
    <col min="4" max="4" width="36.69140625" style="267" bestFit="1" customWidth="1"/>
    <col min="5" max="5" width="8.69140625" style="267" bestFit="1" customWidth="1"/>
    <col min="6" max="6" width="7.23046875" style="267" customWidth="1"/>
    <col min="7" max="7" width="7.53515625" style="267" customWidth="1"/>
    <col min="8" max="8" width="9.23046875" style="281"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4" t="s">
        <v>1037</v>
      </c>
      <c r="B1" s="974"/>
      <c r="C1" s="974"/>
      <c r="D1" s="974"/>
      <c r="E1" s="974"/>
      <c r="F1" s="974"/>
      <c r="G1" s="974"/>
      <c r="H1" s="974"/>
    </row>
    <row r="2" spans="1:8">
      <c r="A2" s="974" t="s">
        <v>979</v>
      </c>
      <c r="B2" s="974"/>
      <c r="C2" s="974"/>
      <c r="D2" s="974"/>
      <c r="E2" s="974"/>
      <c r="F2" s="974"/>
      <c r="G2" s="974"/>
      <c r="H2" s="974"/>
    </row>
    <row r="3" spans="1:8">
      <c r="A3" s="975" t="str">
        <f>'Act Att-H'!C7</f>
        <v>Cheyenne Light, Fuel &amp; Power</v>
      </c>
      <c r="B3" s="975"/>
      <c r="C3" s="975"/>
      <c r="D3" s="975"/>
      <c r="E3" s="975"/>
      <c r="F3" s="975"/>
      <c r="G3" s="975"/>
      <c r="H3" s="975"/>
    </row>
    <row r="4" spans="1:8">
      <c r="F4" s="303"/>
      <c r="H4" s="304" t="s">
        <v>673</v>
      </c>
    </row>
    <row r="5" spans="1:8">
      <c r="A5" s="301"/>
      <c r="B5" s="290"/>
      <c r="C5" s="290"/>
      <c r="D5" s="290"/>
      <c r="E5" s="290"/>
      <c r="F5" s="305"/>
      <c r="G5" s="305"/>
      <c r="H5" s="301"/>
    </row>
    <row r="6" spans="1:8" ht="60.75" customHeight="1">
      <c r="B6" s="306" t="s">
        <v>4</v>
      </c>
      <c r="C6" s="306" t="s">
        <v>1075</v>
      </c>
      <c r="D6" s="306" t="s">
        <v>191</v>
      </c>
      <c r="E6" s="911" t="s">
        <v>1101</v>
      </c>
      <c r="F6" s="307" t="s">
        <v>10</v>
      </c>
      <c r="G6" s="307" t="s">
        <v>1043</v>
      </c>
      <c r="H6" s="307" t="s">
        <v>1044</v>
      </c>
    </row>
    <row r="7" spans="1:8" ht="15" customHeight="1">
      <c r="B7" s="298"/>
      <c r="C7" s="308" t="s">
        <v>157</v>
      </c>
      <c r="D7" s="309" t="s">
        <v>158</v>
      </c>
      <c r="E7" s="309" t="s">
        <v>159</v>
      </c>
      <c r="F7" s="309" t="s">
        <v>160</v>
      </c>
      <c r="G7" s="309" t="s">
        <v>161</v>
      </c>
      <c r="H7" s="309" t="s">
        <v>162</v>
      </c>
    </row>
    <row r="8" spans="1:8" ht="15" customHeight="1">
      <c r="B8" s="271">
        <v>1</v>
      </c>
      <c r="C8" s="530" t="s">
        <v>1045</v>
      </c>
      <c r="D8" s="278" t="s">
        <v>1045</v>
      </c>
      <c r="E8" s="834">
        <v>41478.370000000003</v>
      </c>
      <c r="F8" s="848" t="s">
        <v>11</v>
      </c>
      <c r="G8" s="849">
        <f>'Act Att-H'!$I$174</f>
        <v>0.93588134221765762</v>
      </c>
      <c r="H8" s="841">
        <f t="shared" ref="H8:H32" si="0">G8*E8</f>
        <v>38818.832588600628</v>
      </c>
    </row>
    <row r="9" spans="1:8" ht="15" customHeight="1">
      <c r="B9" s="271">
        <v>2</v>
      </c>
      <c r="C9" s="530" t="s">
        <v>1120</v>
      </c>
      <c r="D9" s="278" t="s">
        <v>1122</v>
      </c>
      <c r="E9" s="839">
        <v>55543.245000000024</v>
      </c>
      <c r="F9" s="848" t="s">
        <v>11</v>
      </c>
      <c r="G9" s="849">
        <f>'Act Att-H'!$I$174</f>
        <v>0.93588134221765762</v>
      </c>
      <c r="H9" s="842">
        <f t="shared" si="0"/>
        <v>51981.886681724223</v>
      </c>
    </row>
    <row r="10" spans="1:8" ht="15" customHeight="1">
      <c r="B10" s="271">
        <v>3</v>
      </c>
      <c r="C10" s="530" t="s">
        <v>1046</v>
      </c>
      <c r="D10" s="278" t="s">
        <v>1053</v>
      </c>
      <c r="E10" s="839">
        <v>4555.8744230769225</v>
      </c>
      <c r="F10" s="848" t="s">
        <v>100</v>
      </c>
      <c r="G10" s="849">
        <f>'Act Att-H'!$I$191</f>
        <v>8.3698853923777461E-2</v>
      </c>
      <c r="H10" s="842">
        <f t="shared" si="0"/>
        <v>381.32146783218923</v>
      </c>
    </row>
    <row r="11" spans="1:8" ht="15" customHeight="1">
      <c r="B11" s="271">
        <v>4</v>
      </c>
      <c r="C11" s="530" t="s">
        <v>1121</v>
      </c>
      <c r="D11" s="278" t="s">
        <v>1123</v>
      </c>
      <c r="E11" s="839">
        <v>2583.3788461538466</v>
      </c>
      <c r="F11" s="848" t="s">
        <v>100</v>
      </c>
      <c r="G11" s="849">
        <f>'Act Att-H'!$I$191</f>
        <v>8.3698853923777461E-2</v>
      </c>
      <c r="H11" s="842">
        <f t="shared" si="0"/>
        <v>216.22584867400758</v>
      </c>
    </row>
    <row r="12" spans="1:8" ht="15" customHeight="1">
      <c r="B12" s="271">
        <v>5</v>
      </c>
      <c r="C12" s="530" t="s">
        <v>1047</v>
      </c>
      <c r="D12" s="278" t="s">
        <v>1054</v>
      </c>
      <c r="E12" s="839">
        <v>3937.700296153846</v>
      </c>
      <c r="F12" s="848" t="s">
        <v>100</v>
      </c>
      <c r="G12" s="849">
        <f>'Act Att-H'!$I$191</f>
        <v>8.3698853923777461E-2</v>
      </c>
      <c r="H12" s="842">
        <f t="shared" ref="H12:H22" si="1">G12*E12</f>
        <v>329.58100188339603</v>
      </c>
    </row>
    <row r="13" spans="1:8" ht="15" customHeight="1">
      <c r="B13" s="271">
        <v>6</v>
      </c>
      <c r="C13" s="530" t="s">
        <v>1048</v>
      </c>
      <c r="D13" s="278" t="s">
        <v>1055</v>
      </c>
      <c r="E13" s="839">
        <v>2411.177203846154</v>
      </c>
      <c r="F13" s="848" t="s">
        <v>27</v>
      </c>
      <c r="G13" s="849">
        <v>0</v>
      </c>
      <c r="H13" s="842">
        <f t="shared" si="1"/>
        <v>0</v>
      </c>
    </row>
    <row r="14" spans="1:8" ht="15" customHeight="1">
      <c r="B14" s="271">
        <v>7</v>
      </c>
      <c r="C14" s="530" t="s">
        <v>1049</v>
      </c>
      <c r="D14" s="278" t="s">
        <v>1056</v>
      </c>
      <c r="E14" s="839">
        <v>131148.96128205128</v>
      </c>
      <c r="F14" s="848" t="s">
        <v>27</v>
      </c>
      <c r="G14" s="849">
        <v>0</v>
      </c>
      <c r="H14" s="842">
        <f t="shared" si="1"/>
        <v>0</v>
      </c>
    </row>
    <row r="15" spans="1:8" ht="15" customHeight="1">
      <c r="B15" s="271">
        <v>8</v>
      </c>
      <c r="C15" s="530" t="s">
        <v>1050</v>
      </c>
      <c r="D15" s="278" t="s">
        <v>1057</v>
      </c>
      <c r="E15" s="839">
        <v>153951.80538461541</v>
      </c>
      <c r="F15" s="848" t="s">
        <v>100</v>
      </c>
      <c r="G15" s="849">
        <f>'Act Att-H'!$I$191</f>
        <v>8.3698853923777461E-2</v>
      </c>
      <c r="H15" s="842">
        <f t="shared" si="1"/>
        <v>12885.589670188741</v>
      </c>
    </row>
    <row r="16" spans="1:8" ht="15" customHeight="1">
      <c r="B16" s="271">
        <v>9</v>
      </c>
      <c r="C16" s="530" t="s">
        <v>1051</v>
      </c>
      <c r="D16" s="278" t="s">
        <v>1058</v>
      </c>
      <c r="E16" s="839"/>
      <c r="F16" s="848" t="s">
        <v>100</v>
      </c>
      <c r="G16" s="849">
        <f>'Act Att-H'!$I$191</f>
        <v>8.3698853923777461E-2</v>
      </c>
      <c r="H16" s="842">
        <f t="shared" si="1"/>
        <v>0</v>
      </c>
    </row>
    <row r="17" spans="2:10">
      <c r="B17" s="271">
        <v>10</v>
      </c>
      <c r="C17" s="530" t="s">
        <v>1052</v>
      </c>
      <c r="D17" s="278" t="s">
        <v>1059</v>
      </c>
      <c r="E17" s="839">
        <v>638157.76923076925</v>
      </c>
      <c r="F17" s="848" t="s">
        <v>27</v>
      </c>
      <c r="G17" s="849">
        <v>0</v>
      </c>
      <c r="H17" s="842">
        <f t="shared" si="1"/>
        <v>0</v>
      </c>
    </row>
    <row r="18" spans="2:10">
      <c r="B18" s="271">
        <v>11</v>
      </c>
      <c r="C18" s="833" t="s">
        <v>1228</v>
      </c>
      <c r="D18" s="835" t="s">
        <v>1229</v>
      </c>
      <c r="E18" s="839">
        <v>15736.5</v>
      </c>
      <c r="F18" s="838" t="s">
        <v>27</v>
      </c>
      <c r="G18" s="849">
        <f t="shared" ref="G18:G32" si="2">IF(F18=0,0, IF(F18="NA", NA, IF(F18="TP",TP, IF(F18="TE",TE,IF(F18="CE",CE,IF(F18="WS",WS,IF(F18="DA",DA, IF(F18="NP",NP))))))))</f>
        <v>0</v>
      </c>
      <c r="H18" s="842">
        <f t="shared" si="1"/>
        <v>0</v>
      </c>
    </row>
    <row r="19" spans="2:10">
      <c r="B19" s="271">
        <v>12</v>
      </c>
      <c r="C19" s="942" t="s">
        <v>1228</v>
      </c>
      <c r="D19" s="835" t="s">
        <v>1230</v>
      </c>
      <c r="E19" s="839">
        <v>1107.6923076923076</v>
      </c>
      <c r="F19" s="838" t="s">
        <v>27</v>
      </c>
      <c r="G19" s="849">
        <f t="shared" si="2"/>
        <v>0</v>
      </c>
      <c r="H19" s="842">
        <f t="shared" si="1"/>
        <v>0</v>
      </c>
    </row>
    <row r="20" spans="2:10">
      <c r="B20" s="271">
        <v>13</v>
      </c>
      <c r="C20" s="942" t="s">
        <v>1228</v>
      </c>
      <c r="D20" s="835" t="s">
        <v>1231</v>
      </c>
      <c r="E20" s="839">
        <v>807.69846153846106</v>
      </c>
      <c r="F20" s="838" t="s">
        <v>27</v>
      </c>
      <c r="G20" s="849">
        <f t="shared" si="2"/>
        <v>0</v>
      </c>
      <c r="H20" s="842">
        <f t="shared" si="1"/>
        <v>0</v>
      </c>
    </row>
    <row r="21" spans="2:10">
      <c r="B21" s="271">
        <v>14</v>
      </c>
      <c r="C21" s="942" t="s">
        <v>1232</v>
      </c>
      <c r="D21" s="835" t="s">
        <v>1233</v>
      </c>
      <c r="E21" s="839">
        <v>35362.49</v>
      </c>
      <c r="F21" s="838" t="s">
        <v>27</v>
      </c>
      <c r="G21" s="849">
        <f t="shared" si="2"/>
        <v>0</v>
      </c>
      <c r="H21" s="842">
        <f t="shared" si="1"/>
        <v>0</v>
      </c>
    </row>
    <row r="22" spans="2:10">
      <c r="B22" s="271">
        <v>15</v>
      </c>
      <c r="C22" s="942"/>
      <c r="D22" s="835"/>
      <c r="E22" s="839"/>
      <c r="F22" s="838"/>
      <c r="G22" s="849">
        <f t="shared" si="2"/>
        <v>0</v>
      </c>
      <c r="H22" s="842">
        <f t="shared" si="1"/>
        <v>0</v>
      </c>
      <c r="J22" s="299"/>
    </row>
    <row r="23" spans="2:10">
      <c r="B23" s="271">
        <v>16</v>
      </c>
      <c r="C23" s="942"/>
      <c r="D23" s="835"/>
      <c r="E23" s="839"/>
      <c r="F23" s="838"/>
      <c r="G23" s="849">
        <f t="shared" si="2"/>
        <v>0</v>
      </c>
      <c r="H23" s="842">
        <f t="shared" si="0"/>
        <v>0</v>
      </c>
    </row>
    <row r="24" spans="2:10">
      <c r="B24" s="271">
        <v>17</v>
      </c>
      <c r="C24" s="833"/>
      <c r="D24" s="835"/>
      <c r="E24" s="839">
        <v>0</v>
      </c>
      <c r="F24" s="838"/>
      <c r="G24" s="849">
        <f t="shared" si="2"/>
        <v>0</v>
      </c>
      <c r="H24" s="842">
        <f t="shared" si="0"/>
        <v>0</v>
      </c>
    </row>
    <row r="25" spans="2:10">
      <c r="B25" s="271">
        <v>18</v>
      </c>
      <c r="C25" s="833"/>
      <c r="D25" s="835"/>
      <c r="E25" s="839">
        <v>0</v>
      </c>
      <c r="F25" s="838"/>
      <c r="G25" s="849">
        <f t="shared" si="2"/>
        <v>0</v>
      </c>
      <c r="H25" s="842">
        <f t="shared" si="0"/>
        <v>0</v>
      </c>
    </row>
    <row r="26" spans="2:10">
      <c r="B26" s="271">
        <v>19</v>
      </c>
      <c r="C26" s="833"/>
      <c r="D26" s="835"/>
      <c r="E26" s="839">
        <v>0</v>
      </c>
      <c r="F26" s="838"/>
      <c r="G26" s="849">
        <f t="shared" si="2"/>
        <v>0</v>
      </c>
      <c r="H26" s="842">
        <f t="shared" si="0"/>
        <v>0</v>
      </c>
    </row>
    <row r="27" spans="2:10">
      <c r="B27" s="271">
        <v>20</v>
      </c>
      <c r="C27" s="833"/>
      <c r="D27" s="835"/>
      <c r="E27" s="839">
        <v>0</v>
      </c>
      <c r="F27" s="838"/>
      <c r="G27" s="849">
        <f t="shared" si="2"/>
        <v>0</v>
      </c>
      <c r="H27" s="842">
        <f t="shared" si="0"/>
        <v>0</v>
      </c>
      <c r="J27" s="299"/>
    </row>
    <row r="28" spans="2:10">
      <c r="B28" s="271">
        <v>21</v>
      </c>
      <c r="C28" s="833"/>
      <c r="D28" s="835"/>
      <c r="E28" s="839">
        <v>0</v>
      </c>
      <c r="F28" s="838"/>
      <c r="G28" s="849">
        <f t="shared" si="2"/>
        <v>0</v>
      </c>
      <c r="H28" s="842">
        <f t="shared" si="0"/>
        <v>0</v>
      </c>
      <c r="I28" s="299"/>
    </row>
    <row r="29" spans="2:10">
      <c r="B29" s="271">
        <v>22</v>
      </c>
      <c r="C29" s="833"/>
      <c r="D29" s="835"/>
      <c r="E29" s="839">
        <v>0</v>
      </c>
      <c r="F29" s="838"/>
      <c r="G29" s="849">
        <f t="shared" si="2"/>
        <v>0</v>
      </c>
      <c r="H29" s="842">
        <f t="shared" si="0"/>
        <v>0</v>
      </c>
      <c r="I29" s="299"/>
    </row>
    <row r="30" spans="2:10">
      <c r="B30" s="271">
        <v>23</v>
      </c>
      <c r="C30" s="833"/>
      <c r="D30" s="835"/>
      <c r="E30" s="839">
        <v>0</v>
      </c>
      <c r="F30" s="838"/>
      <c r="G30" s="849">
        <f t="shared" si="2"/>
        <v>0</v>
      </c>
      <c r="H30" s="842">
        <f t="shared" si="0"/>
        <v>0</v>
      </c>
      <c r="I30" s="299"/>
    </row>
    <row r="31" spans="2:10">
      <c r="B31" s="271">
        <v>24</v>
      </c>
      <c r="C31" s="833"/>
      <c r="D31" s="835"/>
      <c r="E31" s="839">
        <v>0</v>
      </c>
      <c r="F31" s="838"/>
      <c r="G31" s="849">
        <f t="shared" si="2"/>
        <v>0</v>
      </c>
      <c r="H31" s="842">
        <f t="shared" si="0"/>
        <v>0</v>
      </c>
      <c r="I31" s="299"/>
    </row>
    <row r="32" spans="2:10">
      <c r="B32" s="271">
        <v>25</v>
      </c>
      <c r="C32" s="833"/>
      <c r="D32" s="835"/>
      <c r="E32" s="839">
        <v>0</v>
      </c>
      <c r="F32" s="838"/>
      <c r="G32" s="849">
        <f t="shared" si="2"/>
        <v>0</v>
      </c>
      <c r="H32" s="842">
        <f t="shared" si="0"/>
        <v>0</v>
      </c>
      <c r="I32" s="299"/>
    </row>
    <row r="33" spans="2:9">
      <c r="B33" s="271">
        <v>26</v>
      </c>
      <c r="C33" s="404" t="s">
        <v>9</v>
      </c>
      <c r="D33" s="404" t="s">
        <v>636</v>
      </c>
      <c r="E33" s="552">
        <f>SUM(E8:E32)</f>
        <v>1086782.6624358974</v>
      </c>
      <c r="F33" s="836"/>
      <c r="G33" s="840"/>
      <c r="H33" s="837">
        <f>SUM(H8:H32)</f>
        <v>104613.4372589032</v>
      </c>
      <c r="I33" s="299"/>
    </row>
    <row r="34" spans="2:9">
      <c r="B34" s="271">
        <v>27</v>
      </c>
      <c r="C34" s="743" t="s">
        <v>1108</v>
      </c>
      <c r="D34" s="743"/>
      <c r="E34" s="287">
        <f>'A4-Rate Base'!I70</f>
        <v>1086782.5384615385</v>
      </c>
      <c r="F34" s="859"/>
      <c r="G34" s="859"/>
      <c r="H34" s="859"/>
      <c r="I34" s="299"/>
    </row>
    <row r="35" spans="2:9">
      <c r="B35" s="271">
        <v>28</v>
      </c>
      <c r="C35" s="743" t="s">
        <v>1109</v>
      </c>
      <c r="D35" s="743"/>
      <c r="E35" s="552">
        <f>E34-E33</f>
        <v>-0.12397435889579356</v>
      </c>
      <c r="F35" s="859"/>
      <c r="G35" s="859"/>
      <c r="H35" s="859"/>
      <c r="I35" s="299"/>
    </row>
    <row r="36" spans="2:9">
      <c r="B36" s="271"/>
      <c r="H36" s="299"/>
    </row>
    <row r="37" spans="2:9">
      <c r="B37" s="271"/>
      <c r="H37" s="299"/>
    </row>
    <row r="38" spans="2:9">
      <c r="B38" s="491" t="s">
        <v>174</v>
      </c>
      <c r="H38" s="299"/>
    </row>
    <row r="39" spans="2:9">
      <c r="B39" s="294" t="s">
        <v>79</v>
      </c>
      <c r="C39" s="278" t="s">
        <v>1060</v>
      </c>
      <c r="D39" s="278"/>
      <c r="E39" s="278"/>
      <c r="F39" s="278"/>
      <c r="G39" s="278"/>
      <c r="H39" s="299"/>
    </row>
    <row r="40" spans="2:9" ht="147" customHeight="1">
      <c r="B40" s="532" t="s">
        <v>80</v>
      </c>
      <c r="C40" s="987" t="s">
        <v>1173</v>
      </c>
      <c r="D40" s="987"/>
      <c r="E40" s="987"/>
      <c r="F40" s="987"/>
      <c r="G40" s="987"/>
      <c r="H40" s="987"/>
    </row>
    <row r="41" spans="2:9" ht="26.25" customHeight="1">
      <c r="B41" s="532" t="s">
        <v>81</v>
      </c>
      <c r="C41" s="987" t="s">
        <v>1110</v>
      </c>
      <c r="D41" s="987"/>
      <c r="E41" s="987"/>
      <c r="F41" s="987"/>
      <c r="G41" s="987"/>
      <c r="H41" s="987"/>
    </row>
    <row r="42" spans="2:9">
      <c r="B42" s="271"/>
    </row>
    <row r="43" spans="2:9">
      <c r="B43" s="271"/>
      <c r="C43" s="744"/>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workbookViewId="0">
      <selection activeCell="M17" sqref="M17"/>
    </sheetView>
  </sheetViews>
  <sheetFormatPr defaultColWidth="7.07421875" defaultRowHeight="13"/>
  <cols>
    <col min="1" max="1" width="2.07421875" style="267" customWidth="1"/>
    <col min="2" max="2" width="4.69140625" style="267" customWidth="1"/>
    <col min="3" max="3" width="27.69140625" style="267" customWidth="1"/>
    <col min="4" max="5" width="8.23046875" style="267" bestFit="1" customWidth="1"/>
    <col min="6" max="6" width="7.69140625" style="267" customWidth="1"/>
    <col min="7" max="7" width="7" style="267" customWidth="1"/>
    <col min="8" max="8" width="9.23046875" style="281"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4" t="s">
        <v>1038</v>
      </c>
      <c r="B1" s="974"/>
      <c r="C1" s="974"/>
      <c r="D1" s="974"/>
      <c r="E1" s="974"/>
      <c r="F1" s="974"/>
      <c r="G1" s="974"/>
      <c r="H1" s="974"/>
    </row>
    <row r="2" spans="1:8">
      <c r="A2" s="974" t="s">
        <v>1039</v>
      </c>
      <c r="B2" s="974"/>
      <c r="C2" s="974"/>
      <c r="D2" s="974"/>
      <c r="E2" s="974"/>
      <c r="F2" s="974"/>
      <c r="G2" s="974"/>
      <c r="H2" s="974"/>
    </row>
    <row r="3" spans="1:8">
      <c r="A3" s="975" t="str">
        <f>'Act Att-H'!C7</f>
        <v>Cheyenne Light, Fuel &amp; Power</v>
      </c>
      <c r="B3" s="975"/>
      <c r="C3" s="975"/>
      <c r="D3" s="975"/>
      <c r="E3" s="975"/>
      <c r="F3" s="975"/>
      <c r="G3" s="975"/>
      <c r="H3" s="975"/>
    </row>
    <row r="4" spans="1:8">
      <c r="F4" s="303"/>
      <c r="H4" s="304" t="s">
        <v>673</v>
      </c>
    </row>
    <row r="5" spans="1:8">
      <c r="A5" s="301"/>
      <c r="B5" s="290"/>
      <c r="C5" s="290"/>
      <c r="D5" s="290"/>
      <c r="E5" s="290"/>
      <c r="F5" s="305"/>
      <c r="G5" s="305"/>
      <c r="H5" s="301"/>
    </row>
    <row r="6" spans="1:8" ht="60.75" customHeight="1">
      <c r="B6" s="306" t="s">
        <v>4</v>
      </c>
      <c r="C6" s="911" t="s">
        <v>478</v>
      </c>
      <c r="D6" s="307" t="s">
        <v>1042</v>
      </c>
      <c r="E6" s="307" t="s">
        <v>10</v>
      </c>
      <c r="F6" s="307" t="s">
        <v>1043</v>
      </c>
      <c r="G6" s="307" t="s">
        <v>1044</v>
      </c>
      <c r="H6" s="267"/>
    </row>
    <row r="7" spans="1:8" ht="15" customHeight="1">
      <c r="B7" s="298"/>
      <c r="C7" s="308" t="s">
        <v>157</v>
      </c>
      <c r="D7" s="309" t="s">
        <v>158</v>
      </c>
      <c r="E7" s="309" t="s">
        <v>159</v>
      </c>
      <c r="F7" s="309" t="s">
        <v>160</v>
      </c>
      <c r="G7" s="309" t="s">
        <v>161</v>
      </c>
      <c r="H7" s="267"/>
    </row>
    <row r="8" spans="1:8" ht="15" customHeight="1">
      <c r="B8" s="271">
        <v>1</v>
      </c>
      <c r="C8" s="530" t="s">
        <v>1061</v>
      </c>
      <c r="D8" s="834">
        <v>9176.3900000000012</v>
      </c>
      <c r="E8" s="848" t="s">
        <v>100</v>
      </c>
      <c r="F8" s="849">
        <f t="shared" ref="F8:F13" si="0">IF(E8=0,0, IF(E8="NA", NA, IF(E8="TP",TP, IF(E8="TE",TE,IF(E8="CE",CE,IF(E8="WS",WS,IF(E8="DA",DA, IF(E8="GP",GP))))))))</f>
        <v>8.3698853923777461E-2</v>
      </c>
      <c r="G8" s="841">
        <f t="shared" ref="G8:G16" si="1">F8*D8</f>
        <v>768.05332615761233</v>
      </c>
      <c r="H8" s="267"/>
    </row>
    <row r="9" spans="1:8" ht="15" customHeight="1">
      <c r="B9" s="271">
        <v>2</v>
      </c>
      <c r="C9" s="530" t="s">
        <v>1062</v>
      </c>
      <c r="D9" s="839">
        <v>1632.0800000000002</v>
      </c>
      <c r="E9" s="848" t="s">
        <v>27</v>
      </c>
      <c r="F9" s="849">
        <f t="shared" si="0"/>
        <v>0</v>
      </c>
      <c r="G9" s="842">
        <f t="shared" si="1"/>
        <v>0</v>
      </c>
      <c r="H9" s="267"/>
    </row>
    <row r="10" spans="1:8" ht="15" customHeight="1">
      <c r="B10" s="271">
        <v>3</v>
      </c>
      <c r="C10" s="530" t="s">
        <v>1063</v>
      </c>
      <c r="D10" s="839">
        <v>5317.0899999999992</v>
      </c>
      <c r="E10" s="848" t="s">
        <v>100</v>
      </c>
      <c r="F10" s="849">
        <f t="shared" si="0"/>
        <v>8.3698853923777461E-2</v>
      </c>
      <c r="G10" s="842">
        <f t="shared" si="1"/>
        <v>445.03433920957781</v>
      </c>
      <c r="H10" s="267"/>
    </row>
    <row r="11" spans="1:8" ht="15" customHeight="1">
      <c r="B11" s="271">
        <v>4</v>
      </c>
      <c r="C11" s="530" t="s">
        <v>1064</v>
      </c>
      <c r="D11" s="839">
        <v>13334</v>
      </c>
      <c r="E11" s="848" t="s">
        <v>27</v>
      </c>
      <c r="F11" s="849">
        <f t="shared" si="0"/>
        <v>0</v>
      </c>
      <c r="G11" s="842">
        <f t="shared" si="1"/>
        <v>0</v>
      </c>
      <c r="H11" s="267"/>
    </row>
    <row r="12" spans="1:8" ht="15" customHeight="1">
      <c r="B12" s="271">
        <v>5</v>
      </c>
      <c r="C12" s="530" t="s">
        <v>1073</v>
      </c>
      <c r="D12" s="839">
        <v>-21685.799999999996</v>
      </c>
      <c r="E12" s="848" t="s">
        <v>100</v>
      </c>
      <c r="F12" s="849">
        <f t="shared" si="0"/>
        <v>8.3698853923777461E-2</v>
      </c>
      <c r="G12" s="842">
        <f t="shared" si="1"/>
        <v>-1815.0766064202528</v>
      </c>
      <c r="H12" s="267"/>
    </row>
    <row r="13" spans="1:8" ht="15" customHeight="1">
      <c r="B13" s="271">
        <v>6</v>
      </c>
      <c r="C13" s="530" t="s">
        <v>1065</v>
      </c>
      <c r="D13" s="839">
        <v>0</v>
      </c>
      <c r="E13" s="848" t="s">
        <v>37</v>
      </c>
      <c r="F13" s="849">
        <f t="shared" si="0"/>
        <v>9.347704075468094E-2</v>
      </c>
      <c r="G13" s="842">
        <f t="shared" si="1"/>
        <v>0</v>
      </c>
      <c r="H13" s="267"/>
    </row>
    <row r="14" spans="1:8" ht="15" customHeight="1">
      <c r="B14" s="271">
        <v>7</v>
      </c>
      <c r="C14" s="530" t="s">
        <v>1163</v>
      </c>
      <c r="D14" s="839">
        <v>0</v>
      </c>
      <c r="E14" s="848" t="s">
        <v>100</v>
      </c>
      <c r="F14" s="849">
        <f t="shared" ref="F14:F16" si="2">IF(E14=0,0, IF(E14="NA", NA, IF(E14="TP",TP, IF(E14="TE",TE,IF(E14="CE",CE,IF(E14="WS",WS,IF(E14="DA",DA, IF(E14="GP",GP))))))))</f>
        <v>8.3698853923777461E-2</v>
      </c>
      <c r="G14" s="842">
        <f t="shared" si="1"/>
        <v>0</v>
      </c>
      <c r="H14" s="267"/>
    </row>
    <row r="15" spans="1:8" ht="15" customHeight="1">
      <c r="B15" s="271">
        <v>8</v>
      </c>
      <c r="C15" s="530" t="s">
        <v>1165</v>
      </c>
      <c r="D15" s="839">
        <v>0</v>
      </c>
      <c r="E15" s="848" t="s">
        <v>100</v>
      </c>
      <c r="F15" s="849">
        <f t="shared" si="2"/>
        <v>8.3698853923777461E-2</v>
      </c>
      <c r="G15" s="842">
        <f t="shared" si="1"/>
        <v>0</v>
      </c>
      <c r="H15" s="267"/>
    </row>
    <row r="16" spans="1:8" ht="15" customHeight="1">
      <c r="B16" s="271">
        <v>9</v>
      </c>
      <c r="C16" s="530" t="s">
        <v>1164</v>
      </c>
      <c r="D16" s="839">
        <v>0</v>
      </c>
      <c r="E16" s="848" t="s">
        <v>100</v>
      </c>
      <c r="F16" s="849">
        <f t="shared" si="2"/>
        <v>8.3698853923777461E-2</v>
      </c>
      <c r="G16" s="842">
        <f t="shared" si="1"/>
        <v>0</v>
      </c>
      <c r="H16" s="267"/>
    </row>
    <row r="17" spans="2:8">
      <c r="B17" s="271">
        <v>10</v>
      </c>
      <c r="C17" s="404" t="s">
        <v>9</v>
      </c>
      <c r="D17" s="836" t="s">
        <v>1111</v>
      </c>
      <c r="E17" s="836"/>
      <c r="F17" s="840"/>
      <c r="G17" s="843">
        <f>SUM(G8:G16)</f>
        <v>-601.98894105306272</v>
      </c>
      <c r="H17" s="299"/>
    </row>
    <row r="18" spans="2:8">
      <c r="B18" s="271"/>
      <c r="G18" s="278"/>
      <c r="H18" s="299"/>
    </row>
    <row r="19" spans="2:8">
      <c r="B19" s="271"/>
      <c r="H19" s="299"/>
    </row>
    <row r="20" spans="2:8">
      <c r="B20" s="491" t="s">
        <v>174</v>
      </c>
      <c r="H20" s="299"/>
    </row>
    <row r="21" spans="2:8">
      <c r="B21" s="294" t="s">
        <v>79</v>
      </c>
      <c r="C21" s="278" t="s">
        <v>1204</v>
      </c>
      <c r="D21" s="278"/>
      <c r="E21" s="278"/>
      <c r="F21" s="278"/>
      <c r="G21" s="278"/>
      <c r="H21" s="299"/>
    </row>
    <row r="22" spans="2:8">
      <c r="B22" s="271"/>
    </row>
    <row r="23" spans="2:8">
      <c r="B23" s="271"/>
      <c r="C23" s="744"/>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workbookViewId="0">
      <selection activeCell="H42" sqref="H42"/>
    </sheetView>
  </sheetViews>
  <sheetFormatPr defaultColWidth="7.07421875" defaultRowHeight="13"/>
  <cols>
    <col min="1" max="1" width="5.23046875" style="319" customWidth="1"/>
    <col min="2" max="2" width="5.53515625" style="319" customWidth="1"/>
    <col min="3" max="3" width="5.07421875" style="319" customWidth="1"/>
    <col min="4" max="4" width="12.69140625" style="318" customWidth="1"/>
    <col min="5" max="5" width="22.69140625" style="318" customWidth="1"/>
    <col min="6" max="6" width="12.23046875" style="318" customWidth="1"/>
    <col min="7" max="7" width="13.4609375" style="318" bestFit="1" customWidth="1"/>
    <col min="8" max="8" width="19.23046875" style="318" customWidth="1"/>
    <col min="9" max="9" width="4.69140625" style="318" bestFit="1" customWidth="1"/>
    <col min="10" max="10" width="13" style="318" customWidth="1"/>
    <col min="11" max="11" width="13" style="318" bestFit="1" customWidth="1"/>
    <col min="12" max="13" width="12.23046875" style="318" customWidth="1"/>
    <col min="14" max="14" width="11.53515625" style="318" bestFit="1" customWidth="1"/>
    <col min="15" max="15" width="7.23046875" style="318" bestFit="1" customWidth="1"/>
    <col min="16" max="16" width="11.69140625" style="318" bestFit="1" customWidth="1"/>
    <col min="17" max="16384" width="7.07421875" style="318"/>
  </cols>
  <sheetData>
    <row r="1" spans="1:11">
      <c r="A1" s="974" t="s">
        <v>312</v>
      </c>
      <c r="B1" s="974"/>
      <c r="C1" s="974"/>
      <c r="D1" s="974"/>
      <c r="E1" s="974"/>
      <c r="F1" s="974"/>
      <c r="G1" s="974"/>
      <c r="H1" s="974"/>
    </row>
    <row r="2" spans="1:11">
      <c r="A2" s="974" t="s">
        <v>552</v>
      </c>
      <c r="B2" s="974"/>
      <c r="C2" s="974"/>
      <c r="D2" s="974"/>
      <c r="E2" s="974"/>
      <c r="F2" s="974"/>
      <c r="G2" s="974"/>
      <c r="H2" s="974"/>
    </row>
    <row r="3" spans="1:11">
      <c r="A3" s="975" t="str">
        <f>'Act Att-H'!C7</f>
        <v>Cheyenne Light, Fuel &amp; Power</v>
      </c>
      <c r="B3" s="975"/>
      <c r="C3" s="975"/>
      <c r="D3" s="975"/>
      <c r="E3" s="975"/>
      <c r="F3" s="975"/>
      <c r="G3" s="975"/>
      <c r="H3" s="975"/>
    </row>
    <row r="4" spans="1:11">
      <c r="H4" s="320" t="s">
        <v>673</v>
      </c>
    </row>
    <row r="5" spans="1:11">
      <c r="A5" s="321" t="s">
        <v>266</v>
      </c>
    </row>
    <row r="6" spans="1:11">
      <c r="A6" s="832" t="s">
        <v>267</v>
      </c>
      <c r="B6" s="832" t="s">
        <v>268</v>
      </c>
      <c r="C6" s="832" t="s">
        <v>269</v>
      </c>
      <c r="D6" s="832" t="s">
        <v>270</v>
      </c>
      <c r="E6" s="319"/>
    </row>
    <row r="7" spans="1:11">
      <c r="A7" s="319">
        <v>1</v>
      </c>
      <c r="B7" s="319" t="s">
        <v>271</v>
      </c>
      <c r="C7" s="319" t="s">
        <v>272</v>
      </c>
      <c r="D7" s="322" t="s">
        <v>446</v>
      </c>
      <c r="E7" s="322"/>
    </row>
    <row r="8" spans="1:11">
      <c r="A8" s="319">
        <f>A7+1</f>
        <v>2</v>
      </c>
      <c r="B8" s="319" t="s">
        <v>271</v>
      </c>
      <c r="C8" s="319" t="s">
        <v>272</v>
      </c>
      <c r="D8" s="322" t="s">
        <v>273</v>
      </c>
      <c r="E8" s="322"/>
    </row>
    <row r="9" spans="1:11">
      <c r="A9" s="319">
        <f t="shared" ref="A9:A17" si="0">A8+1</f>
        <v>3</v>
      </c>
      <c r="B9" s="323" t="s">
        <v>274</v>
      </c>
      <c r="C9" s="319" t="s">
        <v>275</v>
      </c>
      <c r="D9" s="322" t="s">
        <v>276</v>
      </c>
      <c r="E9" s="322"/>
    </row>
    <row r="10" spans="1:11">
      <c r="A10" s="319">
        <f t="shared" si="0"/>
        <v>4</v>
      </c>
      <c r="B10" s="319" t="str">
        <f>+B7</f>
        <v>Oct</v>
      </c>
      <c r="C10" s="319" t="s">
        <v>275</v>
      </c>
      <c r="D10" s="322" t="s">
        <v>443</v>
      </c>
      <c r="E10" s="322"/>
    </row>
    <row r="11" spans="1:11">
      <c r="A11" s="319">
        <f t="shared" si="0"/>
        <v>5</v>
      </c>
      <c r="B11" s="319" t="s">
        <v>271</v>
      </c>
      <c r="C11" s="319" t="str">
        <f>C10</f>
        <v>Year 1</v>
      </c>
      <c r="D11" s="322" t="s">
        <v>277</v>
      </c>
      <c r="E11" s="322"/>
    </row>
    <row r="12" spans="1:11">
      <c r="A12" s="319">
        <f t="shared" si="0"/>
        <v>6</v>
      </c>
      <c r="B12" s="319" t="s">
        <v>274</v>
      </c>
      <c r="C12" s="319" t="s">
        <v>278</v>
      </c>
      <c r="D12" s="322" t="s">
        <v>279</v>
      </c>
      <c r="E12" s="322"/>
    </row>
    <row r="13" spans="1:11">
      <c r="A13" s="319">
        <f t="shared" si="0"/>
        <v>7</v>
      </c>
      <c r="B13" s="319" t="s">
        <v>280</v>
      </c>
      <c r="C13" s="319" t="s">
        <v>278</v>
      </c>
      <c r="D13" s="322" t="s">
        <v>444</v>
      </c>
      <c r="E13" s="324"/>
      <c r="F13" s="325"/>
      <c r="G13" s="325"/>
      <c r="H13" s="325"/>
      <c r="I13" s="325"/>
      <c r="J13" s="325"/>
      <c r="K13" s="325"/>
    </row>
    <row r="14" spans="1:11">
      <c r="A14" s="319">
        <f t="shared" si="0"/>
        <v>8</v>
      </c>
      <c r="B14" s="319" t="s">
        <v>280</v>
      </c>
      <c r="C14" s="319" t="s">
        <v>278</v>
      </c>
      <c r="D14" s="322" t="s">
        <v>281</v>
      </c>
      <c r="E14" s="322"/>
      <c r="F14" s="326"/>
      <c r="G14" s="326"/>
      <c r="H14" s="326"/>
      <c r="I14" s="326"/>
      <c r="J14" s="326"/>
      <c r="K14" s="326"/>
    </row>
    <row r="15" spans="1:11">
      <c r="A15" s="319">
        <f t="shared" si="0"/>
        <v>9</v>
      </c>
      <c r="B15" s="319" t="s">
        <v>280</v>
      </c>
      <c r="C15" s="319" t="s">
        <v>278</v>
      </c>
      <c r="D15" s="322" t="s">
        <v>282</v>
      </c>
      <c r="E15" s="326"/>
      <c r="F15" s="326"/>
      <c r="G15" s="326"/>
      <c r="H15" s="326"/>
      <c r="I15" s="326"/>
      <c r="J15" s="326"/>
      <c r="K15" s="326"/>
    </row>
    <row r="16" spans="1:11">
      <c r="A16" s="319">
        <f t="shared" si="0"/>
        <v>10</v>
      </c>
      <c r="B16" s="319" t="s">
        <v>271</v>
      </c>
      <c r="C16" s="319" t="s">
        <v>278</v>
      </c>
      <c r="D16" s="322" t="s">
        <v>445</v>
      </c>
      <c r="E16" s="322"/>
    </row>
    <row r="17" spans="1:16">
      <c r="A17" s="319">
        <f t="shared" si="0"/>
        <v>11</v>
      </c>
      <c r="B17" s="319" t="s">
        <v>271</v>
      </c>
      <c r="C17" s="319" t="s">
        <v>278</v>
      </c>
      <c r="D17" s="322" t="s">
        <v>283</v>
      </c>
      <c r="E17" s="322"/>
    </row>
    <row r="18" spans="1:16">
      <c r="A18" s="318"/>
      <c r="B18" s="318"/>
      <c r="C18" s="318"/>
      <c r="E18" s="322"/>
    </row>
    <row r="19" spans="1:16">
      <c r="A19" s="318"/>
      <c r="B19" s="321" t="s">
        <v>809</v>
      </c>
    </row>
    <row r="20" spans="1:16" ht="12.75" customHeight="1" thickBot="1">
      <c r="A20" s="319">
        <f>A17+1</f>
        <v>12</v>
      </c>
      <c r="D20" s="327"/>
      <c r="E20" s="327"/>
      <c r="F20" s="327"/>
      <c r="H20" s="328" t="s">
        <v>284</v>
      </c>
      <c r="I20" s="327"/>
      <c r="N20" s="329"/>
      <c r="O20" s="329"/>
      <c r="P20" s="329"/>
    </row>
    <row r="21" spans="1:16" ht="12.75" customHeight="1">
      <c r="A21" s="319">
        <f>A20+1</f>
        <v>13</v>
      </c>
      <c r="C21" s="318" t="s">
        <v>285</v>
      </c>
      <c r="E21" s="327"/>
      <c r="F21" s="330"/>
      <c r="H21" s="551">
        <v>8414244.5691566784</v>
      </c>
      <c r="I21" s="327"/>
      <c r="N21" s="333"/>
      <c r="O21" s="333"/>
      <c r="P21" s="333"/>
    </row>
    <row r="22" spans="1:16">
      <c r="A22" s="319">
        <f t="shared" ref="A22:A23" si="1">A21+1</f>
        <v>14</v>
      </c>
      <c r="B22" s="334"/>
      <c r="C22" s="318" t="s">
        <v>820</v>
      </c>
      <c r="E22" s="331"/>
      <c r="F22" s="332"/>
      <c r="H22" s="551">
        <v>7973318.6667326596</v>
      </c>
      <c r="I22" s="327"/>
      <c r="N22" s="335"/>
      <c r="O22" s="335"/>
      <c r="P22" s="335"/>
    </row>
    <row r="23" spans="1:16">
      <c r="A23" s="319">
        <f t="shared" si="1"/>
        <v>15</v>
      </c>
      <c r="C23" s="318" t="s">
        <v>1076</v>
      </c>
      <c r="F23" s="336" t="s">
        <v>782</v>
      </c>
      <c r="H23" s="512">
        <f>+H21-H22</f>
        <v>440925.90242401883</v>
      </c>
      <c r="I23" s="327"/>
      <c r="N23" s="329"/>
      <c r="O23" s="329"/>
      <c r="P23" s="329"/>
    </row>
    <row r="24" spans="1:16">
      <c r="F24" s="336"/>
      <c r="I24" s="327"/>
    </row>
    <row r="25" spans="1:16">
      <c r="A25" s="318"/>
      <c r="B25" s="321" t="s">
        <v>810</v>
      </c>
    </row>
    <row r="26" spans="1:16" ht="12.75" customHeight="1" thickBot="1">
      <c r="A26" s="319">
        <f>A23+1</f>
        <v>16</v>
      </c>
      <c r="D26" s="327"/>
      <c r="E26" s="327"/>
      <c r="F26" s="327"/>
      <c r="H26" s="328" t="s">
        <v>284</v>
      </c>
      <c r="I26" s="327"/>
      <c r="N26" s="329"/>
      <c r="O26" s="329"/>
      <c r="P26" s="329"/>
    </row>
    <row r="27" spans="1:16">
      <c r="A27" s="319">
        <f>A26+1</f>
        <v>17</v>
      </c>
      <c r="C27" s="318" t="s">
        <v>813</v>
      </c>
      <c r="E27" s="327"/>
      <c r="F27" s="330"/>
      <c r="H27" s="680">
        <v>244166.66666666666</v>
      </c>
      <c r="I27" s="327" t="s">
        <v>812</v>
      </c>
      <c r="N27" s="333"/>
      <c r="O27" s="333"/>
      <c r="P27" s="333"/>
    </row>
    <row r="28" spans="1:16">
      <c r="A28" s="319">
        <f t="shared" ref="A28:A33" si="2">A27+1</f>
        <v>18</v>
      </c>
      <c r="B28" s="334"/>
      <c r="C28" s="318" t="s">
        <v>821</v>
      </c>
      <c r="E28" s="331"/>
      <c r="F28" s="332"/>
      <c r="H28" s="680">
        <v>248823.72129436326</v>
      </c>
      <c r="I28" s="327" t="s">
        <v>812</v>
      </c>
      <c r="N28" s="335"/>
      <c r="O28" s="335"/>
      <c r="P28" s="335"/>
    </row>
    <row r="29" spans="1:16">
      <c r="A29" s="319">
        <f t="shared" si="2"/>
        <v>19</v>
      </c>
      <c r="C29" s="318" t="s">
        <v>958</v>
      </c>
      <c r="F29" s="336" t="s">
        <v>819</v>
      </c>
      <c r="H29" s="681">
        <f>H28-H27</f>
        <v>4657.0546276966052</v>
      </c>
      <c r="I29" s="327" t="s">
        <v>812</v>
      </c>
      <c r="N29" s="329"/>
      <c r="O29" s="329"/>
      <c r="P29" s="329"/>
    </row>
    <row r="30" spans="1:16" ht="12.75" customHeight="1">
      <c r="A30" s="319">
        <f t="shared" si="2"/>
        <v>20</v>
      </c>
      <c r="C30" s="318"/>
      <c r="D30" s="327"/>
      <c r="E30" s="327"/>
      <c r="F30" s="336"/>
      <c r="H30" s="682"/>
      <c r="I30" s="327"/>
      <c r="N30" s="329"/>
      <c r="O30" s="329"/>
      <c r="P30" s="329"/>
    </row>
    <row r="31" spans="1:16">
      <c r="A31" s="319">
        <f t="shared" si="2"/>
        <v>21</v>
      </c>
      <c r="C31" s="318" t="s">
        <v>822</v>
      </c>
      <c r="E31" s="327"/>
      <c r="F31" s="336" t="s">
        <v>814</v>
      </c>
      <c r="H31" s="682">
        <f>IF(H28=0,0,ROUND(H22/H28,6))</f>
        <v>32.044046000000002</v>
      </c>
      <c r="I31" s="327" t="s">
        <v>815</v>
      </c>
      <c r="N31" s="333"/>
      <c r="O31" s="333"/>
      <c r="P31" s="333"/>
    </row>
    <row r="32" spans="1:16">
      <c r="A32" s="319">
        <f t="shared" si="2"/>
        <v>22</v>
      </c>
      <c r="B32" s="334"/>
      <c r="C32" s="318" t="s">
        <v>811</v>
      </c>
      <c r="E32" s="331"/>
      <c r="F32" s="336" t="s">
        <v>832</v>
      </c>
      <c r="H32" s="512">
        <f>H29*H31</f>
        <v>149230.87271442291</v>
      </c>
      <c r="I32" s="327"/>
      <c r="N32" s="335"/>
      <c r="O32" s="335"/>
      <c r="P32" s="335"/>
    </row>
    <row r="33" spans="1:16">
      <c r="A33" s="319">
        <f t="shared" si="2"/>
        <v>23</v>
      </c>
      <c r="C33" s="318"/>
      <c r="F33" s="336"/>
      <c r="H33" s="679"/>
      <c r="I33" s="327"/>
      <c r="N33" s="329"/>
      <c r="O33" s="329"/>
      <c r="P33" s="329"/>
    </row>
    <row r="34" spans="1:16">
      <c r="B34" s="321" t="s">
        <v>1034</v>
      </c>
      <c r="C34" s="318"/>
      <c r="F34" s="336"/>
      <c r="H34" s="679"/>
      <c r="I34" s="327"/>
      <c r="N34" s="329"/>
      <c r="O34" s="329"/>
      <c r="P34" s="329"/>
    </row>
    <row r="35" spans="1:16">
      <c r="A35" s="319" t="s">
        <v>375</v>
      </c>
      <c r="C35" s="318" t="s">
        <v>1036</v>
      </c>
      <c r="F35" s="336"/>
      <c r="H35" s="551">
        <v>-1250331</v>
      </c>
      <c r="I35" s="327"/>
      <c r="N35" s="329"/>
      <c r="O35" s="329"/>
      <c r="P35" s="329"/>
    </row>
    <row r="36" spans="1:16">
      <c r="C36" s="318"/>
      <c r="F36" s="336"/>
      <c r="H36" s="679"/>
      <c r="I36" s="327"/>
      <c r="N36" s="329"/>
      <c r="O36" s="329"/>
      <c r="P36" s="329"/>
    </row>
    <row r="37" spans="1:16">
      <c r="A37" s="319">
        <f>A33+1</f>
        <v>24</v>
      </c>
      <c r="B37" s="318" t="s">
        <v>959</v>
      </c>
      <c r="C37" s="318"/>
      <c r="D37" s="322"/>
      <c r="E37" s="319"/>
      <c r="F37" s="325" t="s">
        <v>1035</v>
      </c>
      <c r="G37" s="325"/>
      <c r="H37" s="683">
        <f>H23+H32+H35</f>
        <v>-660174.22486155829</v>
      </c>
      <c r="I37" s="325"/>
      <c r="J37" s="325"/>
      <c r="K37" s="325"/>
      <c r="L37" s="325"/>
    </row>
    <row r="38" spans="1:16">
      <c r="C38" s="318"/>
      <c r="D38" s="569"/>
      <c r="E38" s="319"/>
      <c r="F38" s="325"/>
      <c r="G38" s="325"/>
      <c r="H38" s="325"/>
      <c r="I38" s="325"/>
      <c r="J38" s="325"/>
      <c r="K38" s="325"/>
      <c r="L38" s="325"/>
    </row>
    <row r="39" spans="1:16">
      <c r="B39" s="321" t="s">
        <v>287</v>
      </c>
      <c r="D39" s="322"/>
      <c r="E39" s="319"/>
      <c r="F39" s="325"/>
      <c r="G39" s="325"/>
      <c r="H39" s="325"/>
      <c r="I39" s="325"/>
      <c r="J39" s="325"/>
      <c r="K39" s="325"/>
      <c r="L39" s="325"/>
    </row>
    <row r="40" spans="1:16" ht="14.25" customHeight="1">
      <c r="D40" s="337" t="s">
        <v>288</v>
      </c>
      <c r="E40" s="338"/>
      <c r="F40" s="339"/>
      <c r="G40" s="325"/>
      <c r="H40" s="340" t="s">
        <v>289</v>
      </c>
      <c r="I40" s="341"/>
      <c r="J40" s="341"/>
      <c r="K40" s="341"/>
      <c r="L40" s="325"/>
    </row>
    <row r="41" spans="1:16">
      <c r="A41" s="319">
        <f>A37+1</f>
        <v>25</v>
      </c>
      <c r="D41" s="322" t="s">
        <v>290</v>
      </c>
      <c r="E41" s="319"/>
      <c r="F41" s="325"/>
      <c r="H41" s="91"/>
      <c r="I41" s="342"/>
      <c r="J41" s="342"/>
      <c r="K41" s="342"/>
      <c r="L41" s="325"/>
    </row>
    <row r="42" spans="1:16">
      <c r="A42" s="319">
        <f>A41+1</f>
        <v>26</v>
      </c>
      <c r="D42" s="322" t="s">
        <v>291</v>
      </c>
      <c r="E42" s="319"/>
      <c r="F42" s="325"/>
      <c r="H42" s="91"/>
      <c r="I42" s="342"/>
      <c r="J42" s="342"/>
      <c r="K42" s="342"/>
      <c r="L42" s="325"/>
    </row>
    <row r="43" spans="1:16">
      <c r="A43" s="319">
        <f>A42+1</f>
        <v>27</v>
      </c>
      <c r="D43" s="322" t="s">
        <v>292</v>
      </c>
      <c r="E43" s="319"/>
      <c r="F43" s="325"/>
      <c r="H43" s="91"/>
      <c r="I43" s="342"/>
      <c r="J43" s="342"/>
      <c r="K43" s="342"/>
      <c r="L43" s="325"/>
    </row>
    <row r="44" spans="1:16">
      <c r="A44" s="319">
        <f>A43+1</f>
        <v>28</v>
      </c>
      <c r="D44" s="322" t="s">
        <v>293</v>
      </c>
      <c r="E44" s="319"/>
      <c r="F44" s="326" t="s">
        <v>833</v>
      </c>
      <c r="H44" s="343">
        <f>IF(H42*H43=0,0,H41/H42*H43/2)</f>
        <v>0</v>
      </c>
      <c r="I44" s="325"/>
      <c r="J44" s="325"/>
      <c r="K44" s="325"/>
      <c r="L44" s="325"/>
    </row>
    <row r="45" spans="1:16">
      <c r="D45" s="322"/>
      <c r="E45" s="319"/>
      <c r="F45" s="325"/>
      <c r="H45" s="344"/>
      <c r="I45" s="325"/>
      <c r="J45" s="325"/>
      <c r="K45" s="325"/>
      <c r="L45" s="325"/>
    </row>
    <row r="46" spans="1:16">
      <c r="D46" s="345" t="s">
        <v>553</v>
      </c>
      <c r="E46" s="346"/>
      <c r="F46" s="339"/>
      <c r="H46" s="347"/>
      <c r="J46" s="348"/>
      <c r="K46" s="325"/>
      <c r="L46" s="325"/>
    </row>
    <row r="47" spans="1:16">
      <c r="A47" s="319">
        <f>A44+1</f>
        <v>29</v>
      </c>
      <c r="D47" s="349" t="s">
        <v>294</v>
      </c>
      <c r="F47" s="325"/>
      <c r="H47" s="350"/>
      <c r="J47" s="348"/>
      <c r="K47" s="325"/>
      <c r="L47" s="325"/>
    </row>
    <row r="48" spans="1:16">
      <c r="A48" s="319">
        <f t="shared" ref="A48:A51" si="3">A47+1</f>
        <v>30</v>
      </c>
      <c r="D48" s="351" t="s">
        <v>295</v>
      </c>
      <c r="F48" s="325"/>
      <c r="H48" s="350"/>
      <c r="J48" s="348"/>
      <c r="K48" s="325"/>
      <c r="L48" s="325"/>
    </row>
    <row r="49" spans="1:13">
      <c r="A49" s="319">
        <f t="shared" si="3"/>
        <v>31</v>
      </c>
      <c r="D49" s="351" t="s">
        <v>296</v>
      </c>
      <c r="F49" s="325"/>
      <c r="H49" s="350"/>
      <c r="J49" s="348"/>
      <c r="K49" s="325"/>
      <c r="L49" s="325"/>
    </row>
    <row r="50" spans="1:13">
      <c r="A50" s="319">
        <f t="shared" si="3"/>
        <v>32</v>
      </c>
      <c r="D50" s="351" t="s">
        <v>297</v>
      </c>
      <c r="F50" s="325"/>
      <c r="H50" s="350"/>
      <c r="J50" s="348"/>
      <c r="K50" s="325"/>
      <c r="L50" s="325"/>
    </row>
    <row r="51" spans="1:13" ht="15.5">
      <c r="A51" s="319">
        <f t="shared" si="3"/>
        <v>33</v>
      </c>
      <c r="D51" s="322" t="s">
        <v>298</v>
      </c>
      <c r="E51" s="327"/>
      <c r="F51" s="327" t="s">
        <v>816</v>
      </c>
      <c r="H51" s="352">
        <f>IF(SUM(H47:H50)=0,0,AVERAGE(H47:H50))</f>
        <v>0</v>
      </c>
      <c r="J51" s="353"/>
      <c r="K51" s="354"/>
      <c r="L51" s="354"/>
      <c r="M51" s="354"/>
    </row>
    <row r="52" spans="1:13">
      <c r="D52" s="322"/>
      <c r="E52" s="325"/>
      <c r="F52" s="325"/>
      <c r="H52" s="355"/>
      <c r="J52" s="353"/>
      <c r="K52" s="325"/>
      <c r="L52" s="325"/>
    </row>
    <row r="53" spans="1:13">
      <c r="A53" s="319">
        <f>A51+1</f>
        <v>34</v>
      </c>
      <c r="D53" s="322" t="s">
        <v>299</v>
      </c>
      <c r="E53" s="325"/>
      <c r="F53" s="325"/>
      <c r="H53" s="572">
        <f>IF(H23&lt;=0,$H51,MIN($H51,$H44))</f>
        <v>0</v>
      </c>
      <c r="J53" s="353"/>
      <c r="K53" s="325"/>
      <c r="L53" s="325"/>
    </row>
    <row r="54" spans="1:13">
      <c r="D54" s="322"/>
      <c r="E54" s="325"/>
      <c r="F54" s="325"/>
      <c r="H54" s="356"/>
      <c r="I54" s="325"/>
      <c r="J54" s="341"/>
      <c r="K54" s="325"/>
      <c r="L54" s="325"/>
    </row>
    <row r="55" spans="1:13" ht="15.75" customHeight="1" thickBot="1">
      <c r="D55" s="325"/>
      <c r="E55" s="325"/>
      <c r="F55" s="325"/>
      <c r="H55" s="328" t="s">
        <v>300</v>
      </c>
      <c r="J55" s="353"/>
      <c r="K55" s="325"/>
      <c r="L55" s="325"/>
    </row>
    <row r="56" spans="1:13">
      <c r="A56" s="319">
        <f>A53+1</f>
        <v>35</v>
      </c>
      <c r="C56" s="318"/>
      <c r="D56" s="318" t="s">
        <v>960</v>
      </c>
      <c r="H56" s="357">
        <f>ROUND(+H37*12/12,0)</f>
        <v>-660174</v>
      </c>
      <c r="J56" s="353"/>
      <c r="K56" s="325"/>
    </row>
    <row r="57" spans="1:13">
      <c r="A57" s="319">
        <f>A56+1</f>
        <v>36</v>
      </c>
      <c r="C57" s="318"/>
      <c r="D57" s="318" t="s">
        <v>783</v>
      </c>
      <c r="H57" s="358">
        <f>ROUND(H$53/12*(24)*H56,2)</f>
        <v>0</v>
      </c>
      <c r="I57" s="325"/>
      <c r="J57" s="341"/>
      <c r="K57" s="325"/>
    </row>
    <row r="58" spans="1:13">
      <c r="A58" s="319">
        <f>A57+1</f>
        <v>37</v>
      </c>
      <c r="C58" s="359"/>
      <c r="D58" s="321" t="s">
        <v>961</v>
      </c>
      <c r="E58" s="322"/>
      <c r="G58" s="319"/>
      <c r="H58" s="571">
        <f>SUM(H56:H57)</f>
        <v>-660174</v>
      </c>
      <c r="I58" s="325"/>
      <c r="J58" s="341"/>
      <c r="K58" s="325"/>
    </row>
    <row r="59" spans="1:13">
      <c r="C59" s="359"/>
      <c r="D59" s="319"/>
      <c r="E59" s="322"/>
      <c r="G59" s="319"/>
      <c r="H59" s="360"/>
      <c r="I59" s="322"/>
      <c r="J59" s="360"/>
    </row>
    <row r="60" spans="1:13">
      <c r="A60" s="319" t="s">
        <v>205</v>
      </c>
    </row>
    <row r="61" spans="1:13" s="852" customFormat="1" ht="15.75" customHeight="1">
      <c r="A61" s="361" t="s">
        <v>79</v>
      </c>
      <c r="B61" s="994" t="s">
        <v>447</v>
      </c>
      <c r="C61" s="994"/>
      <c r="D61" s="994"/>
      <c r="E61" s="994"/>
      <c r="F61" s="994"/>
      <c r="G61" s="994"/>
      <c r="H61" s="994"/>
    </row>
    <row r="62" spans="1:13" s="852" customFormat="1">
      <c r="A62" s="361" t="s">
        <v>80</v>
      </c>
      <c r="B62" s="994" t="s">
        <v>448</v>
      </c>
      <c r="C62" s="994"/>
      <c r="D62" s="994"/>
      <c r="E62" s="994"/>
      <c r="F62" s="994"/>
      <c r="G62" s="994"/>
      <c r="H62" s="994"/>
    </row>
    <row r="63" spans="1:13" s="852" customFormat="1">
      <c r="A63" s="361" t="s">
        <v>81</v>
      </c>
      <c r="B63" s="994" t="s">
        <v>301</v>
      </c>
      <c r="C63" s="994"/>
      <c r="D63" s="994"/>
      <c r="E63" s="994"/>
      <c r="F63" s="994"/>
      <c r="G63" s="994"/>
      <c r="H63" s="994"/>
    </row>
    <row r="64" spans="1:13" s="852" customFormat="1" ht="27" customHeight="1">
      <c r="A64" s="361" t="s">
        <v>82</v>
      </c>
      <c r="B64" s="993" t="s">
        <v>957</v>
      </c>
      <c r="C64" s="993"/>
      <c r="D64" s="993"/>
      <c r="E64" s="993"/>
      <c r="F64" s="993"/>
      <c r="G64" s="993"/>
      <c r="H64" s="993"/>
    </row>
    <row r="65" spans="1:8" s="852" customFormat="1" ht="14.25" customHeight="1">
      <c r="A65" s="361" t="s">
        <v>83</v>
      </c>
      <c r="B65" s="994" t="s">
        <v>302</v>
      </c>
      <c r="C65" s="994"/>
      <c r="D65" s="994"/>
      <c r="E65" s="994"/>
      <c r="F65" s="994"/>
      <c r="G65" s="994"/>
      <c r="H65" s="994"/>
    </row>
    <row r="66" spans="1:8" s="852" customFormat="1" ht="108.75" customHeight="1">
      <c r="A66" s="361" t="s">
        <v>84</v>
      </c>
      <c r="B66" s="993" t="s">
        <v>1081</v>
      </c>
      <c r="C66" s="993"/>
      <c r="D66" s="993"/>
      <c r="E66" s="993"/>
      <c r="F66" s="993"/>
      <c r="G66" s="993"/>
      <c r="H66" s="993"/>
    </row>
    <row r="67" spans="1:8">
      <c r="B67" s="318"/>
    </row>
    <row r="117" spans="3:7" ht="15.5">
      <c r="C117" s="362"/>
      <c r="D117" s="363"/>
      <c r="E117" s="363"/>
      <c r="F117" s="363"/>
      <c r="G117" s="363"/>
    </row>
    <row r="118" spans="3:7" ht="99.75" customHeight="1">
      <c r="C118" s="362"/>
      <c r="D118" s="363"/>
      <c r="E118" s="363"/>
      <c r="F118" s="363"/>
      <c r="G118" s="363"/>
    </row>
    <row r="119" spans="3:7" ht="15.5">
      <c r="C119" s="362"/>
      <c r="D119" s="363"/>
      <c r="E119" s="363"/>
      <c r="F119" s="363"/>
      <c r="G119" s="363"/>
    </row>
    <row r="120" spans="3:7" ht="15.5">
      <c r="C120" s="362"/>
      <c r="D120" s="363"/>
      <c r="E120" s="363"/>
      <c r="F120" s="363"/>
      <c r="G120" s="363"/>
    </row>
    <row r="121" spans="3:7" ht="15.5">
      <c r="C121" s="362"/>
      <c r="D121" s="363"/>
      <c r="E121" s="363"/>
      <c r="F121" s="363"/>
      <c r="G121" s="363"/>
    </row>
    <row r="122" spans="3:7" ht="15.5">
      <c r="C122" s="362"/>
      <c r="D122" s="363"/>
      <c r="E122" s="363"/>
      <c r="F122" s="363"/>
      <c r="G122" s="363"/>
    </row>
    <row r="123" spans="3:7" ht="15.5">
      <c r="C123" s="362"/>
      <c r="D123" s="363"/>
      <c r="E123" s="363"/>
      <c r="F123" s="363"/>
      <c r="G123" s="363"/>
    </row>
    <row r="124" spans="3:7" ht="15.5">
      <c r="C124" s="362"/>
      <c r="D124" s="363"/>
      <c r="E124" s="363"/>
      <c r="F124" s="363"/>
      <c r="G124" s="363"/>
    </row>
    <row r="125" spans="3:7" ht="15.5">
      <c r="C125" s="362"/>
      <c r="D125" s="363"/>
      <c r="E125" s="363"/>
      <c r="F125" s="363"/>
      <c r="G125" s="363"/>
    </row>
    <row r="126" spans="3:7" ht="15.5">
      <c r="C126" s="362"/>
      <c r="D126" s="363"/>
      <c r="E126" s="363"/>
      <c r="F126" s="363"/>
      <c r="G126" s="363"/>
    </row>
    <row r="127" spans="3:7" ht="15.5">
      <c r="C127" s="362"/>
      <c r="D127" s="363"/>
      <c r="E127" s="363"/>
      <c r="F127" s="363"/>
      <c r="G127" s="363"/>
    </row>
    <row r="128" spans="3:7" ht="15.5">
      <c r="C128" s="362"/>
      <c r="D128" s="363"/>
      <c r="E128" s="363"/>
      <c r="F128" s="363"/>
      <c r="G128" s="363"/>
    </row>
    <row r="129" spans="3:7" ht="15.5">
      <c r="C129" s="362"/>
      <c r="D129" s="363"/>
      <c r="E129" s="363"/>
      <c r="F129" s="363"/>
      <c r="G129" s="363"/>
    </row>
    <row r="130" spans="3:7" ht="15.5">
      <c r="C130" s="362"/>
      <c r="D130" s="363"/>
      <c r="E130" s="363"/>
      <c r="F130" s="363"/>
      <c r="G130" s="363"/>
    </row>
    <row r="131" spans="3:7" ht="15.5">
      <c r="C131" s="362"/>
      <c r="D131" s="363"/>
      <c r="E131" s="363"/>
      <c r="F131" s="363"/>
      <c r="G131" s="363"/>
    </row>
    <row r="132" spans="3:7" ht="15.5">
      <c r="C132" s="362"/>
      <c r="D132" s="363"/>
      <c r="E132" s="363"/>
      <c r="F132" s="363"/>
      <c r="G132" s="363"/>
    </row>
    <row r="133" spans="3:7" ht="15.5">
      <c r="C133" s="362"/>
      <c r="D133" s="363"/>
      <c r="E133" s="363"/>
      <c r="F133" s="363"/>
      <c r="G133" s="363"/>
    </row>
    <row r="134" spans="3:7" ht="15.5">
      <c r="C134" s="362"/>
      <c r="D134" s="363"/>
      <c r="E134" s="363"/>
      <c r="F134" s="363"/>
      <c r="G134" s="363"/>
    </row>
    <row r="135" spans="3:7" ht="15.5">
      <c r="C135" s="362"/>
      <c r="D135" s="363"/>
      <c r="E135" s="363"/>
      <c r="F135" s="363"/>
      <c r="G135" s="363"/>
    </row>
    <row r="136" spans="3:7" ht="15.5">
      <c r="C136" s="362"/>
      <c r="D136" s="363"/>
      <c r="E136" s="363"/>
      <c r="F136" s="363"/>
      <c r="G136" s="363"/>
    </row>
    <row r="137" spans="3:7" ht="15.5">
      <c r="C137" s="362"/>
      <c r="D137" s="363"/>
      <c r="E137" s="363"/>
      <c r="F137" s="363"/>
      <c r="G137" s="363"/>
    </row>
    <row r="138" spans="3:7" ht="15.5">
      <c r="C138" s="362"/>
      <c r="D138" s="363"/>
      <c r="E138" s="363"/>
      <c r="F138" s="363"/>
      <c r="G138" s="363"/>
    </row>
    <row r="139" spans="3:7" ht="40.5" customHeight="1">
      <c r="C139" s="362"/>
      <c r="D139" s="363"/>
      <c r="E139" s="363"/>
      <c r="F139" s="363"/>
      <c r="G139" s="363"/>
    </row>
    <row r="140" spans="3:7" ht="15.5">
      <c r="C140" s="362"/>
      <c r="D140" s="363"/>
      <c r="E140" s="363"/>
      <c r="F140" s="363"/>
      <c r="G140" s="363"/>
    </row>
    <row r="235" spans="1:7">
      <c r="A235" s="364"/>
    </row>
    <row r="236" spans="1:7">
      <c r="A236" s="364"/>
    </row>
    <row r="237" spans="1:7">
      <c r="A237" s="364"/>
      <c r="B237" s="364"/>
      <c r="C237" s="364"/>
      <c r="D237" s="365"/>
      <c r="E237" s="365"/>
      <c r="F237" s="365"/>
      <c r="G237" s="365"/>
    </row>
    <row r="238" spans="1:7">
      <c r="A238" s="364"/>
      <c r="B238" s="364"/>
      <c r="C238" s="364"/>
      <c r="D238" s="365"/>
      <c r="E238" s="365"/>
      <c r="F238" s="365"/>
      <c r="G238" s="365"/>
    </row>
    <row r="239" spans="1:7">
      <c r="A239" s="364"/>
      <c r="B239" s="364"/>
      <c r="C239" s="364"/>
      <c r="D239" s="365"/>
      <c r="E239" s="365"/>
      <c r="F239" s="365"/>
      <c r="G239" s="365"/>
    </row>
    <row r="240" spans="1:7">
      <c r="A240" s="364"/>
      <c r="B240" s="364"/>
      <c r="C240" s="364"/>
      <c r="D240" s="365"/>
      <c r="E240" s="365"/>
      <c r="F240" s="365"/>
      <c r="G240" s="365"/>
    </row>
    <row r="241" spans="1:7">
      <c r="A241" s="364"/>
      <c r="B241" s="364"/>
      <c r="C241" s="364"/>
      <c r="D241" s="365"/>
      <c r="E241" s="365"/>
      <c r="F241" s="365"/>
      <c r="G241" s="365"/>
    </row>
    <row r="242" spans="1:7">
      <c r="A242" s="364"/>
      <c r="B242" s="364"/>
      <c r="C242" s="364"/>
      <c r="D242" s="365"/>
      <c r="E242" s="365"/>
      <c r="F242" s="365"/>
      <c r="G242" s="365"/>
    </row>
    <row r="243" spans="1:7">
      <c r="A243" s="364"/>
      <c r="B243" s="364"/>
      <c r="C243" s="364"/>
      <c r="D243" s="365"/>
      <c r="E243" s="365"/>
      <c r="F243" s="365"/>
      <c r="G243" s="365"/>
    </row>
    <row r="244" spans="1:7">
      <c r="B244" s="364"/>
      <c r="C244" s="364"/>
      <c r="D244" s="365"/>
      <c r="E244" s="365"/>
      <c r="F244" s="365"/>
      <c r="G244" s="365"/>
    </row>
    <row r="245" spans="1:7">
      <c r="B245" s="364"/>
      <c r="C245" s="364"/>
      <c r="D245" s="365"/>
      <c r="E245" s="365"/>
      <c r="F245" s="365"/>
      <c r="G245" s="365"/>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topLeftCell="A181" workbookViewId="0">
      <selection activeCell="B254" sqref="B254:I254"/>
    </sheetView>
  </sheetViews>
  <sheetFormatPr defaultColWidth="8.69140625" defaultRowHeight="13"/>
  <cols>
    <col min="1" max="1" width="4.23046875" style="128" customWidth="1"/>
    <col min="2" max="2" width="47.84375" style="128" customWidth="1"/>
    <col min="3" max="3" width="39.07421875" style="128" customWidth="1"/>
    <col min="4" max="4" width="11.23046875" style="128" bestFit="1" customWidth="1"/>
    <col min="5" max="5" width="4.07421875" style="128" customWidth="1"/>
    <col min="6" max="6" width="3.23046875" style="128" customWidth="1"/>
    <col min="7" max="7" width="6.4609375" style="128" customWidth="1"/>
    <col min="8" max="8" width="3.69140625" style="128" bestFit="1" customWidth="1"/>
    <col min="9" max="9" width="12.4609375" style="128" customWidth="1"/>
    <col min="10" max="10" width="1.4609375" style="128" customWidth="1"/>
    <col min="11" max="11" width="6.69140625" style="162" customWidth="1"/>
    <col min="12" max="12" width="8.69140625" style="128"/>
    <col min="13" max="14" width="10.69140625" style="128" customWidth="1"/>
    <col min="15"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59" t="s">
        <v>480</v>
      </c>
      <c r="J1" s="959"/>
      <c r="K1" s="959"/>
    </row>
    <row r="2" spans="1:11">
      <c r="B2" s="129"/>
      <c r="C2" s="129"/>
      <c r="D2" s="130"/>
      <c r="E2" s="129"/>
      <c r="F2" s="129"/>
      <c r="G2" s="129"/>
      <c r="H2" s="89"/>
      <c r="I2" s="89"/>
      <c r="J2" s="958" t="s">
        <v>241</v>
      </c>
      <c r="K2" s="958"/>
    </row>
    <row r="3" spans="1:11">
      <c r="B3" s="129"/>
      <c r="C3" s="129"/>
      <c r="D3" s="130"/>
      <c r="E3" s="129"/>
      <c r="F3" s="129"/>
      <c r="G3" s="129"/>
      <c r="H3" s="89"/>
      <c r="I3" s="89"/>
      <c r="J3" s="89"/>
      <c r="K3" s="731"/>
    </row>
    <row r="4" spans="1:11">
      <c r="B4" s="130" t="s">
        <v>0</v>
      </c>
      <c r="C4" s="98" t="s">
        <v>122</v>
      </c>
      <c r="E4" s="129"/>
      <c r="F4" s="129"/>
      <c r="G4" s="129"/>
      <c r="H4" s="89"/>
      <c r="I4" s="89"/>
      <c r="J4" s="89"/>
      <c r="K4" s="132" t="s">
        <v>1221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2" t="s">
        <v>6</v>
      </c>
      <c r="B9" s="89"/>
      <c r="C9" s="89"/>
      <c r="D9" s="89"/>
      <c r="E9" s="89"/>
      <c r="F9" s="89"/>
      <c r="G9" s="89"/>
      <c r="H9" s="89"/>
      <c r="I9" s="732" t="s">
        <v>7</v>
      </c>
      <c r="J9" s="89"/>
      <c r="K9" s="88"/>
    </row>
    <row r="10" spans="1:11">
      <c r="A10" s="98">
        <v>1</v>
      </c>
      <c r="B10" s="89" t="s">
        <v>962</v>
      </c>
      <c r="C10" s="89"/>
      <c r="D10" s="139"/>
      <c r="E10" s="89"/>
      <c r="F10" s="89"/>
      <c r="G10" s="89"/>
      <c r="H10" s="89"/>
      <c r="I10" s="140">
        <f>'Proj Att-H'!I151</f>
        <v>8385592.2495844625</v>
      </c>
      <c r="J10" s="89"/>
      <c r="K10" s="88"/>
    </row>
    <row r="11" spans="1:11">
      <c r="A11" s="98"/>
      <c r="B11" s="89"/>
      <c r="C11" s="89"/>
      <c r="D11" s="89"/>
      <c r="E11" s="89"/>
      <c r="F11" s="89"/>
      <c r="G11" s="89"/>
      <c r="H11" s="89"/>
      <c r="I11" s="139"/>
      <c r="J11" s="89"/>
      <c r="K11" s="88"/>
    </row>
    <row r="12" spans="1:11" ht="13.5" thickBot="1">
      <c r="A12" s="98" t="s">
        <v>2</v>
      </c>
      <c r="B12" s="129" t="s">
        <v>8</v>
      </c>
      <c r="C12" s="136"/>
      <c r="D12" s="732" t="s">
        <v>9</v>
      </c>
      <c r="E12" s="133"/>
      <c r="F12" s="141" t="s">
        <v>10</v>
      </c>
      <c r="G12" s="141"/>
      <c r="H12" s="89"/>
      <c r="I12" s="139"/>
      <c r="J12" s="89"/>
      <c r="K12" s="88"/>
    </row>
    <row r="13" spans="1:11">
      <c r="A13" s="98">
        <v>2</v>
      </c>
      <c r="B13" s="129" t="s">
        <v>12</v>
      </c>
      <c r="C13" s="133" t="s">
        <v>906</v>
      </c>
      <c r="D13" s="231">
        <f>'Act Att-H'!D13</f>
        <v>90598.291885713843</v>
      </c>
      <c r="E13" s="133"/>
      <c r="F13" s="133"/>
      <c r="G13" s="142">
        <v>1</v>
      </c>
      <c r="H13" s="133"/>
      <c r="I13" s="76">
        <f>+G13*D13</f>
        <v>90598.291885713843</v>
      </c>
      <c r="J13" s="89"/>
      <c r="K13" s="88"/>
    </row>
    <row r="14" spans="1:11">
      <c r="A14" s="98">
        <v>3</v>
      </c>
      <c r="B14" s="129" t="s">
        <v>110</v>
      </c>
      <c r="C14" s="133" t="s">
        <v>907</v>
      </c>
      <c r="D14" s="231">
        <f>'Act Att-H'!D14</f>
        <v>43</v>
      </c>
      <c r="E14" s="133"/>
      <c r="F14" s="143"/>
      <c r="G14" s="142">
        <v>1</v>
      </c>
      <c r="H14" s="133"/>
      <c r="I14" s="76">
        <f>+G14*D14</f>
        <v>43</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90641.291885713843</v>
      </c>
      <c r="J17" s="89"/>
      <c r="K17" s="88"/>
    </row>
    <row r="18" spans="1:11">
      <c r="A18" s="98"/>
      <c r="B18" s="129"/>
      <c r="C18" s="89"/>
      <c r="I18" s="76"/>
      <c r="J18" s="89"/>
      <c r="K18" s="88"/>
    </row>
    <row r="19" spans="1:11">
      <c r="A19" s="98" t="s">
        <v>126</v>
      </c>
      <c r="B19" s="129" t="s">
        <v>155</v>
      </c>
      <c r="C19" s="89" t="s">
        <v>909</v>
      </c>
      <c r="I19" s="231">
        <f>'TU-TrueUp'!H58</f>
        <v>-660174</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7634776.9576987484</v>
      </c>
      <c r="J21" s="89"/>
      <c r="K21" s="88"/>
    </row>
    <row r="22" spans="1:11" ht="13.5" thickTop="1">
      <c r="A22" s="98"/>
      <c r="B22" s="129"/>
      <c r="C22" s="89"/>
      <c r="D22" s="145"/>
      <c r="E22" s="133"/>
      <c r="F22" s="133"/>
      <c r="G22" s="133"/>
      <c r="H22" s="133"/>
      <c r="I22" s="533"/>
      <c r="J22" s="89"/>
      <c r="K22" s="88"/>
    </row>
    <row r="23" spans="1:11">
      <c r="A23" s="98" t="s">
        <v>765</v>
      </c>
      <c r="B23" s="129" t="s">
        <v>766</v>
      </c>
      <c r="C23" s="89" t="s">
        <v>767</v>
      </c>
      <c r="D23" s="145"/>
      <c r="E23" s="133"/>
      <c r="F23" s="133"/>
      <c r="G23" s="133"/>
      <c r="H23" s="133"/>
      <c r="I23" s="148">
        <f>I21-I19</f>
        <v>8294950.9576987484</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0</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17" t="e">
        <f>ROUND(I21/I26,2)</f>
        <v>#DIV/0!</v>
      </c>
      <c r="E29" s="129" t="s">
        <v>245</v>
      </c>
      <c r="F29" s="149"/>
      <c r="G29" s="149"/>
      <c r="H29" s="149"/>
      <c r="I29" s="149"/>
      <c r="J29" s="149"/>
      <c r="K29" s="88"/>
    </row>
    <row r="30" spans="1:11">
      <c r="A30" s="98">
        <v>12</v>
      </c>
      <c r="B30" s="129" t="s">
        <v>257</v>
      </c>
      <c r="C30" s="129" t="s">
        <v>788</v>
      </c>
      <c r="D30" s="717" t="e">
        <f>ROUND(D29/12,2)</f>
        <v>#DIV/0!</v>
      </c>
      <c r="E30" s="129" t="s">
        <v>246</v>
      </c>
      <c r="F30" s="149"/>
      <c r="G30" s="149"/>
      <c r="H30" s="149"/>
      <c r="I30" s="149"/>
      <c r="J30" s="149"/>
      <c r="K30" s="88"/>
    </row>
    <row r="31" spans="1:11">
      <c r="A31" s="98">
        <v>13</v>
      </c>
      <c r="B31" s="129" t="s">
        <v>258</v>
      </c>
      <c r="C31" s="129" t="s">
        <v>789</v>
      </c>
      <c r="D31" s="717" t="e">
        <f>ROUND(D29/52,2)</f>
        <v>#DIV/0!</v>
      </c>
      <c r="E31" s="129" t="s">
        <v>247</v>
      </c>
      <c r="F31" s="149"/>
      <c r="G31" s="149"/>
      <c r="H31" s="149"/>
      <c r="I31" s="149"/>
      <c r="J31" s="149"/>
      <c r="K31" s="88"/>
    </row>
    <row r="32" spans="1:11">
      <c r="A32" s="98">
        <v>14</v>
      </c>
      <c r="B32" s="129" t="s">
        <v>259</v>
      </c>
      <c r="C32" s="129" t="s">
        <v>248</v>
      </c>
      <c r="D32" s="718" t="e">
        <f>+D31/6</f>
        <v>#DIV/0!</v>
      </c>
      <c r="E32" s="129" t="s">
        <v>249</v>
      </c>
      <c r="F32" s="149"/>
      <c r="G32" s="149"/>
      <c r="H32" s="149"/>
      <c r="I32" s="149"/>
      <c r="J32" s="149"/>
      <c r="K32" s="88"/>
    </row>
    <row r="33" spans="1:11">
      <c r="A33" s="98">
        <v>15</v>
      </c>
      <c r="B33" s="129" t="s">
        <v>260</v>
      </c>
      <c r="C33" s="129" t="s">
        <v>250</v>
      </c>
      <c r="D33" s="718" t="e">
        <f>+D31/7</f>
        <v>#DIV/0!</v>
      </c>
      <c r="E33" s="129" t="s">
        <v>249</v>
      </c>
      <c r="F33" s="149"/>
      <c r="G33" s="149"/>
      <c r="H33" s="149"/>
      <c r="I33" s="149"/>
      <c r="J33" s="149"/>
      <c r="K33" s="88"/>
    </row>
    <row r="34" spans="1:11">
      <c r="A34" s="98">
        <v>16</v>
      </c>
      <c r="B34" s="129" t="s">
        <v>261</v>
      </c>
      <c r="C34" s="129" t="s">
        <v>251</v>
      </c>
      <c r="D34" s="717" t="e">
        <f>+D32/16*1000</f>
        <v>#DIV/0!</v>
      </c>
      <c r="E34" s="129" t="s">
        <v>895</v>
      </c>
      <c r="F34" s="149"/>
      <c r="G34" s="149"/>
      <c r="H34" s="149"/>
      <c r="I34" s="149"/>
      <c r="J34" s="149"/>
      <c r="K34" s="88"/>
    </row>
    <row r="35" spans="1:11">
      <c r="A35" s="98">
        <v>17</v>
      </c>
      <c r="B35" s="129" t="s">
        <v>262</v>
      </c>
      <c r="C35" s="129" t="s">
        <v>252</v>
      </c>
      <c r="D35" s="717" t="e">
        <f>+D33/24*1000</f>
        <v>#DIV/0!</v>
      </c>
      <c r="E35" s="129" t="s">
        <v>895</v>
      </c>
      <c r="F35" s="149"/>
      <c r="G35" s="149"/>
      <c r="H35" s="149"/>
      <c r="I35" s="149"/>
      <c r="J35" s="149"/>
      <c r="K35" s="88"/>
    </row>
    <row r="36" spans="1:11">
      <c r="B36" s="129"/>
      <c r="C36" s="129"/>
      <c r="D36" s="130"/>
      <c r="E36" s="129"/>
      <c r="F36" s="129"/>
      <c r="G36" s="129"/>
      <c r="H36" s="89"/>
      <c r="I36" s="959" t="str">
        <f>I1</f>
        <v>Projected Attachment H</v>
      </c>
      <c r="J36" s="959"/>
      <c r="K36" s="959"/>
    </row>
    <row r="37" spans="1:11">
      <c r="B37" s="129"/>
      <c r="C37" s="129"/>
      <c r="D37" s="130"/>
      <c r="E37" s="129"/>
      <c r="F37" s="129"/>
      <c r="G37" s="129"/>
      <c r="H37" s="89"/>
      <c r="I37" s="89"/>
      <c r="J37" s="958" t="s">
        <v>242</v>
      </c>
      <c r="K37" s="958"/>
    </row>
    <row r="38" spans="1:11">
      <c r="B38" s="129"/>
      <c r="C38" s="129"/>
      <c r="D38" s="130"/>
      <c r="E38" s="129"/>
      <c r="F38" s="129"/>
      <c r="G38" s="129"/>
      <c r="H38" s="89"/>
      <c r="I38" s="89"/>
      <c r="J38" s="89"/>
      <c r="K38" s="731"/>
    </row>
    <row r="39" spans="1:11">
      <c r="B39" s="130" t="s">
        <v>0</v>
      </c>
      <c r="C39" s="98" t="s">
        <v>1</v>
      </c>
      <c r="E39" s="129"/>
      <c r="F39" s="129"/>
      <c r="G39" s="129"/>
      <c r="H39" s="89"/>
      <c r="I39" s="89"/>
      <c r="J39" s="89"/>
      <c r="K39" s="733" t="str">
        <f>K4</f>
        <v>Estimated - For the 12 months ended 12/31/yyyy</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2"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4">
        <f>'P1-Trans Plant'!H44</f>
        <v>67742673.149999991</v>
      </c>
      <c r="E49" s="136"/>
      <c r="F49" s="133" t="s">
        <v>11</v>
      </c>
      <c r="G49" s="161">
        <f>$I$170</f>
        <v>0.93588134221765762</v>
      </c>
      <c r="H49" s="133"/>
      <c r="I49" s="76">
        <f>+G49*D49</f>
        <v>63399103.873034067</v>
      </c>
      <c r="J49" s="133"/>
      <c r="K49" s="136"/>
      <c r="M49" s="162"/>
      <c r="N49" s="162"/>
      <c r="O49" s="162"/>
    </row>
    <row r="50" spans="1:15">
      <c r="A50" s="154">
        <v>2</v>
      </c>
      <c r="B50" s="129" t="s">
        <v>30</v>
      </c>
      <c r="C50" s="925" t="s">
        <v>778</v>
      </c>
      <c r="D50" s="374">
        <f>'A4-Rate Base'!F22</f>
        <v>20807562.02</v>
      </c>
      <c r="E50" s="133"/>
      <c r="F50" s="133" t="s">
        <v>31</v>
      </c>
      <c r="G50" s="161">
        <f>$I$187</f>
        <v>8.3698853923777461E-2</v>
      </c>
      <c r="H50" s="133"/>
      <c r="I50" s="76">
        <f>+G50*D50</f>
        <v>1741569.0940219199</v>
      </c>
      <c r="J50" s="133"/>
      <c r="K50" s="136"/>
    </row>
    <row r="51" spans="1:15">
      <c r="A51" s="154">
        <v>3</v>
      </c>
      <c r="B51" s="129" t="s">
        <v>364</v>
      </c>
      <c r="C51" s="236" t="s">
        <v>621</v>
      </c>
      <c r="D51" s="735">
        <f>SUM(D49:D50)</f>
        <v>88550235.169999987</v>
      </c>
      <c r="E51" s="133"/>
      <c r="F51" s="133" t="s">
        <v>37</v>
      </c>
      <c r="G51" s="161">
        <f>$G$234</f>
        <v>9.6945161368748062E-2</v>
      </c>
      <c r="H51" s="133"/>
      <c r="I51" s="244">
        <f>SUM(I49:I50)</f>
        <v>65140672.967055984</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4">
        <f>'P1-Trans Plant'!J44</f>
        <v>9018535.5511663873</v>
      </c>
      <c r="E54" s="133"/>
      <c r="F54" s="143" t="str">
        <f>+F49</f>
        <v>TP</v>
      </c>
      <c r="G54" s="161">
        <f>$I$170</f>
        <v>0.93588134221765762</v>
      </c>
      <c r="H54" s="133"/>
      <c r="I54" s="76">
        <f>+G54*D54</f>
        <v>8440279.1564632617</v>
      </c>
      <c r="J54" s="133"/>
      <c r="K54" s="136"/>
    </row>
    <row r="55" spans="1:15">
      <c r="A55" s="154">
        <v>5</v>
      </c>
      <c r="B55" s="166" t="str">
        <f>+B50</f>
        <v xml:space="preserve">  General &amp; Intangible</v>
      </c>
      <c r="C55" s="129" t="s">
        <v>779</v>
      </c>
      <c r="D55" s="374">
        <f>'A4-Rate Base'!H45</f>
        <v>5718658.591202464</v>
      </c>
      <c r="E55" s="133"/>
      <c r="F55" s="143" t="str">
        <f>+F50</f>
        <v>W/S</v>
      </c>
      <c r="G55" s="161">
        <f>$I$187</f>
        <v>8.3698853923777461E-2</v>
      </c>
      <c r="H55" s="133"/>
      <c r="I55" s="76">
        <f>+G55*D55</f>
        <v>478645.17006501002</v>
      </c>
      <c r="J55" s="133"/>
      <c r="K55" s="136"/>
    </row>
    <row r="56" spans="1:15">
      <c r="A56" s="154">
        <v>6</v>
      </c>
      <c r="B56" s="129" t="s">
        <v>366</v>
      </c>
      <c r="C56" s="246" t="s">
        <v>621</v>
      </c>
      <c r="D56" s="735">
        <f>SUM(D54:D55)</f>
        <v>14737194.142368851</v>
      </c>
      <c r="E56" s="133"/>
      <c r="F56" s="133"/>
      <c r="G56" s="161"/>
      <c r="H56" s="133"/>
      <c r="I56" s="244">
        <f>SUM(I54:I55)</f>
        <v>8918924.3265282717</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36">
        <f>D49-D54</f>
        <v>58724137.598833606</v>
      </c>
      <c r="E59" s="133"/>
      <c r="F59" s="133"/>
      <c r="G59" s="161"/>
      <c r="H59" s="133"/>
      <c r="I59" s="76">
        <f>I49-I54</f>
        <v>54958824.716570809</v>
      </c>
      <c r="J59" s="133"/>
      <c r="K59" s="164"/>
    </row>
    <row r="60" spans="1:15">
      <c r="A60" s="154">
        <v>8</v>
      </c>
      <c r="B60" s="166" t="str">
        <f>+B55</f>
        <v xml:space="preserve">  General &amp; Intangible</v>
      </c>
      <c r="C60" s="63" t="s">
        <v>623</v>
      </c>
      <c r="D60" s="736">
        <f>D50-D55</f>
        <v>15088903.428797536</v>
      </c>
      <c r="E60" s="133"/>
      <c r="F60" s="133"/>
      <c r="G60" s="161"/>
      <c r="H60" s="133"/>
      <c r="I60" s="76">
        <f>I50-I55</f>
        <v>1262923.9239569099</v>
      </c>
      <c r="J60" s="133"/>
      <c r="K60" s="164"/>
    </row>
    <row r="61" spans="1:15">
      <c r="A61" s="154">
        <v>9</v>
      </c>
      <c r="B61" s="129" t="s">
        <v>368</v>
      </c>
      <c r="C61" s="246" t="s">
        <v>622</v>
      </c>
      <c r="D61" s="737">
        <f>SUM(D59:D60)</f>
        <v>73813041.027631134</v>
      </c>
      <c r="E61" s="133"/>
      <c r="F61" s="133" t="s">
        <v>34</v>
      </c>
      <c r="G61" s="161">
        <f>$G$242</f>
        <v>0.10752598738221672</v>
      </c>
      <c r="H61" s="133"/>
      <c r="I61" s="244">
        <f>SUM(I59:I60)</f>
        <v>56221748.640527718</v>
      </c>
      <c r="J61" s="133"/>
      <c r="K61" s="136"/>
    </row>
    <row r="62" spans="1:15" s="2" customFormat="1">
      <c r="A62" s="245"/>
      <c r="B62" s="65"/>
      <c r="C62" s="63"/>
      <c r="D62" s="66"/>
      <c r="E62" s="62"/>
      <c r="F62" s="62"/>
      <c r="G62" s="161"/>
      <c r="H62" s="62"/>
      <c r="I62" s="76"/>
      <c r="J62" s="63"/>
      <c r="K62" s="63"/>
    </row>
    <row r="63" spans="1:15" s="2" customFormat="1">
      <c r="A63" s="245">
        <v>10</v>
      </c>
      <c r="B63" s="912" t="s">
        <v>370</v>
      </c>
      <c r="C63" s="69" t="s">
        <v>700</v>
      </c>
      <c r="D63" s="374">
        <f>'A4-Rate Base'!H23</f>
        <v>0</v>
      </c>
      <c r="E63" s="71"/>
      <c r="F63" s="91"/>
      <c r="G63" s="815"/>
      <c r="H63" s="71"/>
      <c r="I63" s="73">
        <f>+G63*D63</f>
        <v>0</v>
      </c>
      <c r="J63" s="63"/>
      <c r="K63" s="63"/>
    </row>
    <row r="64" spans="1:15" s="2" customFormat="1">
      <c r="A64" s="245"/>
      <c r="B64" s="82"/>
      <c r="C64" s="78"/>
      <c r="D64" s="66"/>
      <c r="E64" s="63"/>
      <c r="F64" s="74"/>
      <c r="G64" s="161"/>
      <c r="H64" s="63"/>
      <c r="I64" s="66"/>
      <c r="J64" s="63"/>
      <c r="K64" s="75"/>
    </row>
    <row r="65" spans="1:12">
      <c r="A65" s="154"/>
      <c r="B65" s="888" t="s">
        <v>464</v>
      </c>
      <c r="C65" s="136"/>
      <c r="D65" s="133"/>
      <c r="E65" s="133"/>
      <c r="F65" s="133"/>
      <c r="G65" s="161"/>
      <c r="H65" s="133"/>
      <c r="I65" s="133"/>
      <c r="J65" s="133"/>
      <c r="K65" s="136"/>
    </row>
    <row r="66" spans="1:12">
      <c r="A66" s="245">
        <v>11</v>
      </c>
      <c r="B66" s="816" t="s">
        <v>1091</v>
      </c>
      <c r="C66" s="888" t="s">
        <v>1031</v>
      </c>
      <c r="D66" s="374">
        <f>'P5-ADIT'!J72</f>
        <v>0</v>
      </c>
      <c r="E66" s="78"/>
      <c r="F66" s="78" t="s">
        <v>37</v>
      </c>
      <c r="G66" s="173">
        <f>$G$234</f>
        <v>9.6945161368748062E-2</v>
      </c>
      <c r="H66" s="80"/>
      <c r="I66" s="66">
        <f>D66*G66</f>
        <v>0</v>
      </c>
      <c r="J66" s="133"/>
      <c r="K66" s="164"/>
    </row>
    <row r="67" spans="1:12">
      <c r="A67" s="245">
        <v>12</v>
      </c>
      <c r="B67" s="816" t="s">
        <v>1098</v>
      </c>
      <c r="C67" s="888" t="s">
        <v>1032</v>
      </c>
      <c r="D67" s="374">
        <f>'P5-ADIT'!J106</f>
        <v>-6577485.6356292795</v>
      </c>
      <c r="E67" s="63"/>
      <c r="F67" s="78" t="s">
        <v>11</v>
      </c>
      <c r="G67" s="173">
        <f>$I$170</f>
        <v>0.93588134221765762</v>
      </c>
      <c r="H67" s="62"/>
      <c r="I67" s="66">
        <f>D67*G67</f>
        <v>-6155746.0850900933</v>
      </c>
      <c r="J67" s="133"/>
      <c r="K67" s="164"/>
    </row>
    <row r="68" spans="1:12">
      <c r="A68" s="245">
        <v>13</v>
      </c>
      <c r="B68" s="816" t="s">
        <v>1099</v>
      </c>
      <c r="C68" s="888" t="s">
        <v>1033</v>
      </c>
      <c r="D68" s="374">
        <f>'P5-ADIT'!J140</f>
        <v>-2559884</v>
      </c>
      <c r="E68" s="63"/>
      <c r="F68" s="78" t="s">
        <v>37</v>
      </c>
      <c r="G68" s="173">
        <f>$G$234</f>
        <v>9.6945161368748062E-2</v>
      </c>
      <c r="H68" s="62"/>
      <c r="I68" s="66">
        <f>D68*G68</f>
        <v>-248168.36746527627</v>
      </c>
      <c r="J68" s="133"/>
      <c r="K68" s="164"/>
    </row>
    <row r="69" spans="1:12">
      <c r="A69" s="245">
        <v>14</v>
      </c>
      <c r="B69" s="95" t="s">
        <v>136</v>
      </c>
      <c r="C69" s="888" t="s">
        <v>1016</v>
      </c>
      <c r="D69" s="374">
        <f>'P5-ADIT'!J28</f>
        <v>16680632</v>
      </c>
      <c r="E69" s="78"/>
      <c r="F69" s="78" t="s">
        <v>37</v>
      </c>
      <c r="G69" s="173">
        <f>$G$234</f>
        <v>9.6945161368748062E-2</v>
      </c>
      <c r="H69" s="80"/>
      <c r="I69" s="76">
        <f>D69*G69</f>
        <v>1617106.5609727027</v>
      </c>
      <c r="J69" s="136"/>
      <c r="K69" s="164"/>
    </row>
    <row r="70" spans="1:12">
      <c r="A70" s="245" t="s">
        <v>1018</v>
      </c>
      <c r="B70" s="95" t="s">
        <v>1019</v>
      </c>
      <c r="C70" s="888" t="s">
        <v>1017</v>
      </c>
      <c r="D70" s="374">
        <f>'P5-ADIT'!J35</f>
        <v>0</v>
      </c>
      <c r="E70" s="78"/>
      <c r="F70" s="78"/>
      <c r="G70" s="173"/>
      <c r="H70" s="80"/>
      <c r="I70" s="76">
        <f>D70</f>
        <v>0</v>
      </c>
      <c r="J70" s="136"/>
      <c r="K70" s="164"/>
    </row>
    <row r="71" spans="1:12">
      <c r="A71" s="245">
        <v>15</v>
      </c>
      <c r="B71" s="82" t="s">
        <v>999</v>
      </c>
      <c r="C71" s="888"/>
      <c r="D71" s="736">
        <v>0</v>
      </c>
      <c r="E71" s="78"/>
      <c r="F71" s="78"/>
      <c r="G71" s="173"/>
      <c r="H71" s="80"/>
      <c r="I71" s="70">
        <f>D71*G71</f>
        <v>0</v>
      </c>
      <c r="J71" s="136"/>
      <c r="K71" s="164"/>
    </row>
    <row r="72" spans="1:12">
      <c r="A72" s="245">
        <v>16</v>
      </c>
      <c r="B72" s="83" t="s">
        <v>371</v>
      </c>
      <c r="C72" s="888" t="s">
        <v>1096</v>
      </c>
      <c r="D72" s="374">
        <f>'A4-Rate Base'!C69</f>
        <v>0</v>
      </c>
      <c r="E72" s="72"/>
      <c r="F72" s="91"/>
      <c r="G72" s="815"/>
      <c r="H72" s="72"/>
      <c r="I72" s="73">
        <f>D72*G72</f>
        <v>0</v>
      </c>
      <c r="J72" s="133"/>
      <c r="K72" s="164"/>
    </row>
    <row r="73" spans="1:12">
      <c r="A73" s="245">
        <v>17</v>
      </c>
      <c r="B73" s="83" t="s">
        <v>372</v>
      </c>
      <c r="C73" s="888" t="s">
        <v>1097</v>
      </c>
      <c r="D73" s="374">
        <f>'A4-Rate Base'!D69</f>
        <v>0</v>
      </c>
      <c r="E73" s="71"/>
      <c r="F73" s="91"/>
      <c r="G73" s="815"/>
      <c r="H73" s="71"/>
      <c r="I73" s="73">
        <f>D73*G73</f>
        <v>0</v>
      </c>
      <c r="J73" s="133"/>
      <c r="K73" s="164"/>
    </row>
    <row r="74" spans="1:12">
      <c r="A74" s="245">
        <v>18</v>
      </c>
      <c r="B74" s="83" t="s">
        <v>374</v>
      </c>
      <c r="C74" s="888" t="s">
        <v>620</v>
      </c>
      <c r="D74" s="374">
        <f>'Act Att-H'!D78</f>
        <v>0</v>
      </c>
      <c r="E74" s="71"/>
      <c r="F74" s="72"/>
      <c r="G74" s="173"/>
      <c r="H74" s="71"/>
      <c r="I74" s="73">
        <f t="shared" ref="I74" si="0">D74</f>
        <v>0</v>
      </c>
      <c r="J74" s="133"/>
      <c r="K74" s="164"/>
    </row>
    <row r="75" spans="1:12">
      <c r="A75" s="245">
        <v>19</v>
      </c>
      <c r="B75" s="816" t="s">
        <v>137</v>
      </c>
      <c r="C75" s="888" t="s">
        <v>619</v>
      </c>
      <c r="D75" s="374">
        <f>'Act Att-H'!D79</f>
        <v>72660.62999999999</v>
      </c>
      <c r="E75" s="133"/>
      <c r="F75" s="78" t="s">
        <v>37</v>
      </c>
      <c r="G75" s="173">
        <f>$G$234</f>
        <v>9.6945161368748062E-2</v>
      </c>
      <c r="H75" s="133"/>
      <c r="I75" s="73">
        <f t="shared" ref="I75" si="1">D75*G75</f>
        <v>7044.0965005048956</v>
      </c>
      <c r="J75" s="133"/>
      <c r="K75" s="164"/>
    </row>
    <row r="76" spans="1:12" ht="13.5" thickBot="1">
      <c r="A76" s="154">
        <v>20</v>
      </c>
      <c r="B76" s="816" t="s">
        <v>1202</v>
      </c>
      <c r="C76" s="888" t="s">
        <v>1001</v>
      </c>
      <c r="D76" s="374">
        <f>'P5-ADIT'!J175</f>
        <v>0</v>
      </c>
      <c r="E76" s="133"/>
      <c r="F76" s="136"/>
      <c r="G76" s="136"/>
      <c r="H76" s="133"/>
      <c r="I76" s="77">
        <f>D76</f>
        <v>0</v>
      </c>
      <c r="J76" s="133"/>
      <c r="K76" s="164"/>
      <c r="L76" s="162"/>
    </row>
    <row r="77" spans="1:12">
      <c r="A77" s="154">
        <v>21</v>
      </c>
      <c r="B77" s="129" t="s">
        <v>380</v>
      </c>
      <c r="C77" s="246" t="s">
        <v>1071</v>
      </c>
      <c r="D77" s="735">
        <f>SUM(D66:D76)</f>
        <v>7615922.9943707203</v>
      </c>
      <c r="E77" s="133"/>
      <c r="F77" s="133"/>
      <c r="G77" s="161"/>
      <c r="H77" s="133"/>
      <c r="I77" s="76">
        <f>SUM(I66:I76)</f>
        <v>-4779763.7950821621</v>
      </c>
      <c r="J77" s="133"/>
      <c r="K77" s="136"/>
    </row>
    <row r="78" spans="1:12">
      <c r="A78" s="154"/>
      <c r="C78" s="133"/>
      <c r="E78" s="133"/>
      <c r="F78" s="133"/>
      <c r="G78" s="161"/>
      <c r="H78" s="133"/>
      <c r="J78" s="133"/>
      <c r="K78" s="164"/>
    </row>
    <row r="79" spans="1:12">
      <c r="A79" s="154">
        <v>22</v>
      </c>
      <c r="B79" s="129" t="s">
        <v>35</v>
      </c>
      <c r="C79" s="129" t="s">
        <v>780</v>
      </c>
      <c r="D79" s="374">
        <f>'A4-Rate Base'!I22</f>
        <v>318000</v>
      </c>
      <c r="E79" s="133"/>
      <c r="F79" s="143" t="str">
        <f>+F54</f>
        <v>TP</v>
      </c>
      <c r="G79" s="161">
        <f>$I$170</f>
        <v>0.93588134221765762</v>
      </c>
      <c r="H79" s="133"/>
      <c r="I79" s="76">
        <f>+G79*D79</f>
        <v>297610.26682521513</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36">
        <f>D112/8</f>
        <v>1905326.261923817</v>
      </c>
      <c r="E82" s="133"/>
      <c r="F82" s="133"/>
      <c r="G82" s="161"/>
      <c r="H82" s="133"/>
      <c r="I82" s="76">
        <f>I112/8</f>
        <v>266407.84682010609</v>
      </c>
      <c r="J82" s="89"/>
      <c r="K82" s="164"/>
    </row>
    <row r="83" spans="1:11">
      <c r="A83" s="154">
        <v>24</v>
      </c>
      <c r="B83" s="129" t="s">
        <v>143</v>
      </c>
      <c r="C83" s="86" t="s">
        <v>981</v>
      </c>
      <c r="D83" s="374">
        <f>'A4-Rate Base'!F107</f>
        <v>59617.051012617972</v>
      </c>
      <c r="E83" s="133"/>
      <c r="F83" s="133"/>
      <c r="G83" s="161"/>
      <c r="H83" s="133"/>
      <c r="I83" s="76">
        <f>D83</f>
        <v>59617.051012617972</v>
      </c>
      <c r="J83" s="133" t="s">
        <v>2</v>
      </c>
      <c r="K83" s="164"/>
    </row>
    <row r="84" spans="1:11" ht="13.5" thickBot="1">
      <c r="A84" s="154">
        <v>25</v>
      </c>
      <c r="B84" s="129" t="s">
        <v>138</v>
      </c>
      <c r="C84" s="80" t="s">
        <v>1089</v>
      </c>
      <c r="D84" s="374">
        <f>'A8-Prepmts'!H33</f>
        <v>104613.4372589032</v>
      </c>
      <c r="E84" s="133"/>
      <c r="F84" s="133"/>
      <c r="G84" s="161"/>
      <c r="H84" s="133"/>
      <c r="I84" s="77">
        <f>D84</f>
        <v>104613.4372589032</v>
      </c>
      <c r="J84" s="133"/>
      <c r="K84" s="164"/>
    </row>
    <row r="85" spans="1:11">
      <c r="A85" s="154">
        <v>26</v>
      </c>
      <c r="B85" s="129" t="s">
        <v>378</v>
      </c>
      <c r="C85" s="63"/>
      <c r="D85" s="735">
        <f>D82+D83+D84</f>
        <v>2069556.7501953382</v>
      </c>
      <c r="E85" s="89"/>
      <c r="F85" s="89"/>
      <c r="G85" s="89"/>
      <c r="H85" s="89"/>
      <c r="I85" s="76">
        <f>I82+I83+I84</f>
        <v>430638.3350916272</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83816520.772197187</v>
      </c>
      <c r="E87" s="133"/>
      <c r="F87" s="133"/>
      <c r="G87" s="165"/>
      <c r="H87" s="133"/>
      <c r="I87" s="87">
        <f>+I85+I79+I77+I61</f>
        <v>52170233.447362401</v>
      </c>
      <c r="J87" s="133"/>
      <c r="K87" s="164"/>
    </row>
    <row r="88" spans="1:11" ht="13.5" thickTop="1">
      <c r="B88" s="129"/>
      <c r="C88" s="129"/>
      <c r="D88" s="130"/>
      <c r="E88" s="129"/>
      <c r="F88" s="129"/>
      <c r="G88" s="129"/>
      <c r="H88" s="89"/>
      <c r="I88" s="230"/>
      <c r="J88" s="230"/>
      <c r="K88" s="731"/>
    </row>
    <row r="89" spans="1:11">
      <c r="B89" s="129"/>
      <c r="C89" s="129"/>
      <c r="D89" s="130"/>
      <c r="E89" s="129"/>
      <c r="F89" s="129"/>
      <c r="G89" s="129"/>
      <c r="H89" s="89"/>
      <c r="I89" s="959" t="str">
        <f>I1</f>
        <v>Projected Attachment H</v>
      </c>
      <c r="J89" s="959"/>
      <c r="K89" s="959"/>
    </row>
    <row r="90" spans="1:11">
      <c r="B90" s="129"/>
      <c r="C90" s="129"/>
      <c r="D90" s="130"/>
      <c r="E90" s="129"/>
      <c r="F90" s="129"/>
      <c r="G90" s="129"/>
      <c r="H90" s="89"/>
      <c r="I90" s="89"/>
      <c r="J90" s="958" t="s">
        <v>243</v>
      </c>
      <c r="K90" s="958"/>
    </row>
    <row r="91" spans="1:11">
      <c r="B91" s="129"/>
      <c r="C91" s="129"/>
      <c r="D91" s="130"/>
      <c r="E91" s="129"/>
      <c r="F91" s="129"/>
      <c r="G91" s="129"/>
      <c r="H91" s="89"/>
      <c r="I91" s="89"/>
      <c r="J91" s="89"/>
      <c r="K91" s="731"/>
    </row>
    <row r="92" spans="1:11">
      <c r="B92" s="130" t="s">
        <v>0</v>
      </c>
      <c r="C92" s="98" t="s">
        <v>1</v>
      </c>
      <c r="E92" s="129"/>
      <c r="F92" s="129"/>
      <c r="G92" s="129"/>
      <c r="H92" s="89"/>
      <c r="I92" s="89"/>
      <c r="J92" s="89"/>
      <c r="K92" s="733" t="str">
        <f>K4</f>
        <v>Estimated - For the 12 months ended 12/31/yyyy</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2"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4">
        <f>'P2-Exp. &amp; Rev. Credits'!F16</f>
        <v>23614061.534758974</v>
      </c>
      <c r="E101" s="133"/>
      <c r="F101" s="133" t="s">
        <v>36</v>
      </c>
      <c r="G101" s="161">
        <f>$I$179</f>
        <v>0.92281535747047672</v>
      </c>
      <c r="H101" s="133"/>
      <c r="I101" s="76">
        <f>+G101*D101</f>
        <v>21791418.636528436</v>
      </c>
      <c r="J101" s="89"/>
      <c r="K101" s="136"/>
    </row>
    <row r="102" spans="1:15">
      <c r="A102" s="98">
        <v>2</v>
      </c>
      <c r="B102" s="129" t="s">
        <v>144</v>
      </c>
      <c r="C102" s="129" t="s">
        <v>627</v>
      </c>
      <c r="D102" s="374">
        <f>'P2-Exp. &amp; Rev. Credits'!F17</f>
        <v>334031.04779782472</v>
      </c>
      <c r="E102" s="133"/>
      <c r="F102" s="133" t="s">
        <v>36</v>
      </c>
      <c r="G102" s="161">
        <f>$I$179</f>
        <v>0.92281535747047672</v>
      </c>
      <c r="H102" s="133"/>
      <c r="I102" s="66">
        <f t="shared" ref="I102:I111" si="2">+G102*D102</f>
        <v>308248.98077978753</v>
      </c>
      <c r="J102" s="89"/>
      <c r="K102" s="136"/>
    </row>
    <row r="103" spans="1:15">
      <c r="A103" s="98" t="s">
        <v>145</v>
      </c>
      <c r="B103" s="129" t="s">
        <v>39</v>
      </c>
      <c r="C103" s="129" t="s">
        <v>628</v>
      </c>
      <c r="D103" s="374">
        <f>'P2-Exp. &amp; Rev. Credits'!F18</f>
        <v>22260537.037417702</v>
      </c>
      <c r="E103" s="133"/>
      <c r="F103" s="133" t="s">
        <v>36</v>
      </c>
      <c r="G103" s="161">
        <f>$I$179</f>
        <v>0.92281535747047672</v>
      </c>
      <c r="H103" s="133"/>
      <c r="I103" s="66">
        <f t="shared" si="2"/>
        <v>20542365.443669405</v>
      </c>
      <c r="J103" s="89"/>
      <c r="K103" s="136"/>
    </row>
    <row r="104" spans="1:15">
      <c r="A104" s="98">
        <v>3</v>
      </c>
      <c r="B104" s="129" t="s">
        <v>40</v>
      </c>
      <c r="C104" s="129" t="s">
        <v>629</v>
      </c>
      <c r="D104" s="374">
        <f>'P2-Exp. &amp; Rev. Credits'!F19</f>
        <v>15081321.765634527</v>
      </c>
      <c r="E104" s="133"/>
      <c r="F104" s="133" t="s">
        <v>31</v>
      </c>
      <c r="G104" s="161">
        <f>$I$187</f>
        <v>8.3698853923777461E-2</v>
      </c>
      <c r="H104" s="133"/>
      <c r="I104" s="76">
        <f t="shared" si="2"/>
        <v>1262289.3474393298</v>
      </c>
      <c r="J104" s="133"/>
      <c r="K104" s="136" t="s">
        <v>2</v>
      </c>
    </row>
    <row r="105" spans="1:15">
      <c r="A105" s="98">
        <v>4</v>
      </c>
      <c r="B105" s="925" t="s">
        <v>1217</v>
      </c>
      <c r="C105" s="129"/>
      <c r="D105" s="133"/>
      <c r="E105" s="133"/>
      <c r="F105" s="143"/>
      <c r="G105" s="161"/>
      <c r="H105" s="133"/>
      <c r="I105" s="66"/>
      <c r="J105" s="133"/>
      <c r="K105" s="136"/>
    </row>
    <row r="106" spans="1:15">
      <c r="A106" s="98">
        <v>5</v>
      </c>
      <c r="B106" s="734" t="s">
        <v>641</v>
      </c>
      <c r="C106" s="129" t="s">
        <v>630</v>
      </c>
      <c r="D106" s="374">
        <f>'P2-Exp. &amp; Rev. Credits'!F21</f>
        <v>876472.33405972272</v>
      </c>
      <c r="E106" s="133"/>
      <c r="F106" s="143">
        <f>+F105</f>
        <v>0</v>
      </c>
      <c r="G106" s="161">
        <f>$I$187</f>
        <v>8.3698853923777461E-2</v>
      </c>
      <c r="H106" s="133"/>
      <c r="I106" s="66">
        <f t="shared" si="2"/>
        <v>73359.729856697013</v>
      </c>
      <c r="J106" s="133"/>
      <c r="K106" s="136"/>
    </row>
    <row r="107" spans="1:15">
      <c r="A107" s="98" t="s">
        <v>102</v>
      </c>
      <c r="B107" s="734" t="s">
        <v>642</v>
      </c>
      <c r="C107" s="129" t="s">
        <v>631</v>
      </c>
      <c r="D107" s="374">
        <f>'P2-Exp. &amp; Rev. Credits'!F22</f>
        <v>0</v>
      </c>
      <c r="E107" s="133"/>
      <c r="F107" s="172" t="str">
        <f>+F101</f>
        <v>TE</v>
      </c>
      <c r="G107" s="161">
        <f>$I$179</f>
        <v>0.92281535747047672</v>
      </c>
      <c r="H107" s="133"/>
      <c r="I107" s="66">
        <f>+G107*D107</f>
        <v>0</v>
      </c>
      <c r="J107" s="133"/>
      <c r="K107" s="136"/>
    </row>
    <row r="108" spans="1:15">
      <c r="A108" s="98" t="s">
        <v>149</v>
      </c>
      <c r="B108" s="734" t="s">
        <v>930</v>
      </c>
      <c r="C108" s="129" t="s">
        <v>632</v>
      </c>
      <c r="D108" s="374">
        <f>'P2-Exp. &amp; Rev. Credits'!F23</f>
        <v>607325</v>
      </c>
      <c r="E108" s="133"/>
      <c r="F108" s="143" t="s">
        <v>31</v>
      </c>
      <c r="G108" s="161">
        <f>$I$187</f>
        <v>8.3698853923777461E-2</v>
      </c>
      <c r="H108" s="133"/>
      <c r="I108" s="73">
        <f t="shared" ref="I108:I109" si="3">+G108*D108</f>
        <v>50832.406459258149</v>
      </c>
      <c r="J108" s="133"/>
      <c r="K108" s="136"/>
    </row>
    <row r="109" spans="1:15">
      <c r="A109" s="98" t="s">
        <v>150</v>
      </c>
      <c r="B109" s="734" t="s">
        <v>931</v>
      </c>
      <c r="C109" s="129" t="s">
        <v>633</v>
      </c>
      <c r="D109" s="374">
        <f>'P2-Exp. &amp; Rev. Credits'!F24</f>
        <v>589057.78572771465</v>
      </c>
      <c r="E109" s="133"/>
      <c r="F109" s="143" t="str">
        <f>+F108</f>
        <v>W/S</v>
      </c>
      <c r="G109" s="161">
        <f>$I$187</f>
        <v>8.3698853923777461E-2</v>
      </c>
      <c r="H109" s="133"/>
      <c r="I109" s="73">
        <f t="shared" si="3"/>
        <v>49303.461560287789</v>
      </c>
      <c r="J109" s="133"/>
      <c r="K109" s="136"/>
    </row>
    <row r="110" spans="1:15">
      <c r="A110" s="98">
        <v>6</v>
      </c>
      <c r="B110" s="129" t="s">
        <v>32</v>
      </c>
      <c r="C110" s="129" t="s">
        <v>634</v>
      </c>
      <c r="D110" s="374">
        <f>'P2-Exp. &amp; Rev. Credits'!F25</f>
        <v>0</v>
      </c>
      <c r="E110" s="133"/>
      <c r="F110" s="133" t="s">
        <v>67</v>
      </c>
      <c r="G110" s="161">
        <f>K191</f>
        <v>8.217144652354566E-2</v>
      </c>
      <c r="H110" s="133"/>
      <c r="I110" s="76">
        <f t="shared" si="2"/>
        <v>0</v>
      </c>
      <c r="J110" s="133"/>
      <c r="K110" s="136"/>
    </row>
    <row r="111" spans="1:15" ht="13.5" thickBot="1">
      <c r="A111" s="98">
        <v>7</v>
      </c>
      <c r="B111" s="129" t="s">
        <v>41</v>
      </c>
      <c r="C111" s="129" t="s">
        <v>635</v>
      </c>
      <c r="D111" s="374">
        <f>'P2-Exp. &amp; Rev. Credits'!F26</f>
        <v>0</v>
      </c>
      <c r="E111" s="133"/>
      <c r="F111" s="133" t="s">
        <v>373</v>
      </c>
      <c r="G111" s="161">
        <v>1</v>
      </c>
      <c r="H111" s="133"/>
      <c r="I111" s="77">
        <f t="shared" si="2"/>
        <v>0</v>
      </c>
      <c r="J111" s="133"/>
      <c r="K111" s="136"/>
    </row>
    <row r="112" spans="1:15">
      <c r="A112" s="154">
        <v>8</v>
      </c>
      <c r="B112" s="925" t="s">
        <v>1219</v>
      </c>
      <c r="C112" s="129"/>
      <c r="D112" s="735">
        <f>'P2-Exp. &amp; Rev. Credits'!F27</f>
        <v>15242610.095390536</v>
      </c>
      <c r="E112" s="136"/>
      <c r="F112" s="136"/>
      <c r="G112" s="161"/>
      <c r="H112" s="136"/>
      <c r="I112" s="76">
        <f>+I101-I102-I103+I104-I106+I110+I111+I107+I108-I109</f>
        <v>2131262.7745608487</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4">
        <f>'P1-Trans Plant'!E43</f>
        <v>1427812.3219825502</v>
      </c>
      <c r="E115" s="133"/>
      <c r="F115" s="133" t="s">
        <v>11</v>
      </c>
      <c r="G115" s="161">
        <f>$I$170</f>
        <v>0.93588134221765762</v>
      </c>
      <c r="H115" s="133"/>
      <c r="I115" s="76">
        <f>+G115*D115</f>
        <v>1336262.9123319394</v>
      </c>
      <c r="J115" s="133"/>
      <c r="K115" s="164"/>
    </row>
    <row r="116" spans="1:11">
      <c r="A116" s="98">
        <v>10</v>
      </c>
      <c r="B116" s="129" t="s">
        <v>127</v>
      </c>
      <c r="C116" s="129" t="s">
        <v>587</v>
      </c>
      <c r="D116" s="374">
        <f>'Act Att-H'!D120</f>
        <v>222270</v>
      </c>
      <c r="E116" s="133"/>
      <c r="F116" s="133" t="s">
        <v>31</v>
      </c>
      <c r="G116" s="161">
        <f>+G104</f>
        <v>8.3698853923777461E-2</v>
      </c>
      <c r="H116" s="133"/>
      <c r="I116" s="76">
        <f>+G116*D116</f>
        <v>18603.744261638018</v>
      </c>
      <c r="J116" s="133"/>
      <c r="K116" s="164"/>
    </row>
    <row r="117" spans="1:11">
      <c r="A117" s="98">
        <v>11</v>
      </c>
      <c r="B117" s="166" t="str">
        <f>+B110</f>
        <v xml:space="preserve">  Common</v>
      </c>
      <c r="C117" s="129" t="s">
        <v>598</v>
      </c>
      <c r="D117" s="374">
        <f>'Act Att-H'!D121</f>
        <v>0</v>
      </c>
      <c r="E117" s="133"/>
      <c r="F117" s="133" t="s">
        <v>67</v>
      </c>
      <c r="G117" s="161">
        <f>+G110</f>
        <v>8.217144652354566E-2</v>
      </c>
      <c r="H117" s="133"/>
      <c r="I117" s="76">
        <f>+G117*D117</f>
        <v>0</v>
      </c>
      <c r="J117" s="133"/>
      <c r="K117" s="164"/>
    </row>
    <row r="118" spans="1:11" s="2" customFormat="1" ht="13.5" thickBot="1">
      <c r="A118" s="92" t="s">
        <v>383</v>
      </c>
      <c r="B118" s="93" t="s">
        <v>389</v>
      </c>
      <c r="C118" s="888" t="s">
        <v>1128</v>
      </c>
      <c r="D118" s="374">
        <f>'Act Att-H'!D122</f>
        <v>0</v>
      </c>
      <c r="E118" s="66"/>
      <c r="F118" s="91"/>
      <c r="G118" s="815"/>
      <c r="H118" s="66"/>
      <c r="I118" s="85">
        <f>+G118*D118</f>
        <v>0</v>
      </c>
      <c r="J118" s="63"/>
      <c r="K118" s="75"/>
    </row>
    <row r="119" spans="1:11">
      <c r="A119" s="98">
        <v>12</v>
      </c>
      <c r="B119" s="129" t="s">
        <v>390</v>
      </c>
      <c r="C119" s="236" t="s">
        <v>391</v>
      </c>
      <c r="D119" s="737">
        <f>SUM(D115:D118)</f>
        <v>1650082.3219825502</v>
      </c>
      <c r="E119" s="133"/>
      <c r="F119" s="133"/>
      <c r="G119" s="161"/>
      <c r="H119" s="133"/>
      <c r="I119" s="76">
        <f>SUM(I115:I118)</f>
        <v>1354866.6565935775</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4">
        <f>'P2-Exp. &amp; Rev. Credits'!F32</f>
        <v>999536.55841393885</v>
      </c>
      <c r="E123" s="133"/>
      <c r="F123" s="133" t="s">
        <v>31</v>
      </c>
      <c r="G123" s="161">
        <f>+G116</f>
        <v>8.3698853923777461E-2</v>
      </c>
      <c r="H123" s="133"/>
      <c r="I123" s="76">
        <f>+G123*D123</f>
        <v>83660.064394163521</v>
      </c>
      <c r="J123" s="133"/>
      <c r="K123" s="164"/>
    </row>
    <row r="124" spans="1:11">
      <c r="A124" s="98">
        <v>14</v>
      </c>
      <c r="B124" s="129" t="s">
        <v>44</v>
      </c>
      <c r="C124" s="129" t="s">
        <v>592</v>
      </c>
      <c r="D124" s="374">
        <f>'P2-Exp. &amp; Rev. Credits'!F33</f>
        <v>0</v>
      </c>
      <c r="E124" s="133"/>
      <c r="F124" s="143" t="str">
        <f>+F123</f>
        <v>W/S</v>
      </c>
      <c r="G124" s="161">
        <f>+G123</f>
        <v>8.3698853923777461E-2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4">
        <f>'P2-Exp. &amp; Rev. Credits'!F35</f>
        <v>2502719.2635411988</v>
      </c>
      <c r="E126" s="133"/>
      <c r="F126" s="133" t="s">
        <v>37</v>
      </c>
      <c r="G126" s="161">
        <f>$G$234</f>
        <v>9.6945161368748062E-2</v>
      </c>
      <c r="H126" s="133"/>
      <c r="I126" s="76">
        <f>+G126*D126</f>
        <v>242626.52286467582</v>
      </c>
      <c r="J126" s="133"/>
      <c r="K126" s="164"/>
    </row>
    <row r="127" spans="1:11">
      <c r="A127" s="98">
        <v>17</v>
      </c>
      <c r="B127" s="129" t="s">
        <v>47</v>
      </c>
      <c r="C127" s="129" t="s">
        <v>594</v>
      </c>
      <c r="D127" s="374">
        <f>'P2-Exp. &amp; Rev. Credits'!F36</f>
        <v>1796510.3846215096</v>
      </c>
      <c r="E127" s="133"/>
      <c r="F127" s="174" t="s">
        <v>27</v>
      </c>
      <c r="G127" s="161">
        <v>0</v>
      </c>
      <c r="H127" s="133"/>
      <c r="I127" s="76">
        <v>0</v>
      </c>
      <c r="J127" s="133"/>
      <c r="K127" s="164"/>
    </row>
    <row r="128" spans="1:11">
      <c r="A128" s="98">
        <v>18</v>
      </c>
      <c r="B128" s="129" t="s">
        <v>59</v>
      </c>
      <c r="C128" s="129" t="s">
        <v>595</v>
      </c>
      <c r="D128" s="374">
        <f>'P2-Exp. &amp; Rev. Credits'!F37</f>
        <v>0</v>
      </c>
      <c r="E128" s="133"/>
      <c r="F128" s="862"/>
      <c r="G128" s="815"/>
      <c r="H128" s="133"/>
      <c r="I128" s="76">
        <f>+G128*D128</f>
        <v>0</v>
      </c>
      <c r="J128" s="133"/>
      <c r="K128" s="164"/>
    </row>
    <row r="129" spans="1:12" ht="13.5" thickBot="1">
      <c r="A129" s="98">
        <v>19</v>
      </c>
      <c r="B129" s="888" t="s">
        <v>1130</v>
      </c>
      <c r="C129" s="888"/>
      <c r="D129" s="736"/>
      <c r="E129" s="136"/>
      <c r="F129" s="136"/>
      <c r="G129" s="173"/>
      <c r="H129" s="136"/>
      <c r="I129" s="76"/>
      <c r="J129" s="133"/>
      <c r="K129" s="164"/>
    </row>
    <row r="130" spans="1:12">
      <c r="A130" s="98">
        <v>20</v>
      </c>
      <c r="B130" s="129" t="s">
        <v>393</v>
      </c>
      <c r="C130" s="236" t="s">
        <v>392</v>
      </c>
      <c r="D130" s="735">
        <f>SUM(D123:D129)</f>
        <v>5298766.2065766472</v>
      </c>
      <c r="E130" s="133"/>
      <c r="F130" s="133"/>
      <c r="G130" s="161"/>
      <c r="H130" s="133"/>
      <c r="I130" s="90">
        <f>SUM(I123:I129)</f>
        <v>326286.58725883934</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v>
      </c>
      <c r="E133" s="133"/>
      <c r="G133" s="161"/>
      <c r="H133" s="133"/>
      <c r="J133" s="133"/>
    </row>
    <row r="134" spans="1:12">
      <c r="A134" s="98">
        <v>22</v>
      </c>
      <c r="B134" s="128" t="s">
        <v>946</v>
      </c>
      <c r="C134" s="133"/>
      <c r="D134" s="178">
        <f>IF(I211&gt;0,(D133/(1-D133))*(1-I208/I211),0)</f>
        <v>0</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38">
        <f>IF(D133&gt;0,1/(1-D133),0)</f>
        <v>0</v>
      </c>
      <c r="E137" s="133"/>
      <c r="G137" s="161"/>
      <c r="H137" s="133"/>
      <c r="J137" s="133"/>
    </row>
    <row r="138" spans="1:12">
      <c r="A138" s="98">
        <v>24</v>
      </c>
      <c r="B138" s="129" t="s">
        <v>944</v>
      </c>
      <c r="C138" s="129" t="s">
        <v>599</v>
      </c>
      <c r="D138" s="374">
        <f>'Act Att-H'!D142</f>
        <v>5246</v>
      </c>
      <c r="E138" s="133"/>
      <c r="G138" s="161"/>
      <c r="H138" s="133"/>
      <c r="J138" s="133"/>
    </row>
    <row r="139" spans="1:12">
      <c r="A139" s="98" t="s">
        <v>384</v>
      </c>
      <c r="B139" s="95" t="s">
        <v>1199</v>
      </c>
      <c r="C139" s="129" t="s">
        <v>1009</v>
      </c>
      <c r="D139" s="374">
        <f>'Act Att-H'!D143</f>
        <v>110069.72413999999</v>
      </c>
      <c r="E139" s="133"/>
      <c r="G139" s="161"/>
      <c r="H139" s="133"/>
      <c r="J139" s="133"/>
      <c r="L139" s="162"/>
    </row>
    <row r="140" spans="1:12">
      <c r="A140" s="98" t="s">
        <v>831</v>
      </c>
      <c r="B140" s="95" t="s">
        <v>1200</v>
      </c>
      <c r="C140" s="129" t="s">
        <v>1022</v>
      </c>
      <c r="D140" s="374">
        <f>'Act Att-H'!D144</f>
        <v>-601.98894105306272</v>
      </c>
      <c r="E140" s="133"/>
      <c r="G140" s="161"/>
      <c r="H140" s="133"/>
      <c r="J140" s="133"/>
    </row>
    <row r="141" spans="1:12">
      <c r="A141" s="98" t="s">
        <v>385</v>
      </c>
      <c r="B141" s="95" t="s">
        <v>382</v>
      </c>
      <c r="C141" s="129" t="s">
        <v>600</v>
      </c>
      <c r="D141" s="374">
        <f>'Act Att-H'!D145</f>
        <v>-126.41767762114316</v>
      </c>
      <c r="E141" s="133"/>
      <c r="G141" s="161"/>
      <c r="H141" s="133"/>
      <c r="J141" s="133"/>
    </row>
    <row r="142" spans="1:12">
      <c r="A142" s="98">
        <v>25</v>
      </c>
      <c r="B142" s="177" t="s">
        <v>396</v>
      </c>
      <c r="C142" s="179" t="s">
        <v>394</v>
      </c>
      <c r="D142" s="736">
        <f>D134*D149</f>
        <v>0</v>
      </c>
      <c r="E142" s="133"/>
      <c r="F142" s="133"/>
      <c r="G142" s="161"/>
      <c r="H142" s="133"/>
      <c r="I142" s="76">
        <f>D134*I149</f>
        <v>0</v>
      </c>
      <c r="J142" s="133"/>
      <c r="K142" s="180" t="s">
        <v>2</v>
      </c>
    </row>
    <row r="143" spans="1:12">
      <c r="A143" s="98">
        <v>26</v>
      </c>
      <c r="B143" s="128" t="s">
        <v>397</v>
      </c>
      <c r="C143" s="179" t="s">
        <v>395</v>
      </c>
      <c r="D143" s="736">
        <f>D137*D138</f>
        <v>0</v>
      </c>
      <c r="E143" s="133"/>
      <c r="F143" s="78" t="s">
        <v>37</v>
      </c>
      <c r="G143" s="173">
        <f>$G$234</f>
        <v>9.6945161368748062E-2</v>
      </c>
      <c r="H143" s="133"/>
      <c r="I143" s="76">
        <f>G143*D143</f>
        <v>0</v>
      </c>
      <c r="J143" s="133"/>
      <c r="K143" s="180"/>
    </row>
    <row r="144" spans="1:12">
      <c r="A144" s="98" t="s">
        <v>398</v>
      </c>
      <c r="B144" s="82" t="s">
        <v>400</v>
      </c>
      <c r="C144" s="96" t="s">
        <v>402</v>
      </c>
      <c r="D144" s="736">
        <f>D137*D139</f>
        <v>0</v>
      </c>
      <c r="E144" s="133"/>
      <c r="F144" s="162"/>
      <c r="G144" s="173"/>
      <c r="H144" s="133"/>
      <c r="I144" s="76">
        <f>D144</f>
        <v>0</v>
      </c>
      <c r="J144" s="133"/>
      <c r="K144" s="180"/>
      <c r="L144" s="162"/>
    </row>
    <row r="145" spans="1:11">
      <c r="A145" s="98" t="s">
        <v>399</v>
      </c>
      <c r="B145" s="82" t="s">
        <v>401</v>
      </c>
      <c r="C145" s="96" t="s">
        <v>403</v>
      </c>
      <c r="D145" s="736">
        <f>D137*D141</f>
        <v>0</v>
      </c>
      <c r="E145" s="133"/>
      <c r="G145" s="161"/>
      <c r="H145" s="133"/>
      <c r="I145" s="76">
        <f>D145</f>
        <v>0</v>
      </c>
      <c r="J145" s="133"/>
      <c r="K145" s="180"/>
    </row>
    <row r="146" spans="1:11">
      <c r="A146" s="98">
        <v>27</v>
      </c>
      <c r="B146" s="177" t="s">
        <v>92</v>
      </c>
      <c r="C146" s="82" t="s">
        <v>945</v>
      </c>
      <c r="D146" s="737">
        <f>D142+D145-D143-D144</f>
        <v>0</v>
      </c>
      <c r="E146" s="133"/>
      <c r="F146" s="133" t="s">
        <v>2</v>
      </c>
      <c r="G146" s="161" t="s">
        <v>2</v>
      </c>
      <c r="H146" s="133"/>
      <c r="I146" s="737">
        <f>I142+I145-I143-I144</f>
        <v>0</v>
      </c>
      <c r="J146" s="133"/>
      <c r="K146" s="136"/>
    </row>
    <row r="147" spans="1:11">
      <c r="A147" s="98" t="s">
        <v>2</v>
      </c>
      <c r="C147" s="181"/>
      <c r="D147" s="736"/>
      <c r="E147" s="133"/>
      <c r="F147" s="133"/>
      <c r="G147" s="161"/>
      <c r="H147" s="133"/>
      <c r="I147" s="133"/>
      <c r="J147" s="133"/>
      <c r="K147" s="136"/>
    </row>
    <row r="148" spans="1:11">
      <c r="B148" s="129" t="s">
        <v>50</v>
      </c>
      <c r="C148" s="165"/>
      <c r="G148" s="161"/>
      <c r="J148" s="133"/>
    </row>
    <row r="149" spans="1:11">
      <c r="A149" s="98">
        <v>28</v>
      </c>
      <c r="B149" s="177" t="s">
        <v>708</v>
      </c>
      <c r="C149" s="892" t="s">
        <v>1124</v>
      </c>
      <c r="D149" s="76">
        <f>+$I211*D87+I214</f>
        <v>7347249.4801392946</v>
      </c>
      <c r="E149" s="133"/>
      <c r="F149" s="133"/>
      <c r="G149" s="161"/>
      <c r="H149" s="133"/>
      <c r="I149" s="494">
        <f>+$I211*I87+I214</f>
        <v>4573176.2311711963</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29538708.104089029</v>
      </c>
      <c r="E151" s="136"/>
      <c r="F151" s="136"/>
      <c r="G151" s="136"/>
      <c r="H151" s="136"/>
      <c r="I151" s="97">
        <f>+I112+I119+I130+I146+I149</f>
        <v>8385592.2495844625</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58"/>
      <c r="G153" s="958"/>
      <c r="H153" s="958"/>
      <c r="I153" s="958"/>
      <c r="J153" s="958"/>
      <c r="K153" s="958"/>
    </row>
    <row r="154" spans="1:11">
      <c r="B154" s="129"/>
      <c r="C154" s="129"/>
      <c r="D154" s="130"/>
      <c r="E154" s="129"/>
      <c r="F154" s="129"/>
      <c r="G154" s="129"/>
      <c r="H154" s="89"/>
      <c r="I154" s="959" t="str">
        <f>I1</f>
        <v>Projected Attachment H</v>
      </c>
      <c r="J154" s="959"/>
      <c r="K154" s="959"/>
    </row>
    <row r="155" spans="1:11">
      <c r="B155" s="129"/>
      <c r="C155" s="129"/>
      <c r="D155" s="130"/>
      <c r="E155" s="129"/>
      <c r="F155" s="129"/>
      <c r="G155" s="129"/>
      <c r="H155" s="89"/>
      <c r="I155" s="89"/>
      <c r="J155" s="958" t="s">
        <v>244</v>
      </c>
      <c r="K155" s="958"/>
    </row>
    <row r="156" spans="1:11">
      <c r="B156" s="129"/>
      <c r="C156" s="129"/>
      <c r="D156" s="130"/>
      <c r="E156" s="129"/>
      <c r="F156" s="129"/>
      <c r="G156" s="129"/>
      <c r="H156" s="89"/>
      <c r="I156" s="89"/>
      <c r="J156" s="731"/>
      <c r="K156" s="731"/>
    </row>
    <row r="157" spans="1:11">
      <c r="B157" s="130" t="s">
        <v>0</v>
      </c>
      <c r="C157" s="98" t="s">
        <v>1</v>
      </c>
      <c r="E157" s="129"/>
      <c r="F157" s="129"/>
      <c r="G157" s="961" t="str">
        <f>K4</f>
        <v>Estimated - For the 12 months ended 12/31/yyyy</v>
      </c>
      <c r="H157" s="961"/>
      <c r="I157" s="961"/>
      <c r="J157" s="961"/>
      <c r="K157" s="961"/>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28" t="s">
        <v>18</v>
      </c>
      <c r="H163" s="136"/>
      <c r="I163" s="192" t="s">
        <v>19</v>
      </c>
      <c r="J163" s="133"/>
      <c r="K163" s="136"/>
    </row>
    <row r="164" spans="1:20" ht="13.5" thickBot="1">
      <c r="A164" s="732" t="s">
        <v>6</v>
      </c>
      <c r="B164" s="734"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4">
        <f>'Act Att-H'!I169</f>
        <v>64937297.950769231</v>
      </c>
      <c r="J165" s="136"/>
      <c r="K165" s="136"/>
    </row>
    <row r="166" spans="1:20">
      <c r="A166" s="98">
        <v>2</v>
      </c>
      <c r="B166" s="88" t="s">
        <v>408</v>
      </c>
      <c r="C166" s="129" t="s">
        <v>616</v>
      </c>
      <c r="D166" s="184"/>
      <c r="E166" s="162"/>
      <c r="F166" s="162"/>
      <c r="G166" s="162"/>
      <c r="H166" s="162"/>
      <c r="I166" s="374">
        <f>'Act Att-H'!I170</f>
        <v>0</v>
      </c>
      <c r="J166" s="136"/>
      <c r="K166" s="136"/>
    </row>
    <row r="167" spans="1:20">
      <c r="A167" s="98">
        <v>3</v>
      </c>
      <c r="B167" s="196" t="s">
        <v>409</v>
      </c>
      <c r="C167" s="129" t="s">
        <v>617</v>
      </c>
      <c r="D167" s="186"/>
      <c r="E167" s="136"/>
      <c r="F167" s="136"/>
      <c r="G167" s="187"/>
      <c r="H167" s="136"/>
      <c r="I167" s="374">
        <f>'Act Att-H'!I171</f>
        <v>4163692.3846153803</v>
      </c>
      <c r="J167" s="136"/>
      <c r="K167" s="136"/>
    </row>
    <row r="168" spans="1:20">
      <c r="A168" s="98">
        <v>4</v>
      </c>
      <c r="B168" s="241" t="s">
        <v>410</v>
      </c>
      <c r="C168" s="241" t="s">
        <v>411</v>
      </c>
      <c r="D168" s="186"/>
      <c r="E168" s="136"/>
      <c r="F168" s="136"/>
      <c r="G168" s="187"/>
      <c r="H168" s="136"/>
      <c r="I168" s="243">
        <f>I165-I166-I167</f>
        <v>60773605.566153854</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0.93588134221765762</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4" t="s">
        <v>51</v>
      </c>
      <c r="C172" s="162"/>
      <c r="D172" s="184"/>
      <c r="E172" s="162"/>
      <c r="F172" s="162"/>
      <c r="G172" s="162"/>
      <c r="H172" s="162"/>
      <c r="I172" s="162"/>
      <c r="J172" s="136"/>
      <c r="K172" s="136"/>
      <c r="N172" s="962"/>
      <c r="O172" s="962"/>
      <c r="P172" s="962"/>
      <c r="Q172" s="962"/>
      <c r="R172" s="962"/>
      <c r="S172" s="962"/>
      <c r="T172" s="184"/>
    </row>
    <row r="173" spans="1:20">
      <c r="A173" s="98">
        <v>6</v>
      </c>
      <c r="B173" s="162" t="s">
        <v>414</v>
      </c>
      <c r="C173" s="162" t="s">
        <v>424</v>
      </c>
      <c r="D173" s="196"/>
      <c r="E173" s="88"/>
      <c r="F173" s="88"/>
      <c r="G173" s="154"/>
      <c r="H173" s="88"/>
      <c r="I173" s="374">
        <f>D101</f>
        <v>23614061.534758974</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4">
        <f>'Act Att-H'!I178</f>
        <v>329679.57999999996</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23284381.954758976</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0.98603884471484404</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0.93588134221765762</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0.92281535747047672</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4">
        <f>'Act Att-H'!D187</f>
        <v>3244778</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4">
        <f>'Act Att-H'!D188</f>
        <v>539373</v>
      </c>
      <c r="E184" s="211">
        <f>+I170</f>
        <v>0.93588134221765762</v>
      </c>
      <c r="F184" s="210"/>
      <c r="G184" s="143">
        <f>D184*E184</f>
        <v>504789.12719596463</v>
      </c>
      <c r="H184" s="133"/>
      <c r="I184" s="133"/>
      <c r="J184" s="133"/>
      <c r="K184" s="136"/>
      <c r="N184" s="184"/>
      <c r="O184" s="184"/>
      <c r="P184" s="184"/>
      <c r="Q184" s="184"/>
      <c r="R184" s="184"/>
      <c r="S184" s="184"/>
      <c r="T184" s="184"/>
    </row>
    <row r="185" spans="1:20">
      <c r="A185" s="98">
        <v>14</v>
      </c>
      <c r="B185" s="129" t="s">
        <v>29</v>
      </c>
      <c r="C185" s="129" t="s">
        <v>603</v>
      </c>
      <c r="D185" s="374">
        <f>'Act Att-H'!D189</f>
        <v>1712258</v>
      </c>
      <c r="E185" s="210">
        <v>0</v>
      </c>
      <c r="F185" s="210"/>
      <c r="G185" s="143">
        <f>D185*E185</f>
        <v>0</v>
      </c>
      <c r="H185" s="133"/>
      <c r="I185" s="212" t="s">
        <v>58</v>
      </c>
      <c r="J185" s="133"/>
      <c r="K185" s="136"/>
    </row>
    <row r="186" spans="1:20" ht="13.5" thickBot="1">
      <c r="A186" s="98">
        <v>15</v>
      </c>
      <c r="B186" s="129" t="s">
        <v>59</v>
      </c>
      <c r="C186" s="129" t="s">
        <v>604</v>
      </c>
      <c r="D186" s="374">
        <f>'Act Att-H'!D190</f>
        <v>534607</v>
      </c>
      <c r="E186" s="210">
        <v>0</v>
      </c>
      <c r="F186" s="210"/>
      <c r="G186" s="213">
        <f>D186*E186</f>
        <v>0</v>
      </c>
      <c r="H186" s="133"/>
      <c r="I186" s="732" t="s">
        <v>60</v>
      </c>
      <c r="J186" s="133"/>
      <c r="K186" s="136"/>
    </row>
    <row r="187" spans="1:20">
      <c r="A187" s="98">
        <v>16</v>
      </c>
      <c r="B187" s="129" t="s">
        <v>427</v>
      </c>
      <c r="C187" s="133" t="s">
        <v>426</v>
      </c>
      <c r="D187" s="237">
        <f>SUM(D183:D186)</f>
        <v>6031016</v>
      </c>
      <c r="E187" s="133"/>
      <c r="F187" s="133"/>
      <c r="G187" s="143">
        <f>SUM(G183:G186)</f>
        <v>504789.12719596463</v>
      </c>
      <c r="H187" s="98" t="s">
        <v>61</v>
      </c>
      <c r="I187" s="161">
        <f>IF(G187&gt;0,G187/D187,0)</f>
        <v>8.3698853923777461E-2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4">
        <f>'Act Att-H'!D194</f>
        <v>666477514.92999983</v>
      </c>
      <c r="E190" s="133"/>
      <c r="G190" s="98" t="s">
        <v>65</v>
      </c>
      <c r="H190" s="176"/>
      <c r="I190" s="98" t="s">
        <v>66</v>
      </c>
      <c r="J190" s="133"/>
      <c r="K190" s="154" t="s">
        <v>67</v>
      </c>
    </row>
    <row r="191" spans="1:20">
      <c r="A191" s="98">
        <v>18</v>
      </c>
      <c r="B191" s="129" t="s">
        <v>68</v>
      </c>
      <c r="C191" s="129" t="s">
        <v>606</v>
      </c>
      <c r="D191" s="374">
        <f>'Act Att-H'!D195</f>
        <v>0</v>
      </c>
      <c r="E191" s="133"/>
      <c r="G191" s="142">
        <f>IF(D193&gt;0,D190/D193,0)</f>
        <v>0.98175115513979705</v>
      </c>
      <c r="H191" s="134" t="s">
        <v>69</v>
      </c>
      <c r="I191" s="142">
        <f>I187</f>
        <v>8.3698853923777461E-2</v>
      </c>
      <c r="J191" s="176" t="s">
        <v>61</v>
      </c>
      <c r="K191" s="214">
        <f>I191*G191</f>
        <v>8.217144652354566E-2</v>
      </c>
    </row>
    <row r="192" spans="1:20">
      <c r="A192" s="98">
        <v>19</v>
      </c>
      <c r="B192" s="238" t="s">
        <v>59</v>
      </c>
      <c r="C192" s="129" t="s">
        <v>607</v>
      </c>
      <c r="D192" s="374">
        <f>'Act Att-H'!D196</f>
        <v>12388520.969999997</v>
      </c>
      <c r="E192" s="133"/>
      <c r="F192" s="133"/>
      <c r="G192" s="133" t="s">
        <v>2</v>
      </c>
      <c r="H192" s="133"/>
      <c r="I192" s="133"/>
      <c r="J192" s="133"/>
      <c r="K192" s="136"/>
    </row>
    <row r="193" spans="1:11">
      <c r="A193" s="98">
        <v>20</v>
      </c>
      <c r="B193" s="239" t="s">
        <v>427</v>
      </c>
      <c r="C193" s="240" t="s">
        <v>428</v>
      </c>
      <c r="D193" s="237">
        <f>D190+D191+D192</f>
        <v>678866035.89999986</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4">
        <f>'Act Att-H'!I200</f>
        <v>14262405</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4">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4">
        <f>'Act Att-H'!I205</f>
        <v>249623353</v>
      </c>
      <c r="J201" s="133"/>
      <c r="K201" s="136"/>
    </row>
    <row r="202" spans="1:11">
      <c r="A202" s="98">
        <v>24</v>
      </c>
      <c r="B202" s="133" t="s">
        <v>436</v>
      </c>
      <c r="C202" s="129" t="s">
        <v>611</v>
      </c>
      <c r="D202" s="133"/>
      <c r="E202" s="133"/>
      <c r="F202" s="133"/>
      <c r="G202" s="133"/>
      <c r="H202" s="133"/>
      <c r="I202" s="374">
        <f>'Act Att-H'!I206</f>
        <v>0</v>
      </c>
      <c r="J202" s="133"/>
      <c r="K202" s="136"/>
    </row>
    <row r="203" spans="1:11">
      <c r="A203" s="98">
        <v>25</v>
      </c>
      <c r="B203" s="196" t="s">
        <v>437</v>
      </c>
      <c r="C203" s="129" t="s">
        <v>612</v>
      </c>
      <c r="D203" s="133"/>
      <c r="E203" s="133"/>
      <c r="F203" s="133"/>
      <c r="G203" s="133"/>
      <c r="H203" s="133"/>
      <c r="I203" s="374">
        <f>'Act Att-H'!I207</f>
        <v>0</v>
      </c>
      <c r="J203" s="133"/>
      <c r="K203" s="136"/>
    </row>
    <row r="204" spans="1:11">
      <c r="A204" s="98">
        <v>26</v>
      </c>
      <c r="B204" s="196" t="s">
        <v>952</v>
      </c>
      <c r="C204" s="129" t="s">
        <v>963</v>
      </c>
      <c r="D204" s="133"/>
      <c r="E204" s="133"/>
      <c r="F204" s="133"/>
      <c r="G204" s="133"/>
      <c r="H204" s="133"/>
      <c r="I204" s="374">
        <f>'Act Att-H'!I208</f>
        <v>0</v>
      </c>
      <c r="J204" s="133"/>
      <c r="K204" s="136"/>
    </row>
    <row r="205" spans="1:11">
      <c r="A205" s="98">
        <v>27</v>
      </c>
      <c r="B205" s="241" t="s">
        <v>71</v>
      </c>
      <c r="C205" s="242" t="s">
        <v>964</v>
      </c>
      <c r="D205" s="143"/>
      <c r="E205" s="89"/>
      <c r="F205" s="89"/>
      <c r="G205" s="89"/>
      <c r="H205" s="89"/>
      <c r="I205" s="237">
        <f>I201-I202-I203-I204</f>
        <v>249623353</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2" t="s">
        <v>56</v>
      </c>
      <c r="E207" s="732" t="s">
        <v>73</v>
      </c>
      <c r="F207" s="133"/>
      <c r="G207" s="247" t="s">
        <v>72</v>
      </c>
      <c r="H207" s="133"/>
      <c r="I207" s="732" t="s">
        <v>74</v>
      </c>
      <c r="J207" s="133"/>
      <c r="K207" s="136"/>
    </row>
    <row r="208" spans="1:11">
      <c r="A208" s="98">
        <v>28</v>
      </c>
      <c r="B208" s="129" t="s">
        <v>440</v>
      </c>
      <c r="C208" s="925" t="s">
        <v>613</v>
      </c>
      <c r="D208" s="374">
        <f>'Act Att-H'!D212</f>
        <v>195000000</v>
      </c>
      <c r="E208" s="219">
        <f>IF($D$211&gt;0,D208/$D$211,0)</f>
        <v>0.43857345477757664</v>
      </c>
      <c r="F208" s="220"/>
      <c r="G208" s="850">
        <f>IF(D208&gt;0,I196/D208,0)</f>
        <v>7.3140538461538465E-2</v>
      </c>
      <c r="I208" s="221">
        <f>G208*E208</f>
        <v>3.2077498637369146E-2</v>
      </c>
      <c r="J208" s="222" t="s">
        <v>75</v>
      </c>
    </row>
    <row r="209" spans="1:11">
      <c r="A209" s="98">
        <v>29</v>
      </c>
      <c r="B209" s="129" t="s">
        <v>441</v>
      </c>
      <c r="C209" s="925" t="s">
        <v>614</v>
      </c>
      <c r="D209" s="374">
        <f>'Act Att-H'!D213</f>
        <v>0</v>
      </c>
      <c r="E209" s="219">
        <f>IF($D$211&gt;0,D209/$D$211,0)</f>
        <v>0</v>
      </c>
      <c r="F209" s="220"/>
      <c r="G209" s="850">
        <f>IF(D209&gt;0,I198/D209,0)</f>
        <v>0</v>
      </c>
      <c r="I209" s="221">
        <f>G209*E209</f>
        <v>0</v>
      </c>
      <c r="J209" s="133"/>
    </row>
    <row r="210" spans="1:11" ht="13.5" thickBot="1">
      <c r="A210" s="98">
        <v>30</v>
      </c>
      <c r="B210" s="196" t="s">
        <v>442</v>
      </c>
      <c r="C210" s="925" t="s">
        <v>1213</v>
      </c>
      <c r="D210" s="374">
        <f>'Act Att-H'!D214</f>
        <v>249623353</v>
      </c>
      <c r="E210" s="219">
        <f>IF($D$211&gt;0,D210/$D$211,0)</f>
        <v>0.5614265452224233</v>
      </c>
      <c r="F210" s="220"/>
      <c r="G210" s="850">
        <f>'Act Att-H'!G214</f>
        <v>9.9000000000000005E-2</v>
      </c>
      <c r="I210" s="223">
        <f>G210*E210</f>
        <v>5.5581227977019906E-2</v>
      </c>
      <c r="J210" s="133"/>
    </row>
    <row r="211" spans="1:11">
      <c r="A211" s="98">
        <v>31</v>
      </c>
      <c r="B211" s="241" t="s">
        <v>388</v>
      </c>
      <c r="C211" s="242" t="s">
        <v>910</v>
      </c>
      <c r="D211" s="237">
        <f>D210+D209+D208</f>
        <v>444623353</v>
      </c>
      <c r="E211" s="133" t="s">
        <v>2</v>
      </c>
      <c r="F211" s="133"/>
      <c r="G211" s="133"/>
      <c r="H211" s="133"/>
      <c r="I211" s="221">
        <f>SUM(I208:I210)</f>
        <v>8.765872661438906E-2</v>
      </c>
      <c r="J211" s="222" t="s">
        <v>76</v>
      </c>
    </row>
    <row r="212" spans="1:11" ht="9" customHeight="1">
      <c r="E212" s="133"/>
      <c r="F212" s="133"/>
      <c r="G212" s="133"/>
      <c r="H212" s="133"/>
    </row>
    <row r="213" spans="1:11">
      <c r="A213" s="734"/>
      <c r="B213" s="734"/>
      <c r="C213" s="734"/>
      <c r="D213" s="133"/>
      <c r="E213" s="133"/>
      <c r="F213" s="165"/>
      <c r="G213" s="136"/>
      <c r="H213" s="136"/>
      <c r="I213" s="136"/>
      <c r="J213" s="136"/>
      <c r="K213" s="136"/>
    </row>
    <row r="214" spans="1:11">
      <c r="A214" s="98">
        <v>32</v>
      </c>
      <c r="B214" s="129" t="s">
        <v>702</v>
      </c>
      <c r="C214" s="129" t="s">
        <v>724</v>
      </c>
      <c r="D214" s="130"/>
      <c r="E214" s="129"/>
      <c r="F214" s="129"/>
      <c r="G214" s="734"/>
      <c r="H214" s="450"/>
      <c r="I214" s="374">
        <f>'P4-IncentPlant'!F47</f>
        <v>0</v>
      </c>
      <c r="J214" s="450"/>
      <c r="K214" s="450"/>
    </row>
    <row r="215" spans="1:11">
      <c r="B215" s="129"/>
      <c r="C215" s="129"/>
      <c r="D215" s="130"/>
      <c r="E215" s="129"/>
      <c r="F215" s="129"/>
      <c r="G215" s="958"/>
      <c r="H215" s="958"/>
      <c r="I215" s="958"/>
      <c r="J215" s="958"/>
      <c r="K215" s="958"/>
    </row>
    <row r="216" spans="1:11">
      <c r="B216" s="129"/>
      <c r="C216" s="129"/>
      <c r="D216" s="130"/>
      <c r="E216" s="129"/>
      <c r="F216" s="129"/>
      <c r="G216" s="129"/>
      <c r="H216" s="89"/>
      <c r="I216" s="959" t="str">
        <f>I1</f>
        <v>Projected Attachment H</v>
      </c>
      <c r="J216" s="959"/>
      <c r="K216" s="959"/>
    </row>
    <row r="217" spans="1:11">
      <c r="B217" s="129"/>
      <c r="C217" s="129"/>
      <c r="D217" s="130"/>
      <c r="E217" s="129"/>
      <c r="F217" s="129"/>
      <c r="G217" s="129"/>
      <c r="H217" s="89"/>
      <c r="I217" s="89"/>
      <c r="J217" s="958" t="s">
        <v>359</v>
      </c>
      <c r="K217" s="958"/>
    </row>
    <row r="218" spans="1:11">
      <c r="B218" s="129"/>
      <c r="C218" s="129"/>
      <c r="D218" s="130"/>
      <c r="E218" s="129"/>
      <c r="F218" s="129"/>
      <c r="G218" s="129"/>
      <c r="H218" s="89"/>
      <c r="I218" s="89"/>
      <c r="J218" s="89"/>
      <c r="K218" s="731"/>
    </row>
    <row r="219" spans="1:11">
      <c r="B219" s="130" t="s">
        <v>0</v>
      </c>
      <c r="C219" s="98" t="s">
        <v>1</v>
      </c>
      <c r="E219" s="129"/>
      <c r="F219" s="129"/>
      <c r="G219" s="129"/>
      <c r="H219" s="89"/>
      <c r="I219" s="89"/>
      <c r="J219" s="89"/>
      <c r="K219" s="733" t="str">
        <f>K4</f>
        <v>Estimated - For the 12 months ended 12/31/yyyy</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2"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4">
        <f>'Act Att-H'!D45</f>
        <v>349162798.44615388</v>
      </c>
      <c r="E229" s="133"/>
      <c r="F229" s="133" t="s">
        <v>27</v>
      </c>
      <c r="G229" s="160" t="s">
        <v>2</v>
      </c>
      <c r="H229" s="133"/>
      <c r="I229" s="133" t="s">
        <v>2</v>
      </c>
      <c r="J229" s="133"/>
      <c r="K229" s="154"/>
    </row>
    <row r="230" spans="1:11">
      <c r="A230" s="98">
        <v>2</v>
      </c>
      <c r="B230" s="129" t="s">
        <v>28</v>
      </c>
      <c r="C230" s="136" t="s">
        <v>760</v>
      </c>
      <c r="D230" s="374">
        <f>D49</f>
        <v>67742673.149999991</v>
      </c>
      <c r="E230" s="133"/>
      <c r="F230" s="133" t="s">
        <v>11</v>
      </c>
      <c r="G230" s="161">
        <f>I170</f>
        <v>0.93588134221765762</v>
      </c>
      <c r="H230" s="133"/>
      <c r="I230" s="76">
        <f>+G230*D230</f>
        <v>63399103.873034067</v>
      </c>
      <c r="J230" s="176"/>
      <c r="K230" s="214"/>
    </row>
    <row r="231" spans="1:11">
      <c r="A231" s="98">
        <v>3</v>
      </c>
      <c r="B231" s="129" t="s">
        <v>29</v>
      </c>
      <c r="C231" s="133" t="s">
        <v>757</v>
      </c>
      <c r="D231" s="374">
        <f>'Act Att-H'!D47</f>
        <v>232503537.00384617</v>
      </c>
      <c r="E231" s="133"/>
      <c r="F231" s="133" t="s">
        <v>27</v>
      </c>
      <c r="G231" s="160" t="s">
        <v>2</v>
      </c>
      <c r="H231" s="133"/>
      <c r="I231" s="76" t="s">
        <v>2</v>
      </c>
      <c r="J231" s="133"/>
      <c r="K231" s="136"/>
    </row>
    <row r="232" spans="1:11">
      <c r="A232" s="98">
        <v>4</v>
      </c>
      <c r="B232" s="129" t="s">
        <v>30</v>
      </c>
      <c r="C232" s="133" t="s">
        <v>758</v>
      </c>
      <c r="D232" s="374">
        <f>'Act Att-H'!D48</f>
        <v>20253628.649999999</v>
      </c>
      <c r="E232" s="133"/>
      <c r="F232" s="133" t="s">
        <v>31</v>
      </c>
      <c r="G232" s="161">
        <f>I187</f>
        <v>8.3698853923777461E-2</v>
      </c>
      <c r="H232" s="133"/>
      <c r="I232" s="76">
        <f>+G232*D232</f>
        <v>1695205.5058027839</v>
      </c>
      <c r="J232" s="133"/>
      <c r="K232" s="136"/>
    </row>
    <row r="233" spans="1:11">
      <c r="A233" s="98">
        <v>5</v>
      </c>
      <c r="B233" s="129" t="s">
        <v>32</v>
      </c>
      <c r="C233" s="133" t="s">
        <v>759</v>
      </c>
      <c r="D233" s="374">
        <f>'Act Att-H'!D49</f>
        <v>11761222.538461538</v>
      </c>
      <c r="E233" s="133"/>
      <c r="F233" s="133" t="s">
        <v>67</v>
      </c>
      <c r="G233" s="161">
        <f>K191</f>
        <v>8.217144652354566E-2</v>
      </c>
      <c r="H233" s="133"/>
      <c r="I233" s="76">
        <f>+G233*D233</f>
        <v>966436.66887071216</v>
      </c>
      <c r="J233" s="133"/>
      <c r="K233" s="136"/>
    </row>
    <row r="234" spans="1:11">
      <c r="A234" s="98">
        <v>6</v>
      </c>
      <c r="B234" s="239" t="s">
        <v>427</v>
      </c>
      <c r="C234" s="240" t="s">
        <v>428</v>
      </c>
      <c r="D234" s="237">
        <f>SUM(D229:D233)</f>
        <v>681423859.78846157</v>
      </c>
      <c r="E234" s="133"/>
      <c r="F234" s="240" t="s">
        <v>33</v>
      </c>
      <c r="G234" s="685">
        <f>IF(I234&gt;0,I234/D234,0)</f>
        <v>9.6945161368748062E-2</v>
      </c>
      <c r="H234" s="133"/>
      <c r="I234" s="244">
        <f>SUM(I229:I233)</f>
        <v>66060746.047707558</v>
      </c>
      <c r="J234" s="133"/>
      <c r="K234" s="136"/>
    </row>
    <row r="235" spans="1:11">
      <c r="A235" s="98"/>
      <c r="B235" s="238"/>
      <c r="C235" s="182"/>
      <c r="D235" s="493"/>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4">
        <f>'Act Att-H'!D61</f>
        <v>281405847.23363787</v>
      </c>
      <c r="E237" s="133"/>
      <c r="F237" s="133" t="s">
        <v>27</v>
      </c>
      <c r="G237" s="160" t="s">
        <v>2</v>
      </c>
      <c r="H237" s="133"/>
      <c r="I237" s="133" t="s">
        <v>2</v>
      </c>
      <c r="J237" s="133"/>
      <c r="K237" s="154"/>
    </row>
    <row r="238" spans="1:11">
      <c r="A238" s="98">
        <v>8</v>
      </c>
      <c r="B238" s="129" t="s">
        <v>28</v>
      </c>
      <c r="C238" s="136" t="s">
        <v>761</v>
      </c>
      <c r="D238" s="374">
        <f>D59</f>
        <v>58724137.598833606</v>
      </c>
      <c r="E238" s="133"/>
      <c r="F238" s="133" t="s">
        <v>11</v>
      </c>
      <c r="G238" s="161">
        <f>G230</f>
        <v>0.93588134221765762</v>
      </c>
      <c r="H238" s="133"/>
      <c r="I238" s="76">
        <f>+G238*D238</f>
        <v>54958824.716570809</v>
      </c>
      <c r="J238" s="176"/>
      <c r="K238" s="214"/>
    </row>
    <row r="239" spans="1:11">
      <c r="A239" s="98">
        <v>9</v>
      </c>
      <c r="B239" s="129" t="s">
        <v>29</v>
      </c>
      <c r="C239" s="133" t="s">
        <v>754</v>
      </c>
      <c r="D239" s="374">
        <f>'Act Att-H'!D63</f>
        <v>165220792.32045591</v>
      </c>
      <c r="E239" s="133"/>
      <c r="F239" s="133" t="s">
        <v>27</v>
      </c>
      <c r="G239" s="160" t="s">
        <v>2</v>
      </c>
      <c r="H239" s="133"/>
      <c r="I239" s="76" t="s">
        <v>2</v>
      </c>
      <c r="J239" s="133"/>
      <c r="K239" s="136"/>
    </row>
    <row r="240" spans="1:11">
      <c r="A240" s="98">
        <v>10</v>
      </c>
      <c r="B240" s="129" t="s">
        <v>30</v>
      </c>
      <c r="C240" s="133" t="s">
        <v>755</v>
      </c>
      <c r="D240" s="374">
        <f>'Act Att-H'!D64</f>
        <v>14869751.854586197</v>
      </c>
      <c r="E240" s="133"/>
      <c r="F240" s="133" t="s">
        <v>31</v>
      </c>
      <c r="G240" s="161">
        <f>G232</f>
        <v>8.3698853923777461E-2</v>
      </c>
      <c r="H240" s="133"/>
      <c r="I240" s="76">
        <f>+G240*D240</f>
        <v>1244581.1883598291</v>
      </c>
      <c r="J240" s="133"/>
      <c r="K240" s="136"/>
    </row>
    <row r="241" spans="1:11">
      <c r="A241" s="98">
        <v>11</v>
      </c>
      <c r="B241" s="129" t="s">
        <v>32</v>
      </c>
      <c r="C241" s="133" t="s">
        <v>756</v>
      </c>
      <c r="D241" s="374">
        <f>'Act Att-H'!D65</f>
        <v>10498311.46153846</v>
      </c>
      <c r="E241" s="133"/>
      <c r="F241" s="133" t="s">
        <v>67</v>
      </c>
      <c r="G241" s="161">
        <f>G233</f>
        <v>8.217144652354566E-2</v>
      </c>
      <c r="H241" s="133"/>
      <c r="I241" s="76">
        <f>+G241*D241</f>
        <v>862661.43884933402</v>
      </c>
      <c r="J241" s="133"/>
      <c r="K241" s="136"/>
    </row>
    <row r="242" spans="1:11">
      <c r="A242" s="98">
        <v>12</v>
      </c>
      <c r="B242" s="239" t="s">
        <v>427</v>
      </c>
      <c r="C242" s="240" t="s">
        <v>428</v>
      </c>
      <c r="D242" s="237">
        <f>SUM(D237:D241)</f>
        <v>530718840.46905202</v>
      </c>
      <c r="E242" s="133"/>
      <c r="F242" s="240" t="s">
        <v>34</v>
      </c>
      <c r="G242" s="685">
        <f>IF(I242&gt;0,I242/D242,0)</f>
        <v>0.10752598738221672</v>
      </c>
      <c r="H242" s="133"/>
      <c r="I242" s="244">
        <f>SUM(I237:I241)</f>
        <v>57066067.343779974</v>
      </c>
      <c r="J242" s="133"/>
      <c r="K242" s="136"/>
    </row>
    <row r="243" spans="1:11">
      <c r="A243" s="98"/>
      <c r="B243" s="238"/>
      <c r="C243" s="182"/>
      <c r="D243" s="493"/>
      <c r="E243" s="133"/>
      <c r="F243" s="133"/>
      <c r="G243" s="133"/>
      <c r="H243" s="133"/>
      <c r="I243" s="133"/>
      <c r="J243" s="89"/>
      <c r="K243" s="136"/>
    </row>
    <row r="244" spans="1:11">
      <c r="A244" s="98"/>
      <c r="B244" s="238"/>
      <c r="C244" s="182"/>
      <c r="D244" s="493"/>
      <c r="E244" s="133"/>
      <c r="F244" s="133"/>
      <c r="G244" s="133"/>
      <c r="H244" s="133"/>
      <c r="I244" s="133"/>
      <c r="J244" s="89"/>
      <c r="K244" s="136"/>
    </row>
    <row r="245" spans="1:11">
      <c r="A245" s="98"/>
      <c r="B245" s="238"/>
      <c r="C245" s="182"/>
      <c r="D245" s="493"/>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0"/>
      <c r="K247" s="730"/>
    </row>
    <row r="248" spans="1:11">
      <c r="A248" s="98" t="s">
        <v>77</v>
      </c>
      <c r="B248" s="129"/>
      <c r="C248" s="89"/>
      <c r="D248" s="133"/>
      <c r="E248" s="133"/>
      <c r="F248" s="133"/>
      <c r="G248" s="133"/>
      <c r="H248" s="89"/>
      <c r="I248" s="133"/>
      <c r="J248" s="88"/>
      <c r="K248" s="88"/>
    </row>
    <row r="249" spans="1:11" ht="13.5" thickBot="1">
      <c r="A249" s="732" t="s">
        <v>78</v>
      </c>
      <c r="B249" s="129"/>
      <c r="C249" s="89"/>
      <c r="D249" s="133"/>
      <c r="E249" s="133"/>
      <c r="F249" s="133"/>
      <c r="G249" s="133"/>
      <c r="H249" s="89"/>
      <c r="I249" s="133"/>
      <c r="J249" s="88"/>
      <c r="K249" s="88"/>
    </row>
    <row r="250" spans="1:11" ht="55.5" customHeight="1">
      <c r="A250" s="100" t="s">
        <v>79</v>
      </c>
      <c r="B250" s="948" t="s">
        <v>147</v>
      </c>
      <c r="C250" s="948"/>
      <c r="D250" s="948"/>
      <c r="E250" s="948"/>
      <c r="F250" s="948"/>
      <c r="G250" s="948"/>
      <c r="H250" s="948"/>
      <c r="I250" s="948"/>
      <c r="J250" s="88"/>
      <c r="K250" s="88"/>
    </row>
    <row r="251" spans="1:11">
      <c r="A251" s="106" t="s">
        <v>2</v>
      </c>
      <c r="B251" s="88" t="s">
        <v>450</v>
      </c>
      <c r="C251" s="88" t="s">
        <v>93</v>
      </c>
      <c r="D251" s="228">
        <v>0</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995"/>
      <c r="C254" s="995"/>
      <c r="D254" s="995"/>
      <c r="E254" s="995"/>
      <c r="F254" s="995"/>
      <c r="G254" s="995"/>
      <c r="H254" s="995"/>
      <c r="I254" s="995"/>
      <c r="J254" s="113"/>
      <c r="K254" s="113"/>
    </row>
    <row r="255" spans="1:11">
      <c r="A255" s="102" t="s">
        <v>80</v>
      </c>
      <c r="B255" s="128" t="s">
        <v>1029</v>
      </c>
      <c r="J255" s="113"/>
      <c r="K255" s="113"/>
    </row>
    <row r="256" spans="1:11">
      <c r="A256" s="599" t="s">
        <v>81</v>
      </c>
      <c r="B256" s="997" t="s">
        <v>1135</v>
      </c>
      <c r="C256" s="997"/>
      <c r="D256" s="997"/>
      <c r="E256" s="997"/>
      <c r="F256" s="997"/>
      <c r="G256" s="997"/>
      <c r="H256" s="997"/>
      <c r="I256" s="997"/>
      <c r="J256" s="113"/>
      <c r="K256" s="113"/>
    </row>
    <row r="257" spans="1:11">
      <c r="A257" s="111"/>
      <c r="B257" s="996"/>
      <c r="C257" s="996"/>
      <c r="D257" s="996"/>
      <c r="E257" s="996"/>
      <c r="F257" s="996"/>
      <c r="G257" s="996"/>
      <c r="H257" s="996"/>
      <c r="I257" s="996"/>
      <c r="J257" s="110"/>
      <c r="K257" s="110"/>
    </row>
    <row r="258" spans="1:11">
      <c r="A258" s="114"/>
      <c r="B258" s="995"/>
      <c r="C258" s="995"/>
      <c r="D258" s="995"/>
      <c r="E258" s="995"/>
      <c r="F258" s="995"/>
      <c r="G258" s="995"/>
      <c r="H258" s="995"/>
      <c r="I258" s="995"/>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52"/>
      <c r="C262" s="952"/>
      <c r="D262" s="952"/>
      <c r="E262" s="952"/>
      <c r="F262" s="952"/>
      <c r="G262" s="952"/>
      <c r="H262" s="952"/>
      <c r="I262" s="952"/>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47"/>
      <c r="C270" s="947"/>
      <c r="D270" s="947"/>
      <c r="E270" s="947"/>
      <c r="F270" s="947"/>
      <c r="G270" s="947"/>
      <c r="H270" s="947"/>
      <c r="I270" s="947"/>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J14" sqref="J14"/>
    </sheetView>
  </sheetViews>
  <sheetFormatPr defaultColWidth="8.69140625" defaultRowHeight="13"/>
  <cols>
    <col min="1" max="1" width="3.07421875" style="709" customWidth="1"/>
    <col min="2" max="2" width="6.53515625" style="366" customWidth="1"/>
    <col min="3" max="3" width="4.69140625" style="366" hidden="1" customWidth="1"/>
    <col min="4" max="4" width="12.23046875" style="366" customWidth="1"/>
    <col min="5" max="5" width="11.23046875" style="366" bestFit="1" customWidth="1"/>
    <col min="6" max="6" width="11.07421875" style="366" bestFit="1" customWidth="1"/>
    <col min="7" max="7" width="16.07421875" style="366" customWidth="1"/>
    <col min="8" max="8" width="12" style="366" bestFit="1" customWidth="1"/>
    <col min="9" max="9" width="13.07421875" style="366" bestFit="1" customWidth="1"/>
    <col min="10" max="10" width="10.23046875" style="366" bestFit="1" customWidth="1"/>
    <col min="11" max="12" width="10.23046875" style="366" customWidth="1"/>
    <col min="13" max="14" width="10.69140625" style="366" customWidth="1"/>
    <col min="15" max="15" width="9.53515625" style="366" bestFit="1" customWidth="1"/>
    <col min="16" max="16" width="11.07421875" style="366" customWidth="1"/>
    <col min="17" max="17" width="12.23046875" style="366" customWidth="1"/>
    <col min="18" max="18" width="11.07421875" style="366" customWidth="1"/>
    <col min="19" max="20" width="9.53515625" style="366" customWidth="1"/>
    <col min="21" max="21" width="11.07421875" style="366" customWidth="1"/>
    <col min="22" max="22" width="11.69140625" style="366" customWidth="1"/>
    <col min="23" max="27" width="11.07421875" style="366" customWidth="1"/>
    <col min="28" max="28" width="11.23046875" style="366" customWidth="1"/>
    <col min="29" max="29" width="10.23046875" style="366" customWidth="1"/>
    <col min="30" max="30" width="8.69140625" style="366"/>
    <col min="31" max="31" width="12.69140625" style="366" customWidth="1"/>
    <col min="32" max="32" width="13" style="366" customWidth="1"/>
    <col min="33" max="33" width="13.4609375" style="366" customWidth="1"/>
    <col min="34" max="34" width="10.53515625" style="366" customWidth="1"/>
    <col min="35" max="35" width="8.69140625" style="366"/>
    <col min="36" max="36" width="9.53515625" style="366" customWidth="1"/>
    <col min="37" max="37" width="13.4609375" style="366" customWidth="1"/>
    <col min="38" max="38" width="10.69140625" style="366" customWidth="1"/>
    <col min="39" max="39" width="10.23046875" style="366" customWidth="1"/>
    <col min="40" max="40" width="11.07421875" style="366" customWidth="1"/>
    <col min="41" max="16384" width="8.69140625" style="366"/>
  </cols>
  <sheetData>
    <row r="1" spans="1:38" ht="13.4" customHeight="1">
      <c r="A1" s="707"/>
      <c r="B1" s="675" t="s">
        <v>537</v>
      </c>
      <c r="C1" s="675"/>
      <c r="D1" s="675"/>
      <c r="E1" s="675"/>
      <c r="F1" s="675"/>
      <c r="G1" s="675"/>
      <c r="H1" s="675"/>
      <c r="I1" s="675"/>
      <c r="J1" s="675"/>
      <c r="K1" s="690"/>
      <c r="L1" s="690"/>
      <c r="M1" s="618"/>
      <c r="N1" s="689"/>
      <c r="Q1" s="721"/>
      <c r="AA1" s="1010"/>
      <c r="AB1" s="1010"/>
      <c r="AK1" s="1010" t="s">
        <v>482</v>
      </c>
      <c r="AL1" s="1010"/>
    </row>
    <row r="2" spans="1:38" ht="13.4" customHeight="1">
      <c r="A2" s="707"/>
      <c r="B2" s="675" t="s">
        <v>558</v>
      </c>
      <c r="C2" s="675"/>
      <c r="D2" s="675"/>
      <c r="E2" s="675"/>
      <c r="F2" s="675"/>
      <c r="G2" s="675"/>
      <c r="H2" s="675"/>
      <c r="I2" s="675"/>
      <c r="J2" s="675"/>
      <c r="K2" s="690"/>
      <c r="L2" s="690"/>
      <c r="M2" s="619"/>
      <c r="N2" s="619"/>
      <c r="Q2" s="619"/>
      <c r="AB2" s="619"/>
      <c r="AL2" s="619"/>
    </row>
    <row r="3" spans="1:38" ht="13.4" customHeight="1">
      <c r="A3" s="708"/>
      <c r="B3" s="675" t="str">
        <f>'Act Att-H'!C7</f>
        <v>Cheyenne Light, Fuel &amp; Power</v>
      </c>
      <c r="C3" s="675"/>
      <c r="D3" s="675"/>
      <c r="E3" s="675"/>
      <c r="F3" s="675"/>
      <c r="G3" s="675"/>
      <c r="H3" s="675"/>
      <c r="I3" s="675"/>
      <c r="J3" s="675"/>
      <c r="K3" s="690"/>
      <c r="L3" s="690"/>
    </row>
    <row r="4" spans="1:38" ht="13.4" customHeight="1">
      <c r="I4" s="367"/>
      <c r="J4" s="367" t="s">
        <v>862</v>
      </c>
      <c r="K4" s="367"/>
      <c r="L4" s="367"/>
      <c r="P4" s="367"/>
      <c r="Q4" s="367" t="s">
        <v>483</v>
      </c>
      <c r="V4" s="367" t="s">
        <v>484</v>
      </c>
      <c r="AA4" s="367" t="s">
        <v>863</v>
      </c>
      <c r="AL4" s="366" t="s">
        <v>484</v>
      </c>
    </row>
    <row r="5" spans="1:38">
      <c r="G5" s="66"/>
      <c r="H5" s="66"/>
      <c r="I5" s="66"/>
      <c r="J5" s="66"/>
      <c r="K5" s="66"/>
      <c r="L5" s="66"/>
      <c r="AA5" s="367"/>
    </row>
    <row r="6" spans="1:38">
      <c r="B6" s="1004"/>
      <c r="C6" s="1004"/>
      <c r="D6" s="1004"/>
      <c r="E6" s="1004"/>
      <c r="F6" s="1005"/>
      <c r="G6" s="620"/>
      <c r="H6" s="621"/>
      <c r="I6" s="621"/>
      <c r="J6" s="622"/>
      <c r="K6" s="370"/>
      <c r="L6" s="370"/>
      <c r="M6" s="370"/>
      <c r="N6" s="370"/>
      <c r="Q6" s="370"/>
      <c r="X6" s="371"/>
    </row>
    <row r="7" spans="1:38">
      <c r="B7" s="1006" t="s">
        <v>729</v>
      </c>
      <c r="C7" s="1006"/>
      <c r="D7" s="1006"/>
      <c r="E7" s="1006"/>
      <c r="F7" s="1006"/>
      <c r="G7" s="1007" t="s">
        <v>490</v>
      </c>
      <c r="H7" s="1008"/>
      <c r="I7" s="1008"/>
      <c r="J7" s="1009"/>
      <c r="K7" s="699"/>
      <c r="L7" s="699"/>
      <c r="M7" s="451"/>
      <c r="N7" s="451"/>
      <c r="Q7" s="451"/>
    </row>
    <row r="8" spans="1:38">
      <c r="G8" s="623"/>
      <c r="H8" s="523"/>
      <c r="I8" s="523"/>
      <c r="J8" s="714"/>
      <c r="K8" s="722"/>
      <c r="L8" s="723"/>
      <c r="M8" s="621"/>
      <c r="N8" s="621"/>
      <c r="O8" s="621"/>
      <c r="P8" s="511"/>
      <c r="Q8" s="739"/>
      <c r="R8" s="620"/>
      <c r="S8" s="1002" t="s">
        <v>912</v>
      </c>
      <c r="T8" s="1002"/>
      <c r="U8" s="1002"/>
      <c r="V8" s="1003"/>
      <c r="W8" s="1011" t="s">
        <v>913</v>
      </c>
      <c r="X8" s="1002"/>
      <c r="Y8" s="1002"/>
      <c r="Z8" s="1002"/>
      <c r="AA8" s="1003"/>
    </row>
    <row r="9" spans="1:38">
      <c r="G9" s="452"/>
      <c r="H9" s="523"/>
      <c r="I9" s="523" t="s">
        <v>491</v>
      </c>
      <c r="J9" s="624" t="s">
        <v>491</v>
      </c>
      <c r="K9" s="625"/>
      <c r="L9" s="998" t="s">
        <v>869</v>
      </c>
      <c r="M9" s="998"/>
      <c r="N9" s="861"/>
      <c r="O9" s="861"/>
      <c r="P9" s="1000" t="s">
        <v>897</v>
      </c>
      <c r="Q9" s="1001"/>
      <c r="R9" s="454"/>
      <c r="S9" s="369"/>
      <c r="T9" s="369"/>
      <c r="U9" s="369"/>
      <c r="V9" s="377"/>
      <c r="W9" s="454"/>
      <c r="X9" s="369"/>
      <c r="Y9" s="369"/>
      <c r="Z9" s="369"/>
      <c r="AA9" s="377"/>
    </row>
    <row r="10" spans="1:38">
      <c r="B10" s="501" t="s">
        <v>268</v>
      </c>
      <c r="G10" s="625" t="s">
        <v>492</v>
      </c>
      <c r="H10" s="392"/>
      <c r="I10" s="392" t="s">
        <v>486</v>
      </c>
      <c r="J10" s="626" t="s">
        <v>493</v>
      </c>
      <c r="K10" s="625" t="s">
        <v>876</v>
      </c>
      <c r="L10" s="998" t="s">
        <v>868</v>
      </c>
      <c r="M10" s="998"/>
      <c r="N10" s="998" t="s">
        <v>896</v>
      </c>
      <c r="O10" s="998"/>
      <c r="P10" s="1000" t="s">
        <v>914</v>
      </c>
      <c r="Q10" s="1001"/>
      <c r="R10" s="625" t="s">
        <v>877</v>
      </c>
      <c r="S10" s="861" t="s">
        <v>871</v>
      </c>
      <c r="T10" s="861" t="s">
        <v>872</v>
      </c>
      <c r="U10" s="861"/>
      <c r="V10" s="626"/>
      <c r="W10" s="625" t="s">
        <v>877</v>
      </c>
      <c r="X10" s="861" t="s">
        <v>871</v>
      </c>
      <c r="Y10" s="861" t="s">
        <v>872</v>
      </c>
      <c r="Z10" s="861"/>
      <c r="AA10" s="626"/>
    </row>
    <row r="11" spans="1:38" ht="16.5" customHeight="1" thickBot="1">
      <c r="A11" s="711" t="s">
        <v>878</v>
      </c>
      <c r="B11" s="627" t="s">
        <v>657</v>
      </c>
      <c r="C11" s="627"/>
      <c r="D11" s="627" t="s">
        <v>485</v>
      </c>
      <c r="E11" s="627" t="s">
        <v>486</v>
      </c>
      <c r="F11" s="627" t="s">
        <v>487</v>
      </c>
      <c r="G11" s="628" t="s">
        <v>645</v>
      </c>
      <c r="H11" s="629" t="s">
        <v>494</v>
      </c>
      <c r="I11" s="629" t="s">
        <v>646</v>
      </c>
      <c r="J11" s="630" t="s">
        <v>486</v>
      </c>
      <c r="K11" s="701" t="s">
        <v>875</v>
      </c>
      <c r="L11" s="702" t="s">
        <v>912</v>
      </c>
      <c r="M11" s="702" t="s">
        <v>913</v>
      </c>
      <c r="N11" s="702" t="s">
        <v>912</v>
      </c>
      <c r="O11" s="702" t="s">
        <v>913</v>
      </c>
      <c r="P11" s="702" t="s">
        <v>912</v>
      </c>
      <c r="Q11" s="863" t="s">
        <v>913</v>
      </c>
      <c r="R11" s="705" t="s">
        <v>563</v>
      </c>
      <c r="S11" s="703" t="s">
        <v>486</v>
      </c>
      <c r="T11" s="703" t="s">
        <v>865</v>
      </c>
      <c r="U11" s="703" t="s">
        <v>866</v>
      </c>
      <c r="V11" s="706" t="s">
        <v>867</v>
      </c>
      <c r="W11" s="705" t="s">
        <v>563</v>
      </c>
      <c r="X11" s="703" t="s">
        <v>486</v>
      </c>
      <c r="Y11" s="703" t="s">
        <v>865</v>
      </c>
      <c r="Z11" s="703" t="s">
        <v>866</v>
      </c>
      <c r="AA11" s="706" t="s">
        <v>867</v>
      </c>
    </row>
    <row r="12" spans="1:38">
      <c r="A12" s="710">
        <v>1</v>
      </c>
      <c r="G12" s="454"/>
      <c r="H12" s="631"/>
      <c r="I12" s="632">
        <f>IF('Act Att-H'!D46=0,0,ROUND('Act Att-H'!D119/'Act Att-H'!D46,6)/12)</f>
        <v>1.7564166666666665E-3</v>
      </c>
      <c r="J12" s="633"/>
      <c r="K12" s="454"/>
      <c r="L12" s="369"/>
      <c r="M12" s="369"/>
      <c r="N12" s="369"/>
      <c r="O12" s="369"/>
      <c r="P12" s="372"/>
      <c r="Q12" s="864"/>
      <c r="R12" s="454"/>
      <c r="S12" s="369"/>
      <c r="T12" s="369"/>
      <c r="U12" s="369"/>
      <c r="V12" s="377"/>
      <c r="W12" s="454"/>
      <c r="X12" s="369"/>
      <c r="Y12" s="369"/>
      <c r="Z12" s="369"/>
      <c r="AA12" s="377"/>
    </row>
    <row r="13" spans="1:38">
      <c r="A13" s="710">
        <v>2</v>
      </c>
      <c r="G13" s="454"/>
      <c r="H13" s="369"/>
      <c r="I13" s="634"/>
      <c r="J13" s="377"/>
      <c r="K13" s="454"/>
      <c r="L13" s="369"/>
      <c r="M13" s="369"/>
      <c r="N13" s="369" t="s">
        <v>870</v>
      </c>
      <c r="O13" s="369"/>
      <c r="P13" s="372"/>
      <c r="Q13" s="864"/>
      <c r="R13" s="454"/>
      <c r="S13" s="369"/>
      <c r="T13" s="369"/>
      <c r="U13" s="369"/>
      <c r="V13" s="377"/>
      <c r="W13" s="454"/>
      <c r="X13" s="369"/>
      <c r="Y13" s="369"/>
      <c r="Z13" s="369"/>
      <c r="AA13" s="377"/>
    </row>
    <row r="14" spans="1:38" ht="25.5" customHeight="1">
      <c r="A14" s="710">
        <v>3</v>
      </c>
      <c r="B14" s="386"/>
      <c r="C14" s="386"/>
      <c r="D14" s="635"/>
      <c r="E14" s="636"/>
      <c r="F14" s="376"/>
      <c r="G14" s="716" t="s">
        <v>1222</v>
      </c>
      <c r="H14" s="453">
        <f>'A4-Rate Base'!D22</f>
        <v>67742673.149999991</v>
      </c>
      <c r="I14" s="636"/>
      <c r="J14" s="375">
        <f>'A4-Rate Base'!F45</f>
        <v>6876817.0681925658</v>
      </c>
      <c r="K14" s="454"/>
      <c r="L14" s="369"/>
      <c r="M14" s="376"/>
      <c r="N14" s="376"/>
      <c r="O14" s="369"/>
      <c r="P14" s="741">
        <v>0</v>
      </c>
      <c r="Q14" s="865">
        <v>0</v>
      </c>
      <c r="R14" s="454"/>
      <c r="S14" s="369"/>
      <c r="T14" s="369"/>
      <c r="U14" s="369"/>
      <c r="V14" s="377"/>
      <c r="W14" s="454"/>
      <c r="X14" s="369"/>
      <c r="Y14" s="369"/>
      <c r="Z14" s="369"/>
      <c r="AA14" s="377"/>
    </row>
    <row r="15" spans="1:38">
      <c r="G15" s="454"/>
      <c r="H15" s="369"/>
      <c r="I15" s="369"/>
      <c r="J15" s="377"/>
      <c r="K15" s="454"/>
      <c r="L15" s="369"/>
      <c r="M15" s="369"/>
      <c r="N15" s="369"/>
      <c r="O15" s="369"/>
      <c r="P15" s="372"/>
      <c r="Q15" s="864"/>
      <c r="R15" s="454"/>
      <c r="S15" s="369"/>
      <c r="T15" s="369"/>
      <c r="U15" s="369"/>
      <c r="V15" s="377"/>
      <c r="W15" s="454"/>
      <c r="X15" s="369"/>
      <c r="Y15" s="369"/>
      <c r="Z15" s="369"/>
      <c r="AA15" s="377"/>
    </row>
    <row r="16" spans="1:38" s="715" customFormat="1">
      <c r="A16" s="929"/>
      <c r="B16" s="930" t="s">
        <v>509</v>
      </c>
      <c r="C16" s="930"/>
      <c r="D16" s="930" t="s">
        <v>510</v>
      </c>
      <c r="E16" s="930" t="s">
        <v>511</v>
      </c>
      <c r="F16" s="930" t="s">
        <v>512</v>
      </c>
      <c r="G16" s="931" t="s">
        <v>513</v>
      </c>
      <c r="H16" s="930" t="s">
        <v>514</v>
      </c>
      <c r="I16" s="930" t="s">
        <v>879</v>
      </c>
      <c r="J16" s="932" t="s">
        <v>880</v>
      </c>
      <c r="K16" s="931" t="s">
        <v>881</v>
      </c>
      <c r="L16" s="930" t="s">
        <v>882</v>
      </c>
      <c r="M16" s="933" t="s">
        <v>883</v>
      </c>
      <c r="N16" s="930" t="s">
        <v>884</v>
      </c>
      <c r="O16" s="930" t="s">
        <v>885</v>
      </c>
      <c r="P16" s="930" t="s">
        <v>886</v>
      </c>
      <c r="Q16" s="934" t="s">
        <v>887</v>
      </c>
      <c r="R16" s="931" t="s">
        <v>888</v>
      </c>
      <c r="S16" s="930" t="s">
        <v>889</v>
      </c>
      <c r="T16" s="930" t="s">
        <v>890</v>
      </c>
      <c r="U16" s="930" t="s">
        <v>891</v>
      </c>
      <c r="V16" s="932" t="s">
        <v>892</v>
      </c>
      <c r="W16" s="931" t="s">
        <v>893</v>
      </c>
      <c r="X16" s="930" t="s">
        <v>1205</v>
      </c>
      <c r="Y16" s="930" t="s">
        <v>1206</v>
      </c>
      <c r="Z16" s="930" t="s">
        <v>1207</v>
      </c>
      <c r="AA16" s="932" t="s">
        <v>1208</v>
      </c>
    </row>
    <row r="17" spans="1:27">
      <c r="G17" s="455"/>
      <c r="H17" s="378"/>
      <c r="I17" s="369"/>
      <c r="J17" s="377"/>
      <c r="K17" s="454"/>
      <c r="L17" s="369"/>
      <c r="M17" s="369"/>
      <c r="N17" s="369"/>
      <c r="O17" s="369"/>
      <c r="P17" s="372"/>
      <c r="Q17" s="864"/>
      <c r="R17" s="454"/>
      <c r="S17" s="369"/>
      <c r="T17" s="369"/>
      <c r="U17" s="369"/>
      <c r="V17" s="377"/>
      <c r="W17" s="454"/>
      <c r="X17" s="369"/>
      <c r="Y17" s="369"/>
      <c r="Z17" s="369"/>
      <c r="AA17" s="377"/>
    </row>
    <row r="18" spans="1:27">
      <c r="A18" s="710">
        <f>+A14+1</f>
        <v>4</v>
      </c>
      <c r="B18" s="379" t="s">
        <v>1223</v>
      </c>
      <c r="C18" s="637"/>
      <c r="D18" s="520">
        <f>H18</f>
        <v>67742673.149999991</v>
      </c>
      <c r="E18" s="520">
        <f>I18</f>
        <v>118984.36016521248</v>
      </c>
      <c r="F18" s="520">
        <f>J18</f>
        <v>6995801.4283577781</v>
      </c>
      <c r="G18" s="638">
        <v>0</v>
      </c>
      <c r="H18" s="639">
        <f>H$14+G18</f>
        <v>67742673.149999991</v>
      </c>
      <c r="I18" s="640">
        <f>I$12*H14</f>
        <v>118984.36016521248</v>
      </c>
      <c r="J18" s="641">
        <f>J14+I18</f>
        <v>6995801.4283577781</v>
      </c>
      <c r="K18" s="866">
        <f>G18</f>
        <v>0</v>
      </c>
      <c r="L18" s="700">
        <v>0</v>
      </c>
      <c r="M18" s="700">
        <v>0</v>
      </c>
      <c r="N18" s="369">
        <f t="shared" ref="N18:N29" si="0">K18*L18</f>
        <v>0</v>
      </c>
      <c r="O18" s="369">
        <f t="shared" ref="O18:O29" si="1">K18*M18</f>
        <v>0</v>
      </c>
      <c r="P18" s="372">
        <f t="shared" ref="P18:P29" si="2">(P$14)/12</f>
        <v>0</v>
      </c>
      <c r="Q18" s="867"/>
      <c r="R18" s="876">
        <f>N$42/12+P18</f>
        <v>0</v>
      </c>
      <c r="S18" s="877">
        <f>E18</f>
        <v>118984.36016521248</v>
      </c>
      <c r="T18" s="877">
        <f>S18-R18</f>
        <v>118984.36016521248</v>
      </c>
      <c r="U18" s="878">
        <f>+'Proj Att-H'!$D$133</f>
        <v>0</v>
      </c>
      <c r="V18" s="879">
        <f>T18*U18</f>
        <v>0</v>
      </c>
      <c r="W18" s="880"/>
      <c r="X18" s="868"/>
      <c r="Y18" s="868"/>
      <c r="Z18" s="868"/>
      <c r="AA18" s="867"/>
    </row>
    <row r="19" spans="1:27">
      <c r="A19" s="710">
        <f t="shared" ref="A19:A41" si="3">+A18+1</f>
        <v>5</v>
      </c>
      <c r="B19" s="379" t="s">
        <v>1223</v>
      </c>
      <c r="C19" s="637"/>
      <c r="D19" s="520">
        <f t="shared" ref="D19:D41" si="4">H19</f>
        <v>67742673.149999991</v>
      </c>
      <c r="E19" s="520">
        <f t="shared" ref="E19:E41" si="5">I19</f>
        <v>118984.36016521248</v>
      </c>
      <c r="F19" s="520">
        <f t="shared" ref="F19:F41" si="6">J19</f>
        <v>7114785.7885229904</v>
      </c>
      <c r="G19" s="638">
        <v>0</v>
      </c>
      <c r="H19" s="639">
        <f t="shared" ref="H19:H41" si="7">H$14+G19</f>
        <v>67742673.149999991</v>
      </c>
      <c r="I19" s="640">
        <f>I$12*H18</f>
        <v>118984.36016521248</v>
      </c>
      <c r="J19" s="641">
        <f t="shared" ref="J19:J41" si="8">J18+I19</f>
        <v>7114785.7885229904</v>
      </c>
      <c r="K19" s="866">
        <f>G19-G18</f>
        <v>0</v>
      </c>
      <c r="L19" s="700">
        <v>0</v>
      </c>
      <c r="M19" s="700">
        <v>0</v>
      </c>
      <c r="N19" s="369">
        <f t="shared" si="0"/>
        <v>0</v>
      </c>
      <c r="O19" s="369">
        <f t="shared" si="1"/>
        <v>0</v>
      </c>
      <c r="P19" s="372">
        <f t="shared" si="2"/>
        <v>0</v>
      </c>
      <c r="Q19" s="867"/>
      <c r="R19" s="876">
        <f t="shared" ref="R19:R29" si="9">N$42/12+P19</f>
        <v>0</v>
      </c>
      <c r="S19" s="877">
        <f t="shared" ref="S19:S29" si="10">E19</f>
        <v>118984.36016521248</v>
      </c>
      <c r="T19" s="877">
        <f t="shared" ref="T19:T29" si="11">S19-R19</f>
        <v>118984.36016521248</v>
      </c>
      <c r="U19" s="878">
        <f>+'Proj Att-H'!$D$133</f>
        <v>0</v>
      </c>
      <c r="V19" s="879">
        <f t="shared" ref="V19:V29" si="12">T19*U19</f>
        <v>0</v>
      </c>
      <c r="W19" s="880"/>
      <c r="X19" s="868"/>
      <c r="Y19" s="868"/>
      <c r="Z19" s="868"/>
      <c r="AA19" s="867"/>
    </row>
    <row r="20" spans="1:27">
      <c r="A20" s="710">
        <f t="shared" si="3"/>
        <v>6</v>
      </c>
      <c r="B20" s="379" t="s">
        <v>1223</v>
      </c>
      <c r="C20" s="637"/>
      <c r="D20" s="520">
        <f t="shared" si="4"/>
        <v>67742673.149999991</v>
      </c>
      <c r="E20" s="520">
        <f t="shared" si="5"/>
        <v>118984.36016521248</v>
      </c>
      <c r="F20" s="520">
        <f t="shared" si="6"/>
        <v>7233770.1486882027</v>
      </c>
      <c r="G20" s="638">
        <v>0</v>
      </c>
      <c r="H20" s="639">
        <f t="shared" si="7"/>
        <v>67742673.149999991</v>
      </c>
      <c r="I20" s="640">
        <f t="shared" ref="I20:I41" si="13">I$12*H19</f>
        <v>118984.36016521248</v>
      </c>
      <c r="J20" s="641">
        <f t="shared" si="8"/>
        <v>7233770.1486882027</v>
      </c>
      <c r="K20" s="866">
        <f t="shared" ref="K20:K41" si="14">G20-G19</f>
        <v>0</v>
      </c>
      <c r="L20" s="700">
        <v>0</v>
      </c>
      <c r="M20" s="700">
        <v>0</v>
      </c>
      <c r="N20" s="369">
        <f t="shared" si="0"/>
        <v>0</v>
      </c>
      <c r="O20" s="369">
        <f t="shared" si="1"/>
        <v>0</v>
      </c>
      <c r="P20" s="372">
        <f t="shared" si="2"/>
        <v>0</v>
      </c>
      <c r="Q20" s="867"/>
      <c r="R20" s="876">
        <f t="shared" si="9"/>
        <v>0</v>
      </c>
      <c r="S20" s="877">
        <f t="shared" si="10"/>
        <v>118984.36016521248</v>
      </c>
      <c r="T20" s="877">
        <f t="shared" si="11"/>
        <v>118984.36016521248</v>
      </c>
      <c r="U20" s="878">
        <f>+'Proj Att-H'!$D$133</f>
        <v>0</v>
      </c>
      <c r="V20" s="879">
        <f t="shared" si="12"/>
        <v>0</v>
      </c>
      <c r="W20" s="880"/>
      <c r="X20" s="868"/>
      <c r="Y20" s="868"/>
      <c r="Z20" s="868"/>
      <c r="AA20" s="867"/>
    </row>
    <row r="21" spans="1:27">
      <c r="A21" s="710">
        <f t="shared" si="3"/>
        <v>7</v>
      </c>
      <c r="B21" s="379" t="s">
        <v>1223</v>
      </c>
      <c r="C21" s="637"/>
      <c r="D21" s="520">
        <f t="shared" si="4"/>
        <v>67742673.149999991</v>
      </c>
      <c r="E21" s="520">
        <f t="shared" si="5"/>
        <v>118984.36016521248</v>
      </c>
      <c r="F21" s="520">
        <f t="shared" si="6"/>
        <v>7352754.508853415</v>
      </c>
      <c r="G21" s="638">
        <v>0</v>
      </c>
      <c r="H21" s="639">
        <f t="shared" si="7"/>
        <v>67742673.149999991</v>
      </c>
      <c r="I21" s="640">
        <f t="shared" si="13"/>
        <v>118984.36016521248</v>
      </c>
      <c r="J21" s="641">
        <f t="shared" si="8"/>
        <v>7352754.508853415</v>
      </c>
      <c r="K21" s="866">
        <f t="shared" si="14"/>
        <v>0</v>
      </c>
      <c r="L21" s="700">
        <v>0</v>
      </c>
      <c r="M21" s="700">
        <v>0</v>
      </c>
      <c r="N21" s="369">
        <f t="shared" si="0"/>
        <v>0</v>
      </c>
      <c r="O21" s="369">
        <f t="shared" si="1"/>
        <v>0</v>
      </c>
      <c r="P21" s="372">
        <f t="shared" si="2"/>
        <v>0</v>
      </c>
      <c r="Q21" s="867"/>
      <c r="R21" s="876">
        <f t="shared" si="9"/>
        <v>0</v>
      </c>
      <c r="S21" s="877">
        <f t="shared" si="10"/>
        <v>118984.36016521248</v>
      </c>
      <c r="T21" s="877">
        <f t="shared" si="11"/>
        <v>118984.36016521248</v>
      </c>
      <c r="U21" s="878">
        <f>+'Proj Att-H'!$D$133</f>
        <v>0</v>
      </c>
      <c r="V21" s="879">
        <f t="shared" si="12"/>
        <v>0</v>
      </c>
      <c r="W21" s="880"/>
      <c r="X21" s="868"/>
      <c r="Y21" s="868"/>
      <c r="Z21" s="868"/>
      <c r="AA21" s="867"/>
    </row>
    <row r="22" spans="1:27">
      <c r="A22" s="710">
        <f t="shared" si="3"/>
        <v>8</v>
      </c>
      <c r="B22" s="379" t="s">
        <v>1223</v>
      </c>
      <c r="C22" s="637"/>
      <c r="D22" s="520">
        <f t="shared" si="4"/>
        <v>67742673.149999991</v>
      </c>
      <c r="E22" s="520">
        <f t="shared" si="5"/>
        <v>118984.36016521248</v>
      </c>
      <c r="F22" s="520">
        <f t="shared" si="6"/>
        <v>7471738.8690186273</v>
      </c>
      <c r="G22" s="638">
        <v>0</v>
      </c>
      <c r="H22" s="639">
        <f t="shared" si="7"/>
        <v>67742673.149999991</v>
      </c>
      <c r="I22" s="640">
        <f t="shared" si="13"/>
        <v>118984.36016521248</v>
      </c>
      <c r="J22" s="641">
        <f t="shared" si="8"/>
        <v>7471738.8690186273</v>
      </c>
      <c r="K22" s="866">
        <f t="shared" si="14"/>
        <v>0</v>
      </c>
      <c r="L22" s="700">
        <v>0</v>
      </c>
      <c r="M22" s="700">
        <v>0</v>
      </c>
      <c r="N22" s="369">
        <f t="shared" si="0"/>
        <v>0</v>
      </c>
      <c r="O22" s="369">
        <f t="shared" si="1"/>
        <v>0</v>
      </c>
      <c r="P22" s="372">
        <f t="shared" si="2"/>
        <v>0</v>
      </c>
      <c r="Q22" s="867"/>
      <c r="R22" s="876">
        <f t="shared" si="9"/>
        <v>0</v>
      </c>
      <c r="S22" s="877">
        <f t="shared" si="10"/>
        <v>118984.36016521248</v>
      </c>
      <c r="T22" s="877">
        <f t="shared" si="11"/>
        <v>118984.36016521248</v>
      </c>
      <c r="U22" s="878">
        <f>+'Proj Att-H'!$D$133</f>
        <v>0</v>
      </c>
      <c r="V22" s="879">
        <f t="shared" si="12"/>
        <v>0</v>
      </c>
      <c r="W22" s="880"/>
      <c r="X22" s="868"/>
      <c r="Y22" s="868"/>
      <c r="Z22" s="868"/>
      <c r="AA22" s="867"/>
    </row>
    <row r="23" spans="1:27">
      <c r="A23" s="710">
        <f t="shared" si="3"/>
        <v>9</v>
      </c>
      <c r="B23" s="379" t="s">
        <v>1223</v>
      </c>
      <c r="C23" s="637"/>
      <c r="D23" s="520">
        <f t="shared" si="4"/>
        <v>67742673.149999991</v>
      </c>
      <c r="E23" s="520">
        <f t="shared" si="5"/>
        <v>118984.36016521248</v>
      </c>
      <c r="F23" s="520">
        <f t="shared" si="6"/>
        <v>7590723.2291838396</v>
      </c>
      <c r="G23" s="638">
        <v>0</v>
      </c>
      <c r="H23" s="639">
        <f t="shared" si="7"/>
        <v>67742673.149999991</v>
      </c>
      <c r="I23" s="640">
        <f t="shared" si="13"/>
        <v>118984.36016521248</v>
      </c>
      <c r="J23" s="641">
        <f t="shared" si="8"/>
        <v>7590723.2291838396</v>
      </c>
      <c r="K23" s="866">
        <f t="shared" si="14"/>
        <v>0</v>
      </c>
      <c r="L23" s="700">
        <v>0</v>
      </c>
      <c r="M23" s="700">
        <v>0</v>
      </c>
      <c r="N23" s="369">
        <f t="shared" si="0"/>
        <v>0</v>
      </c>
      <c r="O23" s="369">
        <f t="shared" si="1"/>
        <v>0</v>
      </c>
      <c r="P23" s="372">
        <f t="shared" si="2"/>
        <v>0</v>
      </c>
      <c r="Q23" s="867"/>
      <c r="R23" s="876">
        <f t="shared" si="9"/>
        <v>0</v>
      </c>
      <c r="S23" s="877">
        <f t="shared" si="10"/>
        <v>118984.36016521248</v>
      </c>
      <c r="T23" s="877">
        <f t="shared" si="11"/>
        <v>118984.36016521248</v>
      </c>
      <c r="U23" s="878">
        <f>+'Proj Att-H'!$D$133</f>
        <v>0</v>
      </c>
      <c r="V23" s="879">
        <f t="shared" si="12"/>
        <v>0</v>
      </c>
      <c r="W23" s="880"/>
      <c r="X23" s="868"/>
      <c r="Y23" s="868"/>
      <c r="Z23" s="868"/>
      <c r="AA23" s="867"/>
    </row>
    <row r="24" spans="1:27">
      <c r="A24" s="710">
        <f t="shared" si="3"/>
        <v>10</v>
      </c>
      <c r="B24" s="379" t="s">
        <v>1223</v>
      </c>
      <c r="C24" s="637"/>
      <c r="D24" s="520">
        <f t="shared" si="4"/>
        <v>67742673.149999991</v>
      </c>
      <c r="E24" s="520">
        <f t="shared" si="5"/>
        <v>118984.36016521248</v>
      </c>
      <c r="F24" s="520">
        <f t="shared" si="6"/>
        <v>7709707.5893490519</v>
      </c>
      <c r="G24" s="638">
        <v>0</v>
      </c>
      <c r="H24" s="639">
        <f t="shared" si="7"/>
        <v>67742673.149999991</v>
      </c>
      <c r="I24" s="640">
        <f t="shared" si="13"/>
        <v>118984.36016521248</v>
      </c>
      <c r="J24" s="641">
        <f t="shared" si="8"/>
        <v>7709707.5893490519</v>
      </c>
      <c r="K24" s="866">
        <f t="shared" si="14"/>
        <v>0</v>
      </c>
      <c r="L24" s="700">
        <v>0</v>
      </c>
      <c r="M24" s="700">
        <v>0</v>
      </c>
      <c r="N24" s="369">
        <f t="shared" si="0"/>
        <v>0</v>
      </c>
      <c r="O24" s="369">
        <f t="shared" si="1"/>
        <v>0</v>
      </c>
      <c r="P24" s="372">
        <f t="shared" si="2"/>
        <v>0</v>
      </c>
      <c r="Q24" s="867"/>
      <c r="R24" s="876">
        <f t="shared" si="9"/>
        <v>0</v>
      </c>
      <c r="S24" s="877">
        <f t="shared" si="10"/>
        <v>118984.36016521248</v>
      </c>
      <c r="T24" s="877">
        <f t="shared" si="11"/>
        <v>118984.36016521248</v>
      </c>
      <c r="U24" s="878">
        <f>+'Proj Att-H'!$D$133</f>
        <v>0</v>
      </c>
      <c r="V24" s="879">
        <f t="shared" si="12"/>
        <v>0</v>
      </c>
      <c r="W24" s="880"/>
      <c r="X24" s="868"/>
      <c r="Y24" s="868"/>
      <c r="Z24" s="868"/>
      <c r="AA24" s="867"/>
    </row>
    <row r="25" spans="1:27">
      <c r="A25" s="710">
        <f t="shared" si="3"/>
        <v>11</v>
      </c>
      <c r="B25" s="379" t="s">
        <v>1223</v>
      </c>
      <c r="C25" s="637"/>
      <c r="D25" s="520">
        <f t="shared" si="4"/>
        <v>67742673.149999991</v>
      </c>
      <c r="E25" s="520">
        <f t="shared" si="5"/>
        <v>118984.36016521248</v>
      </c>
      <c r="F25" s="520">
        <f t="shared" si="6"/>
        <v>7828691.9495142642</v>
      </c>
      <c r="G25" s="638">
        <v>0</v>
      </c>
      <c r="H25" s="639">
        <f t="shared" si="7"/>
        <v>67742673.149999991</v>
      </c>
      <c r="I25" s="640">
        <f t="shared" si="13"/>
        <v>118984.36016521248</v>
      </c>
      <c r="J25" s="641">
        <f t="shared" si="8"/>
        <v>7828691.9495142642</v>
      </c>
      <c r="K25" s="866">
        <f t="shared" si="14"/>
        <v>0</v>
      </c>
      <c r="L25" s="700">
        <v>0</v>
      </c>
      <c r="M25" s="700">
        <v>0</v>
      </c>
      <c r="N25" s="369">
        <f t="shared" si="0"/>
        <v>0</v>
      </c>
      <c r="O25" s="369">
        <f t="shared" si="1"/>
        <v>0</v>
      </c>
      <c r="P25" s="372">
        <f t="shared" si="2"/>
        <v>0</v>
      </c>
      <c r="Q25" s="867"/>
      <c r="R25" s="876">
        <f t="shared" si="9"/>
        <v>0</v>
      </c>
      <c r="S25" s="877">
        <f t="shared" si="10"/>
        <v>118984.36016521248</v>
      </c>
      <c r="T25" s="877">
        <f t="shared" si="11"/>
        <v>118984.36016521248</v>
      </c>
      <c r="U25" s="878">
        <f>+'Proj Att-H'!$D$133</f>
        <v>0</v>
      </c>
      <c r="V25" s="879">
        <f t="shared" si="12"/>
        <v>0</v>
      </c>
      <c r="W25" s="880"/>
      <c r="X25" s="868"/>
      <c r="Y25" s="868"/>
      <c r="Z25" s="868"/>
      <c r="AA25" s="867"/>
    </row>
    <row r="26" spans="1:27">
      <c r="A26" s="710">
        <f t="shared" si="3"/>
        <v>12</v>
      </c>
      <c r="B26" s="379" t="s">
        <v>1223</v>
      </c>
      <c r="C26" s="637"/>
      <c r="D26" s="520">
        <f t="shared" si="4"/>
        <v>67742673.149999991</v>
      </c>
      <c r="E26" s="520">
        <f t="shared" si="5"/>
        <v>118984.36016521248</v>
      </c>
      <c r="F26" s="520">
        <f t="shared" si="6"/>
        <v>7947676.3096794765</v>
      </c>
      <c r="G26" s="638">
        <v>0</v>
      </c>
      <c r="H26" s="639">
        <f t="shared" si="7"/>
        <v>67742673.149999991</v>
      </c>
      <c r="I26" s="640">
        <f t="shared" si="13"/>
        <v>118984.36016521248</v>
      </c>
      <c r="J26" s="641">
        <f t="shared" si="8"/>
        <v>7947676.3096794765</v>
      </c>
      <c r="K26" s="866">
        <f t="shared" si="14"/>
        <v>0</v>
      </c>
      <c r="L26" s="700">
        <v>0</v>
      </c>
      <c r="M26" s="700">
        <v>0</v>
      </c>
      <c r="N26" s="369">
        <f t="shared" si="0"/>
        <v>0</v>
      </c>
      <c r="O26" s="369">
        <f t="shared" si="1"/>
        <v>0</v>
      </c>
      <c r="P26" s="372">
        <f t="shared" si="2"/>
        <v>0</v>
      </c>
      <c r="Q26" s="867"/>
      <c r="R26" s="876">
        <f t="shared" si="9"/>
        <v>0</v>
      </c>
      <c r="S26" s="877">
        <f t="shared" si="10"/>
        <v>118984.36016521248</v>
      </c>
      <c r="T26" s="877">
        <f t="shared" si="11"/>
        <v>118984.36016521248</v>
      </c>
      <c r="U26" s="878">
        <f>+'Proj Att-H'!$D$133</f>
        <v>0</v>
      </c>
      <c r="V26" s="879">
        <f t="shared" si="12"/>
        <v>0</v>
      </c>
      <c r="W26" s="880"/>
      <c r="X26" s="868"/>
      <c r="Y26" s="868"/>
      <c r="Z26" s="868"/>
      <c r="AA26" s="867"/>
    </row>
    <row r="27" spans="1:27">
      <c r="A27" s="710">
        <f t="shared" si="3"/>
        <v>13</v>
      </c>
      <c r="B27" s="379" t="s">
        <v>1223</v>
      </c>
      <c r="C27" s="637"/>
      <c r="D27" s="520">
        <f t="shared" si="4"/>
        <v>67742673.149999991</v>
      </c>
      <c r="E27" s="520">
        <f t="shared" si="5"/>
        <v>118984.36016521248</v>
      </c>
      <c r="F27" s="520">
        <f t="shared" si="6"/>
        <v>8066660.6698446888</v>
      </c>
      <c r="G27" s="638">
        <v>0</v>
      </c>
      <c r="H27" s="639">
        <f t="shared" si="7"/>
        <v>67742673.149999991</v>
      </c>
      <c r="I27" s="640">
        <f t="shared" si="13"/>
        <v>118984.36016521248</v>
      </c>
      <c r="J27" s="641">
        <f t="shared" si="8"/>
        <v>8066660.6698446888</v>
      </c>
      <c r="K27" s="866">
        <f t="shared" si="14"/>
        <v>0</v>
      </c>
      <c r="L27" s="700">
        <v>0</v>
      </c>
      <c r="M27" s="700">
        <v>0</v>
      </c>
      <c r="N27" s="369">
        <f t="shared" si="0"/>
        <v>0</v>
      </c>
      <c r="O27" s="369">
        <f t="shared" si="1"/>
        <v>0</v>
      </c>
      <c r="P27" s="372">
        <f t="shared" si="2"/>
        <v>0</v>
      </c>
      <c r="Q27" s="867"/>
      <c r="R27" s="876">
        <f t="shared" si="9"/>
        <v>0</v>
      </c>
      <c r="S27" s="877">
        <f t="shared" si="10"/>
        <v>118984.36016521248</v>
      </c>
      <c r="T27" s="877">
        <f t="shared" si="11"/>
        <v>118984.36016521248</v>
      </c>
      <c r="U27" s="878">
        <f>+'Proj Att-H'!$D$133</f>
        <v>0</v>
      </c>
      <c r="V27" s="879">
        <f t="shared" si="12"/>
        <v>0</v>
      </c>
      <c r="W27" s="880"/>
      <c r="X27" s="868"/>
      <c r="Y27" s="868"/>
      <c r="Z27" s="868"/>
      <c r="AA27" s="867"/>
    </row>
    <row r="28" spans="1:27">
      <c r="A28" s="710">
        <f t="shared" si="3"/>
        <v>14</v>
      </c>
      <c r="B28" s="379" t="s">
        <v>1223</v>
      </c>
      <c r="C28" s="637"/>
      <c r="D28" s="520">
        <f t="shared" si="4"/>
        <v>67742673.149999991</v>
      </c>
      <c r="E28" s="520">
        <f t="shared" si="5"/>
        <v>118984.36016521248</v>
      </c>
      <c r="F28" s="520">
        <f t="shared" si="6"/>
        <v>8185645.0300099012</v>
      </c>
      <c r="G28" s="638">
        <v>0</v>
      </c>
      <c r="H28" s="639">
        <f t="shared" si="7"/>
        <v>67742673.149999991</v>
      </c>
      <c r="I28" s="640">
        <f t="shared" si="13"/>
        <v>118984.36016521248</v>
      </c>
      <c r="J28" s="641">
        <f t="shared" si="8"/>
        <v>8185645.0300099012</v>
      </c>
      <c r="K28" s="866">
        <f t="shared" si="14"/>
        <v>0</v>
      </c>
      <c r="L28" s="700">
        <v>0</v>
      </c>
      <c r="M28" s="700">
        <v>0</v>
      </c>
      <c r="N28" s="369">
        <f t="shared" si="0"/>
        <v>0</v>
      </c>
      <c r="O28" s="369">
        <f t="shared" si="1"/>
        <v>0</v>
      </c>
      <c r="P28" s="372">
        <f t="shared" si="2"/>
        <v>0</v>
      </c>
      <c r="Q28" s="867"/>
      <c r="R28" s="876">
        <f t="shared" si="9"/>
        <v>0</v>
      </c>
      <c r="S28" s="877">
        <f t="shared" si="10"/>
        <v>118984.36016521248</v>
      </c>
      <c r="T28" s="877">
        <f t="shared" si="11"/>
        <v>118984.36016521248</v>
      </c>
      <c r="U28" s="878">
        <f>+'Proj Att-H'!$D$133</f>
        <v>0</v>
      </c>
      <c r="V28" s="879">
        <f t="shared" si="12"/>
        <v>0</v>
      </c>
      <c r="W28" s="880"/>
      <c r="X28" s="868"/>
      <c r="Y28" s="868"/>
      <c r="Z28" s="868"/>
      <c r="AA28" s="867"/>
    </row>
    <row r="29" spans="1:27">
      <c r="A29" s="710">
        <f t="shared" si="3"/>
        <v>15</v>
      </c>
      <c r="B29" s="379" t="s">
        <v>1223</v>
      </c>
      <c r="C29" s="637"/>
      <c r="D29" s="520">
        <f t="shared" si="4"/>
        <v>67742673.149999991</v>
      </c>
      <c r="E29" s="520">
        <f t="shared" si="5"/>
        <v>118984.36016521248</v>
      </c>
      <c r="F29" s="520">
        <f t="shared" si="6"/>
        <v>8304629.3901751135</v>
      </c>
      <c r="G29" s="638">
        <v>0</v>
      </c>
      <c r="H29" s="639">
        <f t="shared" si="7"/>
        <v>67742673.149999991</v>
      </c>
      <c r="I29" s="640">
        <f>I$12*H28</f>
        <v>118984.36016521248</v>
      </c>
      <c r="J29" s="641">
        <f t="shared" si="8"/>
        <v>8304629.3901751135</v>
      </c>
      <c r="K29" s="866">
        <f t="shared" si="14"/>
        <v>0</v>
      </c>
      <c r="L29" s="700">
        <v>0</v>
      </c>
      <c r="M29" s="700">
        <v>0</v>
      </c>
      <c r="N29" s="369">
        <f t="shared" si="0"/>
        <v>0</v>
      </c>
      <c r="O29" s="369">
        <f t="shared" si="1"/>
        <v>0</v>
      </c>
      <c r="P29" s="372">
        <f t="shared" si="2"/>
        <v>0</v>
      </c>
      <c r="Q29" s="867"/>
      <c r="R29" s="876">
        <f t="shared" si="9"/>
        <v>0</v>
      </c>
      <c r="S29" s="877">
        <f t="shared" si="10"/>
        <v>118984.36016521248</v>
      </c>
      <c r="T29" s="877">
        <f t="shared" si="11"/>
        <v>118984.36016521248</v>
      </c>
      <c r="U29" s="878">
        <f>+'Proj Att-H'!$D$133</f>
        <v>0</v>
      </c>
      <c r="V29" s="879">
        <f t="shared" si="12"/>
        <v>0</v>
      </c>
      <c r="W29" s="880"/>
      <c r="X29" s="868"/>
      <c r="Y29" s="868"/>
      <c r="Z29" s="868"/>
      <c r="AA29" s="867"/>
    </row>
    <row r="30" spans="1:27">
      <c r="A30" s="710">
        <f>+A29+1</f>
        <v>16</v>
      </c>
      <c r="B30" s="379" t="s">
        <v>1223</v>
      </c>
      <c r="C30" s="637"/>
      <c r="D30" s="520">
        <f t="shared" si="4"/>
        <v>67742673.149999991</v>
      </c>
      <c r="E30" s="520">
        <f t="shared" si="5"/>
        <v>118984.36016521248</v>
      </c>
      <c r="F30" s="520">
        <f t="shared" si="6"/>
        <v>8423613.7503403258</v>
      </c>
      <c r="G30" s="638">
        <v>0</v>
      </c>
      <c r="H30" s="639">
        <f t="shared" si="7"/>
        <v>67742673.149999991</v>
      </c>
      <c r="I30" s="640">
        <f t="shared" si="13"/>
        <v>118984.36016521248</v>
      </c>
      <c r="J30" s="641">
        <f t="shared" si="8"/>
        <v>8423613.7503403258</v>
      </c>
      <c r="K30" s="866">
        <f t="shared" si="14"/>
        <v>0</v>
      </c>
      <c r="L30" s="700">
        <v>0</v>
      </c>
      <c r="M30" s="700">
        <v>0</v>
      </c>
      <c r="N30" s="868"/>
      <c r="O30" s="369">
        <f t="shared" ref="O30:O41" si="15">K30*L30</f>
        <v>0</v>
      </c>
      <c r="P30" s="868"/>
      <c r="Q30" s="864">
        <f>(Q$14)/12</f>
        <v>0</v>
      </c>
      <c r="R30" s="880"/>
      <c r="S30" s="868"/>
      <c r="T30" s="868"/>
      <c r="U30" s="868"/>
      <c r="V30" s="867"/>
      <c r="W30" s="884">
        <f>(O$42/12)+Q30</f>
        <v>0</v>
      </c>
      <c r="X30" s="877">
        <f>E30</f>
        <v>118984.36016521248</v>
      </c>
      <c r="Y30" s="877">
        <f>X30-W30</f>
        <v>118984.36016521248</v>
      </c>
      <c r="Z30" s="878">
        <f>+'Proj Att-H'!$D$133</f>
        <v>0</v>
      </c>
      <c r="AA30" s="879">
        <f>Z30*Y30</f>
        <v>0</v>
      </c>
    </row>
    <row r="31" spans="1:27">
      <c r="A31" s="710">
        <f t="shared" si="3"/>
        <v>17</v>
      </c>
      <c r="B31" s="379" t="s">
        <v>1223</v>
      </c>
      <c r="C31" s="637"/>
      <c r="D31" s="520">
        <f t="shared" si="4"/>
        <v>67742673.149999991</v>
      </c>
      <c r="E31" s="520">
        <f t="shared" si="5"/>
        <v>118984.36016521248</v>
      </c>
      <c r="F31" s="520">
        <f t="shared" si="6"/>
        <v>8542598.1105055381</v>
      </c>
      <c r="G31" s="638">
        <v>0</v>
      </c>
      <c r="H31" s="639">
        <f t="shared" si="7"/>
        <v>67742673.149999991</v>
      </c>
      <c r="I31" s="640">
        <f t="shared" si="13"/>
        <v>118984.36016521248</v>
      </c>
      <c r="J31" s="641">
        <f t="shared" si="8"/>
        <v>8542598.1105055381</v>
      </c>
      <c r="K31" s="866">
        <f t="shared" si="14"/>
        <v>0</v>
      </c>
      <c r="L31" s="700">
        <v>0</v>
      </c>
      <c r="M31" s="700">
        <v>0</v>
      </c>
      <c r="N31" s="868"/>
      <c r="O31" s="369">
        <f t="shared" si="15"/>
        <v>0</v>
      </c>
      <c r="P31" s="868"/>
      <c r="Q31" s="864">
        <f t="shared" ref="Q31:Q41" si="16">(Q$14)/12</f>
        <v>0</v>
      </c>
      <c r="R31" s="880"/>
      <c r="S31" s="868"/>
      <c r="T31" s="868"/>
      <c r="U31" s="868"/>
      <c r="V31" s="867"/>
      <c r="W31" s="884">
        <f t="shared" ref="W31:W41" si="17">(O$42/12)+Q31</f>
        <v>0</v>
      </c>
      <c r="X31" s="877">
        <f t="shared" ref="X31:X41" si="18">E31</f>
        <v>118984.36016521248</v>
      </c>
      <c r="Y31" s="877">
        <f t="shared" ref="Y31:Y41" si="19">X31-W31</f>
        <v>118984.36016521248</v>
      </c>
      <c r="Z31" s="878">
        <f>+'Proj Att-H'!$D$133</f>
        <v>0</v>
      </c>
      <c r="AA31" s="879">
        <f t="shared" ref="AA31:AA41" si="20">Z31*Y31</f>
        <v>0</v>
      </c>
    </row>
    <row r="32" spans="1:27">
      <c r="A32" s="710">
        <f t="shared" si="3"/>
        <v>18</v>
      </c>
      <c r="B32" s="379" t="s">
        <v>1223</v>
      </c>
      <c r="C32" s="637"/>
      <c r="D32" s="520">
        <f t="shared" si="4"/>
        <v>67742673.149999991</v>
      </c>
      <c r="E32" s="520">
        <f t="shared" si="5"/>
        <v>118984.36016521248</v>
      </c>
      <c r="F32" s="520">
        <f t="shared" si="6"/>
        <v>8661582.4706707504</v>
      </c>
      <c r="G32" s="638">
        <v>0</v>
      </c>
      <c r="H32" s="639">
        <f t="shared" si="7"/>
        <v>67742673.149999991</v>
      </c>
      <c r="I32" s="640">
        <f t="shared" si="13"/>
        <v>118984.36016521248</v>
      </c>
      <c r="J32" s="641">
        <f t="shared" si="8"/>
        <v>8661582.4706707504</v>
      </c>
      <c r="K32" s="866">
        <f t="shared" si="14"/>
        <v>0</v>
      </c>
      <c r="L32" s="700">
        <v>0</v>
      </c>
      <c r="M32" s="700">
        <v>0</v>
      </c>
      <c r="N32" s="868"/>
      <c r="O32" s="369">
        <f t="shared" si="15"/>
        <v>0</v>
      </c>
      <c r="P32" s="868"/>
      <c r="Q32" s="864">
        <f t="shared" si="16"/>
        <v>0</v>
      </c>
      <c r="R32" s="880"/>
      <c r="S32" s="868"/>
      <c r="T32" s="868"/>
      <c r="U32" s="868"/>
      <c r="V32" s="867"/>
      <c r="W32" s="884">
        <f t="shared" si="17"/>
        <v>0</v>
      </c>
      <c r="X32" s="877">
        <f t="shared" si="18"/>
        <v>118984.36016521248</v>
      </c>
      <c r="Y32" s="877">
        <f t="shared" si="19"/>
        <v>118984.36016521248</v>
      </c>
      <c r="Z32" s="878">
        <f>+'Proj Att-H'!$D$133</f>
        <v>0</v>
      </c>
      <c r="AA32" s="879">
        <f t="shared" si="20"/>
        <v>0</v>
      </c>
    </row>
    <row r="33" spans="1:27">
      <c r="A33" s="710">
        <f t="shared" si="3"/>
        <v>19</v>
      </c>
      <c r="B33" s="379" t="s">
        <v>1223</v>
      </c>
      <c r="C33" s="637"/>
      <c r="D33" s="520">
        <f t="shared" si="4"/>
        <v>67742673.149999991</v>
      </c>
      <c r="E33" s="520">
        <f t="shared" si="5"/>
        <v>118984.36016521248</v>
      </c>
      <c r="F33" s="520">
        <f t="shared" si="6"/>
        <v>8780566.8308359627</v>
      </c>
      <c r="G33" s="638">
        <v>0</v>
      </c>
      <c r="H33" s="639">
        <f t="shared" si="7"/>
        <v>67742673.149999991</v>
      </c>
      <c r="I33" s="640">
        <f t="shared" si="13"/>
        <v>118984.36016521248</v>
      </c>
      <c r="J33" s="641">
        <f t="shared" si="8"/>
        <v>8780566.8308359627</v>
      </c>
      <c r="K33" s="866">
        <f t="shared" si="14"/>
        <v>0</v>
      </c>
      <c r="L33" s="700">
        <v>0</v>
      </c>
      <c r="M33" s="700">
        <v>0</v>
      </c>
      <c r="N33" s="868"/>
      <c r="O33" s="369">
        <f t="shared" si="15"/>
        <v>0</v>
      </c>
      <c r="P33" s="868"/>
      <c r="Q33" s="864">
        <f t="shared" si="16"/>
        <v>0</v>
      </c>
      <c r="R33" s="880"/>
      <c r="S33" s="868"/>
      <c r="T33" s="868"/>
      <c r="U33" s="868"/>
      <c r="V33" s="867"/>
      <c r="W33" s="884">
        <f t="shared" si="17"/>
        <v>0</v>
      </c>
      <c r="X33" s="877">
        <f t="shared" si="18"/>
        <v>118984.36016521248</v>
      </c>
      <c r="Y33" s="877">
        <f t="shared" si="19"/>
        <v>118984.36016521248</v>
      </c>
      <c r="Z33" s="878">
        <f>+'Proj Att-H'!$D$133</f>
        <v>0</v>
      </c>
      <c r="AA33" s="879">
        <f t="shared" si="20"/>
        <v>0</v>
      </c>
    </row>
    <row r="34" spans="1:27">
      <c r="A34" s="710">
        <f t="shared" si="3"/>
        <v>20</v>
      </c>
      <c r="B34" s="379" t="s">
        <v>1223</v>
      </c>
      <c r="C34" s="637"/>
      <c r="D34" s="520">
        <f t="shared" si="4"/>
        <v>67742673.149999991</v>
      </c>
      <c r="E34" s="520">
        <f t="shared" si="5"/>
        <v>118984.36016521248</v>
      </c>
      <c r="F34" s="520">
        <f t="shared" si="6"/>
        <v>8899551.191001175</v>
      </c>
      <c r="G34" s="638">
        <v>0</v>
      </c>
      <c r="H34" s="639">
        <f t="shared" si="7"/>
        <v>67742673.149999991</v>
      </c>
      <c r="I34" s="640">
        <f t="shared" si="13"/>
        <v>118984.36016521248</v>
      </c>
      <c r="J34" s="641">
        <f t="shared" si="8"/>
        <v>8899551.191001175</v>
      </c>
      <c r="K34" s="866">
        <f t="shared" si="14"/>
        <v>0</v>
      </c>
      <c r="L34" s="700">
        <v>0</v>
      </c>
      <c r="M34" s="700">
        <v>0</v>
      </c>
      <c r="N34" s="868"/>
      <c r="O34" s="369">
        <f t="shared" si="15"/>
        <v>0</v>
      </c>
      <c r="P34" s="868"/>
      <c r="Q34" s="864">
        <f t="shared" si="16"/>
        <v>0</v>
      </c>
      <c r="R34" s="880"/>
      <c r="S34" s="868"/>
      <c r="T34" s="868"/>
      <c r="U34" s="868"/>
      <c r="V34" s="867"/>
      <c r="W34" s="884">
        <f t="shared" si="17"/>
        <v>0</v>
      </c>
      <c r="X34" s="877">
        <f t="shared" si="18"/>
        <v>118984.36016521248</v>
      </c>
      <c r="Y34" s="877">
        <f t="shared" si="19"/>
        <v>118984.36016521248</v>
      </c>
      <c r="Z34" s="878">
        <f>+'Proj Att-H'!$D$133</f>
        <v>0</v>
      </c>
      <c r="AA34" s="879">
        <f t="shared" si="20"/>
        <v>0</v>
      </c>
    </row>
    <row r="35" spans="1:27">
      <c r="A35" s="710">
        <f t="shared" si="3"/>
        <v>21</v>
      </c>
      <c r="B35" s="379" t="s">
        <v>1223</v>
      </c>
      <c r="C35" s="637"/>
      <c r="D35" s="520">
        <f t="shared" si="4"/>
        <v>67742673.149999991</v>
      </c>
      <c r="E35" s="520">
        <f t="shared" si="5"/>
        <v>118984.36016521248</v>
      </c>
      <c r="F35" s="520">
        <f t="shared" si="6"/>
        <v>9018535.5511663873</v>
      </c>
      <c r="G35" s="638">
        <v>0</v>
      </c>
      <c r="H35" s="639">
        <f t="shared" si="7"/>
        <v>67742673.149999991</v>
      </c>
      <c r="I35" s="640">
        <f t="shared" si="13"/>
        <v>118984.36016521248</v>
      </c>
      <c r="J35" s="641">
        <f t="shared" si="8"/>
        <v>9018535.5511663873</v>
      </c>
      <c r="K35" s="866">
        <f t="shared" si="14"/>
        <v>0</v>
      </c>
      <c r="L35" s="700">
        <v>0</v>
      </c>
      <c r="M35" s="700">
        <v>0</v>
      </c>
      <c r="N35" s="868"/>
      <c r="O35" s="369">
        <f t="shared" si="15"/>
        <v>0</v>
      </c>
      <c r="P35" s="868"/>
      <c r="Q35" s="864">
        <f t="shared" si="16"/>
        <v>0</v>
      </c>
      <c r="R35" s="880"/>
      <c r="S35" s="868"/>
      <c r="T35" s="868"/>
      <c r="U35" s="868"/>
      <c r="V35" s="867"/>
      <c r="W35" s="884">
        <f t="shared" si="17"/>
        <v>0</v>
      </c>
      <c r="X35" s="877">
        <f t="shared" si="18"/>
        <v>118984.36016521248</v>
      </c>
      <c r="Y35" s="877">
        <f t="shared" si="19"/>
        <v>118984.36016521248</v>
      </c>
      <c r="Z35" s="878">
        <f>+'Proj Att-H'!$D$133</f>
        <v>0</v>
      </c>
      <c r="AA35" s="879">
        <f t="shared" si="20"/>
        <v>0</v>
      </c>
    </row>
    <row r="36" spans="1:27">
      <c r="A36" s="710">
        <f t="shared" si="3"/>
        <v>22</v>
      </c>
      <c r="B36" s="379" t="s">
        <v>1223</v>
      </c>
      <c r="C36" s="637"/>
      <c r="D36" s="520">
        <f t="shared" si="4"/>
        <v>67742673.149999991</v>
      </c>
      <c r="E36" s="520">
        <f t="shared" si="5"/>
        <v>118984.36016521248</v>
      </c>
      <c r="F36" s="520">
        <f t="shared" si="6"/>
        <v>9137519.9113315996</v>
      </c>
      <c r="G36" s="638">
        <v>0</v>
      </c>
      <c r="H36" s="639">
        <f t="shared" si="7"/>
        <v>67742673.149999991</v>
      </c>
      <c r="I36" s="640">
        <f t="shared" si="13"/>
        <v>118984.36016521248</v>
      </c>
      <c r="J36" s="641">
        <f t="shared" si="8"/>
        <v>9137519.9113315996</v>
      </c>
      <c r="K36" s="866">
        <f t="shared" si="14"/>
        <v>0</v>
      </c>
      <c r="L36" s="700">
        <v>0</v>
      </c>
      <c r="M36" s="700">
        <v>0</v>
      </c>
      <c r="N36" s="868"/>
      <c r="O36" s="369">
        <f t="shared" si="15"/>
        <v>0</v>
      </c>
      <c r="P36" s="868"/>
      <c r="Q36" s="864">
        <f t="shared" si="16"/>
        <v>0</v>
      </c>
      <c r="R36" s="880"/>
      <c r="S36" s="868"/>
      <c r="T36" s="868"/>
      <c r="U36" s="868"/>
      <c r="V36" s="867"/>
      <c r="W36" s="884">
        <f t="shared" si="17"/>
        <v>0</v>
      </c>
      <c r="X36" s="877">
        <f t="shared" si="18"/>
        <v>118984.36016521248</v>
      </c>
      <c r="Y36" s="877">
        <f t="shared" si="19"/>
        <v>118984.36016521248</v>
      </c>
      <c r="Z36" s="878">
        <f>+'Proj Att-H'!$D$133</f>
        <v>0</v>
      </c>
      <c r="AA36" s="879">
        <f t="shared" si="20"/>
        <v>0</v>
      </c>
    </row>
    <row r="37" spans="1:27">
      <c r="A37" s="710">
        <f t="shared" si="3"/>
        <v>23</v>
      </c>
      <c r="B37" s="379" t="s">
        <v>1223</v>
      </c>
      <c r="C37" s="637"/>
      <c r="D37" s="520">
        <f t="shared" si="4"/>
        <v>67742673.149999991</v>
      </c>
      <c r="E37" s="520">
        <f t="shared" si="5"/>
        <v>118984.36016521248</v>
      </c>
      <c r="F37" s="520">
        <f t="shared" si="6"/>
        <v>9256504.2714968119</v>
      </c>
      <c r="G37" s="638">
        <v>0</v>
      </c>
      <c r="H37" s="639">
        <f t="shared" si="7"/>
        <v>67742673.149999991</v>
      </c>
      <c r="I37" s="640">
        <f t="shared" si="13"/>
        <v>118984.36016521248</v>
      </c>
      <c r="J37" s="641">
        <f t="shared" si="8"/>
        <v>9256504.2714968119</v>
      </c>
      <c r="K37" s="866">
        <f t="shared" si="14"/>
        <v>0</v>
      </c>
      <c r="L37" s="700">
        <v>0</v>
      </c>
      <c r="M37" s="700">
        <v>0</v>
      </c>
      <c r="N37" s="868"/>
      <c r="O37" s="369">
        <f t="shared" si="15"/>
        <v>0</v>
      </c>
      <c r="P37" s="868"/>
      <c r="Q37" s="864">
        <f t="shared" si="16"/>
        <v>0</v>
      </c>
      <c r="R37" s="880"/>
      <c r="S37" s="868"/>
      <c r="T37" s="868"/>
      <c r="U37" s="868"/>
      <c r="V37" s="867"/>
      <c r="W37" s="884">
        <f t="shared" si="17"/>
        <v>0</v>
      </c>
      <c r="X37" s="877">
        <f t="shared" si="18"/>
        <v>118984.36016521248</v>
      </c>
      <c r="Y37" s="877">
        <f t="shared" si="19"/>
        <v>118984.36016521248</v>
      </c>
      <c r="Z37" s="878">
        <f>+'Proj Att-H'!$D$133</f>
        <v>0</v>
      </c>
      <c r="AA37" s="879">
        <f t="shared" si="20"/>
        <v>0</v>
      </c>
    </row>
    <row r="38" spans="1:27">
      <c r="A38" s="710">
        <f t="shared" si="3"/>
        <v>24</v>
      </c>
      <c r="B38" s="379" t="s">
        <v>1223</v>
      </c>
      <c r="C38" s="637"/>
      <c r="D38" s="520">
        <f t="shared" si="4"/>
        <v>67742673.149999991</v>
      </c>
      <c r="E38" s="520">
        <f t="shared" si="5"/>
        <v>118984.36016521248</v>
      </c>
      <c r="F38" s="520">
        <f t="shared" si="6"/>
        <v>9375488.6316620242</v>
      </c>
      <c r="G38" s="638">
        <v>0</v>
      </c>
      <c r="H38" s="639">
        <f t="shared" si="7"/>
        <v>67742673.149999991</v>
      </c>
      <c r="I38" s="640">
        <f t="shared" si="13"/>
        <v>118984.36016521248</v>
      </c>
      <c r="J38" s="641">
        <f t="shared" si="8"/>
        <v>9375488.6316620242</v>
      </c>
      <c r="K38" s="866">
        <f t="shared" si="14"/>
        <v>0</v>
      </c>
      <c r="L38" s="700">
        <v>0</v>
      </c>
      <c r="M38" s="700">
        <v>0</v>
      </c>
      <c r="N38" s="868"/>
      <c r="O38" s="369">
        <f t="shared" si="15"/>
        <v>0</v>
      </c>
      <c r="P38" s="868"/>
      <c r="Q38" s="864">
        <f t="shared" si="16"/>
        <v>0</v>
      </c>
      <c r="R38" s="880"/>
      <c r="S38" s="868"/>
      <c r="T38" s="868"/>
      <c r="U38" s="868"/>
      <c r="V38" s="867"/>
      <c r="W38" s="884">
        <f t="shared" si="17"/>
        <v>0</v>
      </c>
      <c r="X38" s="877">
        <f t="shared" si="18"/>
        <v>118984.36016521248</v>
      </c>
      <c r="Y38" s="877">
        <f t="shared" si="19"/>
        <v>118984.36016521248</v>
      </c>
      <c r="Z38" s="878">
        <f>+'Proj Att-H'!$D$133</f>
        <v>0</v>
      </c>
      <c r="AA38" s="879">
        <f t="shared" si="20"/>
        <v>0</v>
      </c>
    </row>
    <row r="39" spans="1:27">
      <c r="A39" s="710">
        <f t="shared" si="3"/>
        <v>25</v>
      </c>
      <c r="B39" s="379" t="s">
        <v>1223</v>
      </c>
      <c r="C39" s="637"/>
      <c r="D39" s="520">
        <f t="shared" si="4"/>
        <v>67742673.149999991</v>
      </c>
      <c r="E39" s="520">
        <f t="shared" si="5"/>
        <v>118984.36016521248</v>
      </c>
      <c r="F39" s="520">
        <f t="shared" si="6"/>
        <v>9494472.9918272365</v>
      </c>
      <c r="G39" s="638">
        <v>0</v>
      </c>
      <c r="H39" s="639">
        <f t="shared" si="7"/>
        <v>67742673.149999991</v>
      </c>
      <c r="I39" s="640">
        <f t="shared" si="13"/>
        <v>118984.36016521248</v>
      </c>
      <c r="J39" s="641">
        <f t="shared" si="8"/>
        <v>9494472.9918272365</v>
      </c>
      <c r="K39" s="866">
        <f t="shared" si="14"/>
        <v>0</v>
      </c>
      <c r="L39" s="700">
        <v>0</v>
      </c>
      <c r="M39" s="700">
        <v>0</v>
      </c>
      <c r="N39" s="868"/>
      <c r="O39" s="369">
        <f t="shared" si="15"/>
        <v>0</v>
      </c>
      <c r="P39" s="868"/>
      <c r="Q39" s="864">
        <f t="shared" si="16"/>
        <v>0</v>
      </c>
      <c r="R39" s="880"/>
      <c r="S39" s="868"/>
      <c r="T39" s="868"/>
      <c r="U39" s="868"/>
      <c r="V39" s="867"/>
      <c r="W39" s="884">
        <f t="shared" si="17"/>
        <v>0</v>
      </c>
      <c r="X39" s="877">
        <f t="shared" si="18"/>
        <v>118984.36016521248</v>
      </c>
      <c r="Y39" s="877">
        <f t="shared" si="19"/>
        <v>118984.36016521248</v>
      </c>
      <c r="Z39" s="878">
        <f>+'Proj Att-H'!$D$133</f>
        <v>0</v>
      </c>
      <c r="AA39" s="879">
        <f t="shared" si="20"/>
        <v>0</v>
      </c>
    </row>
    <row r="40" spans="1:27">
      <c r="A40" s="710">
        <f t="shared" si="3"/>
        <v>26</v>
      </c>
      <c r="B40" s="379" t="s">
        <v>1223</v>
      </c>
      <c r="C40" s="637"/>
      <c r="D40" s="520">
        <f t="shared" si="4"/>
        <v>67742673.149999991</v>
      </c>
      <c r="E40" s="520">
        <f t="shared" si="5"/>
        <v>118984.36016521248</v>
      </c>
      <c r="F40" s="520">
        <f t="shared" si="6"/>
        <v>9613457.3519924488</v>
      </c>
      <c r="G40" s="638">
        <v>0</v>
      </c>
      <c r="H40" s="639">
        <f t="shared" si="7"/>
        <v>67742673.149999991</v>
      </c>
      <c r="I40" s="640">
        <f t="shared" si="13"/>
        <v>118984.36016521248</v>
      </c>
      <c r="J40" s="641">
        <f t="shared" si="8"/>
        <v>9613457.3519924488</v>
      </c>
      <c r="K40" s="866">
        <f t="shared" si="14"/>
        <v>0</v>
      </c>
      <c r="L40" s="700">
        <v>0</v>
      </c>
      <c r="M40" s="700">
        <v>0</v>
      </c>
      <c r="N40" s="868"/>
      <c r="O40" s="369">
        <f t="shared" si="15"/>
        <v>0</v>
      </c>
      <c r="P40" s="868"/>
      <c r="Q40" s="864">
        <f t="shared" si="16"/>
        <v>0</v>
      </c>
      <c r="R40" s="880"/>
      <c r="S40" s="868"/>
      <c r="T40" s="868"/>
      <c r="U40" s="868"/>
      <c r="V40" s="867"/>
      <c r="W40" s="884">
        <f t="shared" si="17"/>
        <v>0</v>
      </c>
      <c r="X40" s="877">
        <f t="shared" si="18"/>
        <v>118984.36016521248</v>
      </c>
      <c r="Y40" s="877">
        <f t="shared" si="19"/>
        <v>118984.36016521248</v>
      </c>
      <c r="Z40" s="878">
        <f>+'Proj Att-H'!$D$133</f>
        <v>0</v>
      </c>
      <c r="AA40" s="879">
        <f t="shared" si="20"/>
        <v>0</v>
      </c>
    </row>
    <row r="41" spans="1:27">
      <c r="A41" s="710">
        <f t="shared" si="3"/>
        <v>27</v>
      </c>
      <c r="B41" s="379" t="s">
        <v>1223</v>
      </c>
      <c r="C41" s="637"/>
      <c r="D41" s="520">
        <f t="shared" si="4"/>
        <v>67742673.149999991</v>
      </c>
      <c r="E41" s="520">
        <f t="shared" si="5"/>
        <v>118984.36016521248</v>
      </c>
      <c r="F41" s="520">
        <f t="shared" si="6"/>
        <v>9732441.7121576611</v>
      </c>
      <c r="G41" s="638">
        <v>0</v>
      </c>
      <c r="H41" s="639">
        <f t="shared" si="7"/>
        <v>67742673.149999991</v>
      </c>
      <c r="I41" s="640">
        <f t="shared" si="13"/>
        <v>118984.36016521248</v>
      </c>
      <c r="J41" s="641">
        <f t="shared" si="8"/>
        <v>9732441.7121576611</v>
      </c>
      <c r="K41" s="866">
        <f t="shared" si="14"/>
        <v>0</v>
      </c>
      <c r="L41" s="700">
        <v>0</v>
      </c>
      <c r="M41" s="700">
        <v>0</v>
      </c>
      <c r="N41" s="868"/>
      <c r="O41" s="369">
        <f t="shared" si="15"/>
        <v>0</v>
      </c>
      <c r="P41" s="868"/>
      <c r="Q41" s="864">
        <f t="shared" si="16"/>
        <v>0</v>
      </c>
      <c r="R41" s="880"/>
      <c r="S41" s="868"/>
      <c r="T41" s="868"/>
      <c r="U41" s="868"/>
      <c r="V41" s="867"/>
      <c r="W41" s="884">
        <f t="shared" si="17"/>
        <v>0</v>
      </c>
      <c r="X41" s="877">
        <f t="shared" si="18"/>
        <v>118984.36016521248</v>
      </c>
      <c r="Y41" s="877">
        <f t="shared" si="19"/>
        <v>118984.36016521248</v>
      </c>
      <c r="Z41" s="878">
        <f>+'Proj Att-H'!$D$133</f>
        <v>0</v>
      </c>
      <c r="AA41" s="879">
        <f t="shared" si="20"/>
        <v>0</v>
      </c>
    </row>
    <row r="42" spans="1:27">
      <c r="A42" s="709" t="s">
        <v>894</v>
      </c>
      <c r="B42" s="642"/>
      <c r="C42" s="642"/>
      <c r="G42" s="643"/>
      <c r="H42" s="385"/>
      <c r="I42" s="385"/>
      <c r="J42" s="384"/>
      <c r="K42" s="869"/>
      <c r="L42" s="385"/>
      <c r="M42" s="369"/>
      <c r="N42" s="704">
        <f t="shared" ref="N42:T42" si="21">SUM(N18:N41)</f>
        <v>0</v>
      </c>
      <c r="O42" s="704">
        <f>SUM(O18:O41)</f>
        <v>0</v>
      </c>
      <c r="P42" s="740">
        <f t="shared" si="21"/>
        <v>0</v>
      </c>
      <c r="Q42" s="870">
        <f t="shared" si="21"/>
        <v>0</v>
      </c>
      <c r="R42" s="881">
        <f t="shared" si="21"/>
        <v>0</v>
      </c>
      <c r="S42" s="704">
        <f t="shared" si="21"/>
        <v>1427812.3219825502</v>
      </c>
      <c r="T42" s="704">
        <f t="shared" si="21"/>
        <v>1427812.3219825502</v>
      </c>
      <c r="U42" s="704"/>
      <c r="V42" s="882">
        <f>T42*'Proj Att-H'!D133</f>
        <v>0</v>
      </c>
      <c r="W42" s="881">
        <f>SUM(W18:W41)</f>
        <v>0</v>
      </c>
      <c r="X42" s="704">
        <f>SUM(X18:X41)</f>
        <v>1427812.3219825502</v>
      </c>
      <c r="Y42" s="704">
        <f>SUM(Y18:Y41)</f>
        <v>1427812.3219825502</v>
      </c>
      <c r="Z42" s="704"/>
      <c r="AA42" s="882">
        <f>SUM(AA18:AA41)</f>
        <v>0</v>
      </c>
    </row>
    <row r="43" spans="1:27">
      <c r="A43" s="710">
        <f>A41+1</f>
        <v>28</v>
      </c>
      <c r="B43" s="386" t="s">
        <v>488</v>
      </c>
      <c r="C43" s="386"/>
      <c r="D43" s="520"/>
      <c r="E43" s="644">
        <f>SUM(E30:E41)</f>
        <v>1427812.3219825502</v>
      </c>
      <c r="F43" s="520"/>
      <c r="G43" s="454"/>
      <c r="H43" s="644"/>
      <c r="I43" s="644">
        <f>SUM(I30:I41)</f>
        <v>1427812.3219825502</v>
      </c>
      <c r="J43" s="384"/>
      <c r="K43" s="869"/>
      <c r="L43" s="385"/>
      <c r="M43" s="372"/>
      <c r="N43" s="372"/>
      <c r="O43" s="369"/>
      <c r="P43" s="369"/>
      <c r="Q43" s="864"/>
      <c r="R43" s="454"/>
      <c r="S43" s="369"/>
      <c r="T43" s="369"/>
      <c r="U43" s="369"/>
      <c r="V43" s="377"/>
      <c r="W43" s="454"/>
      <c r="X43" s="369"/>
      <c r="Y43" s="369"/>
      <c r="Z43" s="369"/>
      <c r="AA43" s="377"/>
    </row>
    <row r="44" spans="1:27">
      <c r="A44" s="710">
        <f>+A43+1</f>
        <v>29</v>
      </c>
      <c r="B44" s="386" t="s">
        <v>489</v>
      </c>
      <c r="C44" s="520"/>
      <c r="D44" s="520">
        <f>SUM(D29:D41)/13</f>
        <v>67742673.149999991</v>
      </c>
      <c r="E44" s="385"/>
      <c r="F44" s="520">
        <f>SUM(F29:F41)/13</f>
        <v>9018535.5511663873</v>
      </c>
      <c r="G44" s="645"/>
      <c r="H44" s="810">
        <f>SUM(H29:H41)/13</f>
        <v>67742673.149999991</v>
      </c>
      <c r="I44" s="646"/>
      <c r="J44" s="647">
        <f>SUM(J29:J41)/13</f>
        <v>9018535.5511663873</v>
      </c>
      <c r="K44" s="871"/>
      <c r="L44" s="872"/>
      <c r="M44" s="873"/>
      <c r="N44" s="873"/>
      <c r="O44" s="874"/>
      <c r="P44" s="874"/>
      <c r="Q44" s="875"/>
      <c r="R44" s="645"/>
      <c r="S44" s="874"/>
      <c r="T44" s="874"/>
      <c r="U44" s="874"/>
      <c r="V44" s="883"/>
      <c r="W44" s="645"/>
      <c r="X44" s="874"/>
      <c r="Y44" s="874"/>
      <c r="Z44" s="874"/>
      <c r="AA44" s="883"/>
    </row>
    <row r="45" spans="1:27">
      <c r="B45" s="386"/>
      <c r="D45" s="387"/>
      <c r="E45" s="387"/>
      <c r="F45" s="387"/>
      <c r="J45" s="388"/>
      <c r="K45" s="388"/>
      <c r="L45" s="388"/>
      <c r="M45" s="369"/>
      <c r="N45" s="369"/>
      <c r="Q45" s="369"/>
    </row>
    <row r="46" spans="1:27" ht="15.75" customHeight="1">
      <c r="A46" s="710"/>
    </row>
    <row r="48" spans="1:27">
      <c r="C48" s="390"/>
      <c r="G48" s="389" t="s">
        <v>205</v>
      </c>
    </row>
    <row r="49" spans="2:12" ht="66" customHeight="1">
      <c r="D49" s="712"/>
      <c r="E49" s="712"/>
      <c r="F49" s="712"/>
      <c r="G49" s="391" t="s">
        <v>79</v>
      </c>
      <c r="H49" s="999" t="s">
        <v>647</v>
      </c>
      <c r="I49" s="999"/>
      <c r="J49" s="999"/>
      <c r="K49" s="691"/>
      <c r="L49" s="691"/>
    </row>
    <row r="50" spans="2:12">
      <c r="B50" s="391"/>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D16" sqref="D16"/>
    </sheetView>
  </sheetViews>
  <sheetFormatPr defaultColWidth="8.69140625" defaultRowHeight="13"/>
  <cols>
    <col min="1" max="1" width="5.23046875" style="366" customWidth="1"/>
    <col min="2" max="2" width="34.53515625" style="366" customWidth="1"/>
    <col min="3" max="3" width="29.53515625" style="366" customWidth="1"/>
    <col min="4" max="4" width="13.69140625" style="366" customWidth="1"/>
    <col min="5" max="5" width="14.69140625" style="366" customWidth="1"/>
    <col min="6" max="6" width="16.53515625" style="366" customWidth="1"/>
    <col min="7" max="7" width="3.23046875" style="366" customWidth="1"/>
    <col min="8" max="8" width="13.69140625" style="366" customWidth="1"/>
    <col min="9" max="9" width="11.23046875" style="366" customWidth="1"/>
    <col min="10" max="10" width="3.23046875" style="366" customWidth="1"/>
    <col min="11" max="11" width="14.23046875" style="366" customWidth="1"/>
    <col min="12" max="12" width="13.4609375" style="366" customWidth="1"/>
    <col min="13" max="13" width="14.4609375" style="366" bestFit="1" customWidth="1"/>
    <col min="14" max="14" width="13.23046875" style="366" customWidth="1"/>
    <col min="15" max="16384" width="8.69140625" style="366"/>
  </cols>
  <sheetData>
    <row r="1" spans="1:13">
      <c r="A1" s="1012" t="s">
        <v>538</v>
      </c>
      <c r="B1" s="1012"/>
      <c r="C1" s="1012"/>
      <c r="D1" s="1012"/>
      <c r="E1" s="1012"/>
      <c r="F1" s="1012"/>
    </row>
    <row r="2" spans="1:13">
      <c r="A2" s="1012" t="s">
        <v>559</v>
      </c>
      <c r="B2" s="1012"/>
      <c r="C2" s="1012"/>
      <c r="D2" s="1012"/>
      <c r="E2" s="1012"/>
      <c r="F2" s="1012"/>
    </row>
    <row r="3" spans="1:13">
      <c r="A3" s="1012" t="str">
        <f>'Act Att-H'!C7</f>
        <v>Cheyenne Light, Fuel &amp; Power</v>
      </c>
      <c r="B3" s="1012"/>
      <c r="C3" s="1012"/>
      <c r="D3" s="1012"/>
      <c r="E3" s="1012"/>
      <c r="F3" s="1012"/>
    </row>
    <row r="4" spans="1:13">
      <c r="A4" s="469"/>
      <c r="B4" s="469"/>
      <c r="C4" s="469"/>
      <c r="D4" s="469"/>
      <c r="E4" s="469"/>
      <c r="F4" s="495" t="s">
        <v>673</v>
      </c>
    </row>
    <row r="5" spans="1:13" s="369" customFormat="1">
      <c r="B5" s="496"/>
      <c r="D5" s="497"/>
      <c r="E5" s="497"/>
      <c r="F5" s="497"/>
    </row>
    <row r="6" spans="1:13">
      <c r="B6" s="498" t="s">
        <v>15</v>
      </c>
      <c r="C6" s="498" t="s">
        <v>16</v>
      </c>
      <c r="D6" s="498" t="s">
        <v>17</v>
      </c>
      <c r="E6" s="499" t="s">
        <v>18</v>
      </c>
      <c r="F6" s="499" t="s">
        <v>19</v>
      </c>
    </row>
    <row r="7" spans="1:13">
      <c r="B7" s="500"/>
      <c r="C7" s="369"/>
      <c r="D7" s="451"/>
      <c r="E7" s="497" t="s">
        <v>495</v>
      </c>
      <c r="F7" s="451"/>
      <c r="G7" s="369"/>
      <c r="H7" s="369"/>
      <c r="I7" s="369"/>
      <c r="J7" s="369"/>
      <c r="K7" s="369"/>
      <c r="L7" s="369"/>
      <c r="M7" s="369"/>
    </row>
    <row r="8" spans="1:13">
      <c r="B8" s="500"/>
      <c r="C8" s="369"/>
      <c r="D8" s="501"/>
      <c r="E8" s="497" t="s">
        <v>496</v>
      </c>
      <c r="F8" s="451"/>
      <c r="G8" s="369"/>
      <c r="H8" s="369"/>
      <c r="I8" s="369"/>
      <c r="J8" s="369"/>
      <c r="K8" s="369"/>
      <c r="L8" s="369"/>
      <c r="M8" s="369"/>
    </row>
    <row r="9" spans="1:13">
      <c r="B9" s="500"/>
      <c r="C9" s="369"/>
      <c r="D9" s="501" t="s">
        <v>497</v>
      </c>
      <c r="E9" s="497" t="s">
        <v>498</v>
      </c>
      <c r="F9" s="497" t="s">
        <v>492</v>
      </c>
      <c r="G9" s="369"/>
      <c r="H9" s="369"/>
      <c r="I9" s="369"/>
      <c r="J9" s="369"/>
      <c r="K9" s="369"/>
      <c r="L9" s="369"/>
      <c r="M9" s="369"/>
    </row>
    <row r="10" spans="1:13" ht="13.5" thickBot="1">
      <c r="A10" s="502" t="s">
        <v>4</v>
      </c>
      <c r="B10" s="502" t="s">
        <v>478</v>
      </c>
      <c r="C10" s="502" t="s">
        <v>578</v>
      </c>
      <c r="D10" s="502" t="s">
        <v>499</v>
      </c>
      <c r="E10" s="503" t="s">
        <v>494</v>
      </c>
      <c r="F10" s="502" t="s">
        <v>499</v>
      </c>
      <c r="G10" s="369"/>
      <c r="H10" s="369"/>
      <c r="I10" s="369"/>
      <c r="J10" s="369"/>
      <c r="K10" s="369"/>
      <c r="L10" s="369"/>
      <c r="M10" s="369"/>
    </row>
    <row r="11" spans="1:13">
      <c r="C11" s="369"/>
      <c r="D11" s="369"/>
      <c r="E11" s="369" t="s">
        <v>500</v>
      </c>
      <c r="F11" s="392" t="s">
        <v>501</v>
      </c>
      <c r="G11" s="369"/>
      <c r="H11" s="369"/>
      <c r="I11" s="369"/>
      <c r="J11" s="369"/>
      <c r="K11" s="369"/>
      <c r="L11" s="369"/>
      <c r="M11" s="369"/>
    </row>
    <row r="12" spans="1:13">
      <c r="A12" s="504">
        <v>1</v>
      </c>
      <c r="B12" s="366" t="s">
        <v>502</v>
      </c>
      <c r="C12" s="372" t="s">
        <v>579</v>
      </c>
      <c r="D12" s="374">
        <f>'Act Att-H'!I66</f>
        <v>55489340.289988011</v>
      </c>
      <c r="E12" s="505"/>
      <c r="F12" s="388"/>
      <c r="G12" s="369"/>
      <c r="H12" s="369"/>
      <c r="I12" s="369"/>
      <c r="J12" s="369"/>
      <c r="K12" s="369"/>
      <c r="L12" s="369"/>
      <c r="M12" s="369"/>
    </row>
    <row r="13" spans="1:13">
      <c r="A13" s="506">
        <v>2</v>
      </c>
      <c r="B13" s="366" t="s">
        <v>503</v>
      </c>
      <c r="C13" s="388" t="s">
        <v>648</v>
      </c>
      <c r="D13" s="388"/>
      <c r="E13" s="388"/>
      <c r="F13" s="374">
        <f>'Proj Att-H'!I61</f>
        <v>56221748.640527718</v>
      </c>
      <c r="G13" s="369"/>
      <c r="H13" s="369"/>
    </row>
    <row r="14" spans="1:13">
      <c r="A14" s="368"/>
      <c r="C14" s="388"/>
      <c r="D14" s="388"/>
      <c r="E14" s="388"/>
      <c r="F14" s="388"/>
      <c r="H14" s="369"/>
    </row>
    <row r="15" spans="1:13">
      <c r="A15" s="368"/>
      <c r="B15" s="500" t="s">
        <v>504</v>
      </c>
      <c r="C15" s="388"/>
      <c r="D15" s="388"/>
      <c r="E15" s="507"/>
      <c r="F15" s="388"/>
      <c r="H15" s="369"/>
    </row>
    <row r="16" spans="1:13">
      <c r="A16" s="506">
        <f>A13+1</f>
        <v>3</v>
      </c>
      <c r="B16" s="388" t="s">
        <v>38</v>
      </c>
      <c r="C16" s="388" t="s">
        <v>580</v>
      </c>
      <c r="D16" s="374">
        <f>'Act Att-H'!D105</f>
        <v>23306437.950000018</v>
      </c>
      <c r="E16" s="79">
        <f>IF($D$12=0,0,D16/$D$12)</f>
        <v>0.42001649016189907</v>
      </c>
      <c r="F16" s="76">
        <f>E16*F$13</f>
        <v>23614061.534758974</v>
      </c>
      <c r="G16" s="388"/>
      <c r="H16" s="369"/>
      <c r="I16" s="376"/>
    </row>
    <row r="17" spans="1:9">
      <c r="A17" s="395">
        <f>A16+1</f>
        <v>4</v>
      </c>
      <c r="B17" s="388" t="s">
        <v>144</v>
      </c>
      <c r="C17" s="388" t="s">
        <v>581</v>
      </c>
      <c r="D17" s="374">
        <f>'Act Att-H'!D106</f>
        <v>329679.57999999996</v>
      </c>
      <c r="E17" s="79">
        <f t="shared" ref="E17:E26" si="0">IF($D$12=0,0,D17/$D$12)</f>
        <v>5.9413137420104515E-3</v>
      </c>
      <c r="F17" s="76">
        <f t="shared" ref="F17:F26" si="1">E17*F$13</f>
        <v>334031.04779782472</v>
      </c>
      <c r="G17" s="388"/>
      <c r="H17" s="369"/>
      <c r="I17" s="508"/>
    </row>
    <row r="18" spans="1:9">
      <c r="A18" s="395">
        <f t="shared" ref="A18:A26" si="2">A17+1</f>
        <v>5</v>
      </c>
      <c r="B18" s="388" t="s">
        <v>39</v>
      </c>
      <c r="C18" s="388" t="s">
        <v>583</v>
      </c>
      <c r="D18" s="374">
        <f>'Act Att-H'!D107</f>
        <v>21970546.000000015</v>
      </c>
      <c r="E18" s="79">
        <f t="shared" si="0"/>
        <v>0.39594174097550372</v>
      </c>
      <c r="F18" s="76">
        <f t="shared" si="1"/>
        <v>22260537.037417702</v>
      </c>
      <c r="G18" s="388"/>
      <c r="H18" s="369"/>
      <c r="I18" s="508"/>
    </row>
    <row r="19" spans="1:9">
      <c r="A19" s="395">
        <f t="shared" si="2"/>
        <v>6</v>
      </c>
      <c r="B19" s="388" t="s">
        <v>40</v>
      </c>
      <c r="C19" s="388" t="s">
        <v>582</v>
      </c>
      <c r="D19" s="374">
        <f>'Act Att-H'!D108</f>
        <v>14884855.340000005</v>
      </c>
      <c r="E19" s="79">
        <f t="shared" si="0"/>
        <v>0.26824711308895655</v>
      </c>
      <c r="F19" s="76">
        <f t="shared" si="1"/>
        <v>15081321.765634527</v>
      </c>
      <c r="G19" s="388"/>
      <c r="H19" s="369"/>
      <c r="I19" s="508"/>
    </row>
    <row r="20" spans="1:9">
      <c r="A20" s="395">
        <f t="shared" si="2"/>
        <v>7</v>
      </c>
      <c r="B20" s="925" t="s">
        <v>1217</v>
      </c>
      <c r="C20" s="388"/>
      <c r="D20" s="388"/>
      <c r="E20" s="388"/>
      <c r="F20" s="388"/>
      <c r="G20" s="388"/>
      <c r="H20" s="369"/>
      <c r="I20" s="508"/>
    </row>
    <row r="21" spans="1:9">
      <c r="A21" s="395">
        <f t="shared" si="2"/>
        <v>8</v>
      </c>
      <c r="B21" s="388" t="s">
        <v>575</v>
      </c>
      <c r="C21" s="388" t="s">
        <v>584</v>
      </c>
      <c r="D21" s="374">
        <f>'Act Att-H'!D110</f>
        <v>865054.40999999992</v>
      </c>
      <c r="E21" s="79">
        <f t="shared" si="0"/>
        <v>1.5589560183617509E-2</v>
      </c>
      <c r="F21" s="76">
        <f t="shared" si="1"/>
        <v>876472.33405972272</v>
      </c>
      <c r="H21" s="369"/>
      <c r="I21" s="508"/>
    </row>
    <row r="22" spans="1:9">
      <c r="A22" s="395">
        <f t="shared" si="2"/>
        <v>9</v>
      </c>
      <c r="B22" s="388" t="s">
        <v>576</v>
      </c>
      <c r="C22" s="388" t="s">
        <v>588</v>
      </c>
      <c r="D22" s="374">
        <f>'Act Att-H'!D111</f>
        <v>0</v>
      </c>
      <c r="E22" s="79">
        <f t="shared" si="0"/>
        <v>0</v>
      </c>
      <c r="F22" s="76">
        <f t="shared" si="1"/>
        <v>0</v>
      </c>
      <c r="H22" s="369"/>
      <c r="I22" s="508"/>
    </row>
    <row r="23" spans="1:9">
      <c r="A23" s="395">
        <f t="shared" si="2"/>
        <v>10</v>
      </c>
      <c r="B23" s="388" t="s">
        <v>930</v>
      </c>
      <c r="C23" s="388" t="s">
        <v>589</v>
      </c>
      <c r="D23" s="374">
        <f>'Act Att-H'!D112</f>
        <v>607325</v>
      </c>
      <c r="E23" s="509"/>
      <c r="F23" s="374">
        <f>D23</f>
        <v>607325</v>
      </c>
      <c r="H23" s="369"/>
      <c r="I23" s="508"/>
    </row>
    <row r="24" spans="1:9">
      <c r="A24" s="395">
        <f t="shared" si="2"/>
        <v>11</v>
      </c>
      <c r="B24" s="388" t="s">
        <v>931</v>
      </c>
      <c r="C24" s="388" t="s">
        <v>590</v>
      </c>
      <c r="D24" s="374">
        <f>'Act Att-H'!D113</f>
        <v>581384.05000000005</v>
      </c>
      <c r="E24" s="79">
        <f t="shared" si="0"/>
        <v>1.0477400649596472E-2</v>
      </c>
      <c r="F24" s="76">
        <f t="shared" si="1"/>
        <v>589057.78572771465</v>
      </c>
      <c r="H24" s="369"/>
      <c r="I24" s="508"/>
    </row>
    <row r="25" spans="1:9">
      <c r="A25" s="395">
        <f t="shared" si="2"/>
        <v>12</v>
      </c>
      <c r="B25" s="388" t="s">
        <v>32</v>
      </c>
      <c r="C25" s="388" t="s">
        <v>585</v>
      </c>
      <c r="D25" s="374">
        <f>'Act Att-H'!D114</f>
        <v>0</v>
      </c>
      <c r="E25" s="79">
        <f t="shared" si="0"/>
        <v>0</v>
      </c>
      <c r="F25" s="76">
        <f t="shared" si="1"/>
        <v>0</v>
      </c>
      <c r="G25" s="388"/>
      <c r="H25" s="369"/>
      <c r="I25" s="510"/>
    </row>
    <row r="26" spans="1:9" ht="13.5" thickBot="1">
      <c r="A26" s="395">
        <f t="shared" si="2"/>
        <v>13</v>
      </c>
      <c r="B26" s="388" t="s">
        <v>41</v>
      </c>
      <c r="C26" s="388" t="s">
        <v>586</v>
      </c>
      <c r="D26" s="374">
        <f>'Act Att-H'!D115</f>
        <v>0</v>
      </c>
      <c r="E26" s="79">
        <f t="shared" si="0"/>
        <v>0</v>
      </c>
      <c r="F26" s="76">
        <f t="shared" si="1"/>
        <v>0</v>
      </c>
      <c r="G26" s="388"/>
      <c r="H26" s="369"/>
      <c r="I26" s="376"/>
    </row>
    <row r="27" spans="1:9">
      <c r="A27" s="395">
        <f>A26+1</f>
        <v>14</v>
      </c>
      <c r="B27" s="511" t="s">
        <v>577</v>
      </c>
      <c r="C27" s="511" t="s">
        <v>1220</v>
      </c>
      <c r="D27" s="90">
        <f>+D16-D17-D18+D19-D21+D25+D26+D22+D23-D24</f>
        <v>15051954.250000009</v>
      </c>
      <c r="E27" s="90"/>
      <c r="F27" s="90">
        <f>+F16-F17-F18+F19-F21+F25+F26+F22+F23-F24</f>
        <v>15242610.095390536</v>
      </c>
      <c r="H27" s="369"/>
    </row>
    <row r="28" spans="1:9">
      <c r="A28" s="368"/>
      <c r="C28" s="388"/>
      <c r="D28" s="388"/>
      <c r="E28" s="388"/>
      <c r="F28" s="388"/>
      <c r="H28" s="369"/>
    </row>
    <row r="29" spans="1:9">
      <c r="A29" s="368"/>
      <c r="C29" s="388"/>
      <c r="D29" s="388"/>
      <c r="E29" s="388"/>
      <c r="F29" s="388"/>
      <c r="H29" s="369"/>
    </row>
    <row r="30" spans="1:9">
      <c r="A30" s="368"/>
      <c r="B30" s="500" t="s">
        <v>505</v>
      </c>
      <c r="C30" s="388"/>
      <c r="D30" s="388"/>
      <c r="E30" s="388"/>
      <c r="F30" s="388"/>
      <c r="H30" s="369"/>
    </row>
    <row r="31" spans="1:9">
      <c r="A31" s="368"/>
      <c r="B31" s="368" t="s">
        <v>42</v>
      </c>
      <c r="C31" s="390"/>
      <c r="D31" s="388"/>
      <c r="E31" s="388"/>
      <c r="F31" s="388"/>
      <c r="H31" s="369"/>
    </row>
    <row r="32" spans="1:9">
      <c r="A32" s="506">
        <f>A27+1</f>
        <v>15</v>
      </c>
      <c r="B32" s="368" t="s">
        <v>43</v>
      </c>
      <c r="C32" s="388" t="s">
        <v>591</v>
      </c>
      <c r="D32" s="374">
        <f>'Act Att-H'!D127</f>
        <v>986515.45999999926</v>
      </c>
      <c r="E32" s="79">
        <f t="shared" ref="E32:E38" si="3">IF($D$12=0,0,D32/$D$12)</f>
        <v>1.7778467987625311E-2</v>
      </c>
      <c r="F32" s="76">
        <f t="shared" ref="F32:F38" si="4">E32*F$13</f>
        <v>999536.55841393885</v>
      </c>
      <c r="H32" s="369"/>
    </row>
    <row r="33" spans="1:9">
      <c r="A33" s="506">
        <f>A32+1</f>
        <v>16</v>
      </c>
      <c r="B33" s="368" t="s">
        <v>44</v>
      </c>
      <c r="C33" s="388" t="s">
        <v>592</v>
      </c>
      <c r="D33" s="374">
        <f>'Act Att-H'!D128</f>
        <v>0</v>
      </c>
      <c r="E33" s="79">
        <f t="shared" si="3"/>
        <v>0</v>
      </c>
      <c r="F33" s="76">
        <f t="shared" si="4"/>
        <v>0</v>
      </c>
      <c r="H33" s="369"/>
    </row>
    <row r="34" spans="1:9">
      <c r="A34" s="506">
        <f t="shared" ref="A34:A39" si="5">A33+1</f>
        <v>17</v>
      </c>
      <c r="B34" s="368" t="s">
        <v>45</v>
      </c>
      <c r="C34" s="388"/>
      <c r="D34" s="514"/>
      <c r="E34" s="79"/>
      <c r="F34" s="76"/>
      <c r="H34" s="369"/>
    </row>
    <row r="35" spans="1:9">
      <c r="A35" s="506">
        <f t="shared" si="5"/>
        <v>18</v>
      </c>
      <c r="B35" s="935" t="s">
        <v>46</v>
      </c>
      <c r="C35" s="388" t="s">
        <v>593</v>
      </c>
      <c r="D35" s="374">
        <f>'Act Att-H'!D130</f>
        <v>2470116</v>
      </c>
      <c r="E35" s="79">
        <f t="shared" si="3"/>
        <v>4.4515144478041037E-2</v>
      </c>
      <c r="F35" s="76">
        <f t="shared" si="4"/>
        <v>2502719.2635411988</v>
      </c>
      <c r="H35" s="369"/>
    </row>
    <row r="36" spans="1:9">
      <c r="A36" s="506">
        <f t="shared" si="5"/>
        <v>19</v>
      </c>
      <c r="B36" s="368" t="s">
        <v>47</v>
      </c>
      <c r="C36" s="388" t="s">
        <v>594</v>
      </c>
      <c r="D36" s="374">
        <f>'Act Att-H'!D131</f>
        <v>1773107</v>
      </c>
      <c r="E36" s="79">
        <f t="shared" si="3"/>
        <v>3.1954011180052241E-2</v>
      </c>
      <c r="F36" s="76">
        <f t="shared" si="4"/>
        <v>1796510.3846215096</v>
      </c>
      <c r="H36" s="369"/>
    </row>
    <row r="37" spans="1:9">
      <c r="A37" s="506">
        <f t="shared" si="5"/>
        <v>20</v>
      </c>
      <c r="B37" s="368" t="s">
        <v>48</v>
      </c>
      <c r="C37" s="388" t="s">
        <v>595</v>
      </c>
      <c r="D37" s="374">
        <f>'Act Att-H'!D132</f>
        <v>0</v>
      </c>
      <c r="E37" s="79">
        <f t="shared" si="3"/>
        <v>0</v>
      </c>
      <c r="F37" s="76">
        <f t="shared" si="4"/>
        <v>0</v>
      </c>
      <c r="H37" s="369"/>
    </row>
    <row r="38" spans="1:9">
      <c r="A38" s="506">
        <f t="shared" si="5"/>
        <v>21</v>
      </c>
      <c r="B38" s="368" t="s">
        <v>574</v>
      </c>
      <c r="C38" s="388" t="s">
        <v>596</v>
      </c>
      <c r="D38" s="374">
        <f>'Act Att-H'!D133</f>
        <v>0</v>
      </c>
      <c r="E38" s="79">
        <f t="shared" si="3"/>
        <v>0</v>
      </c>
      <c r="F38" s="76">
        <f t="shared" si="4"/>
        <v>0</v>
      </c>
      <c r="H38" s="369"/>
    </row>
    <row r="39" spans="1:9">
      <c r="A39" s="506">
        <f t="shared" si="5"/>
        <v>22</v>
      </c>
      <c r="B39" s="515" t="s">
        <v>506</v>
      </c>
      <c r="C39" s="516" t="s">
        <v>597</v>
      </c>
      <c r="D39" s="517">
        <f>'Act Att-H'!D134</f>
        <v>5229738.459999999</v>
      </c>
      <c r="E39" s="513"/>
      <c r="F39" s="512">
        <f>SUM(F32:F38)</f>
        <v>5298766.2065766472</v>
      </c>
      <c r="H39" s="369"/>
    </row>
    <row r="40" spans="1:9">
      <c r="A40" s="368"/>
      <c r="D40" s="518"/>
      <c r="E40" s="388"/>
      <c r="F40" s="518"/>
      <c r="H40" s="369"/>
    </row>
    <row r="41" spans="1:9">
      <c r="C41" s="519"/>
      <c r="D41" s="519"/>
      <c r="E41" s="519"/>
      <c r="F41" s="519"/>
      <c r="I41" s="520"/>
    </row>
    <row r="42" spans="1:9">
      <c r="C42" s="519"/>
      <c r="D42" s="519"/>
      <c r="E42" s="519"/>
      <c r="F42" s="519"/>
      <c r="I42" s="520"/>
    </row>
    <row r="43" spans="1:9">
      <c r="C43" s="519"/>
      <c r="D43" s="519"/>
      <c r="E43" s="519"/>
      <c r="F43" s="519"/>
      <c r="I43" s="520"/>
    </row>
    <row r="44" spans="1:9">
      <c r="C44" s="519"/>
      <c r="D44" s="519"/>
      <c r="E44" s="519"/>
      <c r="F44" s="519"/>
      <c r="I44" s="520"/>
    </row>
    <row r="45" spans="1:9">
      <c r="C45" s="519"/>
      <c r="D45" s="519"/>
      <c r="E45" s="519"/>
      <c r="F45" s="519"/>
      <c r="I45" s="520"/>
    </row>
    <row r="46" spans="1:9">
      <c r="C46" s="519"/>
      <c r="D46" s="519"/>
      <c r="E46" s="519"/>
      <c r="F46" s="519"/>
      <c r="I46" s="520"/>
    </row>
    <row r="47" spans="1:9">
      <c r="C47" s="519"/>
      <c r="D47" s="519"/>
      <c r="E47" s="519"/>
      <c r="F47" s="519"/>
      <c r="I47" s="520"/>
    </row>
    <row r="48" spans="1:9">
      <c r="C48" s="519"/>
      <c r="D48" s="519"/>
      <c r="E48" s="519"/>
      <c r="F48" s="519"/>
      <c r="I48" s="520"/>
    </row>
    <row r="49" spans="1:8">
      <c r="A49" s="370"/>
      <c r="B49" s="521"/>
      <c r="C49" s="372"/>
      <c r="D49" s="522"/>
      <c r="E49" s="523"/>
      <c r="F49" s="524"/>
      <c r="G49" s="372"/>
      <c r="H49" s="525"/>
    </row>
    <row r="50" spans="1:8">
      <c r="A50" s="370"/>
      <c r="B50" s="372"/>
      <c r="C50" s="372"/>
      <c r="D50" s="372"/>
      <c r="E50" s="372"/>
      <c r="F50" s="372"/>
      <c r="G50" s="372"/>
      <c r="H50" s="372"/>
    </row>
    <row r="51" spans="1:8">
      <c r="A51" s="370"/>
      <c r="B51" s="521"/>
      <c r="C51" s="372"/>
      <c r="D51" s="510"/>
      <c r="E51" s="523"/>
      <c r="F51" s="524"/>
      <c r="G51" s="372"/>
      <c r="H51" s="525"/>
    </row>
    <row r="52" spans="1:8">
      <c r="A52" s="370"/>
      <c r="B52" s="521"/>
      <c r="C52" s="372"/>
      <c r="D52" s="510"/>
      <c r="E52" s="372"/>
      <c r="F52" s="526"/>
      <c r="G52" s="372"/>
      <c r="H52" s="525"/>
    </row>
    <row r="53" spans="1:8">
      <c r="A53" s="369"/>
      <c r="B53" s="521"/>
      <c r="C53" s="372"/>
      <c r="D53" s="510"/>
      <c r="E53" s="372"/>
      <c r="F53" s="526"/>
      <c r="G53" s="372"/>
      <c r="H53" s="525"/>
    </row>
    <row r="54" spans="1:8">
      <c r="B54" s="521"/>
      <c r="C54" s="372"/>
      <c r="D54" s="510"/>
      <c r="E54" s="372"/>
      <c r="F54" s="526"/>
      <c r="G54" s="372"/>
      <c r="H54" s="525"/>
    </row>
    <row r="55" spans="1:8">
      <c r="B55" s="521"/>
      <c r="C55" s="372"/>
      <c r="D55" s="510"/>
      <c r="E55" s="372"/>
      <c r="F55" s="526"/>
      <c r="G55" s="372"/>
      <c r="H55" s="525"/>
    </row>
    <row r="56" spans="1:8">
      <c r="B56" s="521"/>
      <c r="C56" s="372"/>
      <c r="D56" s="525"/>
      <c r="E56" s="372"/>
      <c r="F56" s="526"/>
      <c r="G56" s="372"/>
      <c r="H56" s="525"/>
    </row>
    <row r="57" spans="1:8">
      <c r="B57" s="521"/>
      <c r="C57" s="372"/>
      <c r="D57" s="510"/>
      <c r="E57" s="372"/>
      <c r="F57" s="526"/>
      <c r="G57" s="372"/>
      <c r="H57" s="525"/>
    </row>
    <row r="58" spans="1:8">
      <c r="B58" s="521"/>
      <c r="C58" s="372"/>
      <c r="D58" s="510"/>
      <c r="E58" s="372"/>
      <c r="F58" s="526"/>
      <c r="G58" s="372"/>
      <c r="H58" s="525"/>
    </row>
    <row r="59" spans="1:8">
      <c r="B59" s="521"/>
      <c r="C59" s="372"/>
      <c r="D59" s="510"/>
      <c r="E59" s="372"/>
      <c r="F59" s="526"/>
      <c r="G59" s="372"/>
      <c r="H59" s="525"/>
    </row>
    <row r="60" spans="1:8">
      <c r="B60" s="521"/>
      <c r="C60" s="372"/>
      <c r="D60" s="510"/>
      <c r="E60" s="372"/>
      <c r="F60" s="526"/>
      <c r="G60" s="372"/>
      <c r="H60" s="525"/>
    </row>
    <row r="61" spans="1:8">
      <c r="B61" s="521"/>
      <c r="C61" s="372"/>
      <c r="D61" s="525"/>
      <c r="E61" s="372"/>
      <c r="F61" s="526"/>
      <c r="G61" s="372"/>
      <c r="H61" s="525"/>
    </row>
    <row r="62" spans="1:8">
      <c r="B62" s="521"/>
      <c r="C62" s="372"/>
      <c r="D62" s="527"/>
      <c r="E62" s="372"/>
      <c r="F62" s="526"/>
      <c r="G62" s="372"/>
      <c r="H62" s="525"/>
    </row>
    <row r="63" spans="1:8">
      <c r="B63" s="528"/>
      <c r="C63" s="372"/>
      <c r="D63" s="510"/>
      <c r="E63" s="372"/>
      <c r="F63" s="526"/>
      <c r="G63" s="372"/>
      <c r="H63" s="525"/>
    </row>
    <row r="64" spans="1:8">
      <c r="B64" s="528"/>
      <c r="C64" s="372"/>
      <c r="D64" s="527"/>
      <c r="E64" s="372"/>
      <c r="F64" s="526"/>
      <c r="G64" s="372"/>
      <c r="H64" s="525"/>
    </row>
    <row r="65" spans="2:8">
      <c r="B65" s="528"/>
      <c r="C65" s="372"/>
      <c r="D65" s="527"/>
      <c r="E65" s="372"/>
      <c r="F65" s="526"/>
      <c r="G65" s="372"/>
      <c r="H65" s="525"/>
    </row>
    <row r="66" spans="2:8">
      <c r="B66" s="528"/>
      <c r="C66" s="372"/>
      <c r="D66" s="510"/>
      <c r="E66" s="372"/>
      <c r="F66" s="526"/>
      <c r="G66" s="372"/>
      <c r="H66" s="525"/>
    </row>
    <row r="67" spans="2:8">
      <c r="B67" s="521"/>
      <c r="C67" s="372"/>
      <c r="D67" s="372"/>
      <c r="E67" s="372"/>
      <c r="F67" s="526"/>
      <c r="G67" s="372"/>
      <c r="H67" s="525"/>
    </row>
    <row r="68" spans="2:8">
      <c r="B68" s="521"/>
      <c r="C68" s="372"/>
      <c r="D68" s="372"/>
      <c r="E68" s="372"/>
      <c r="F68" s="372"/>
      <c r="G68" s="372"/>
      <c r="H68" s="525"/>
    </row>
    <row r="69" spans="2:8">
      <c r="B69" s="521"/>
      <c r="C69" s="372"/>
      <c r="D69" s="372"/>
      <c r="E69" s="372"/>
      <c r="F69" s="372"/>
      <c r="G69" s="372"/>
      <c r="H69" s="525"/>
    </row>
    <row r="70" spans="2:8">
      <c r="B70" s="521"/>
      <c r="C70" s="372"/>
      <c r="D70" s="372"/>
      <c r="E70" s="372"/>
      <c r="F70" s="372"/>
      <c r="G70" s="372"/>
      <c r="H70" s="525"/>
    </row>
    <row r="71" spans="2:8">
      <c r="B71" s="521"/>
      <c r="C71" s="372"/>
      <c r="D71" s="372"/>
      <c r="E71" s="372"/>
      <c r="F71" s="372"/>
      <c r="G71" s="372"/>
      <c r="H71" s="525"/>
    </row>
    <row r="72" spans="2:8">
      <c r="B72" s="528"/>
      <c r="C72" s="372"/>
      <c r="D72" s="525"/>
      <c r="E72" s="372"/>
      <c r="F72" s="526"/>
      <c r="G72" s="372"/>
      <c r="H72" s="525"/>
    </row>
    <row r="73" spans="2:8">
      <c r="B73" s="528"/>
      <c r="C73" s="372"/>
      <c r="D73" s="525"/>
      <c r="E73" s="372"/>
      <c r="F73" s="372"/>
      <c r="G73" s="372"/>
      <c r="H73" s="525"/>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topLeftCell="A7" workbookViewId="0">
      <selection activeCell="F12" sqref="F12"/>
    </sheetView>
  </sheetViews>
  <sheetFormatPr defaultColWidth="8.69140625" defaultRowHeight="13"/>
  <cols>
    <col min="1" max="1" width="5.23046875" style="366" customWidth="1"/>
    <col min="2" max="2" width="15.07421875" style="366" customWidth="1"/>
    <col min="3" max="3" width="19.07421875" style="366" bestFit="1" customWidth="1"/>
    <col min="4" max="4" width="17.07421875" style="366" customWidth="1"/>
    <col min="5" max="5" width="17.4609375" style="366" customWidth="1"/>
    <col min="6" max="6" width="13.69140625" style="366" customWidth="1"/>
    <col min="7" max="7" width="12.53515625" style="366" customWidth="1"/>
    <col min="8" max="8" width="7" style="366" customWidth="1"/>
    <col min="9" max="9" width="7.69140625" style="366" bestFit="1" customWidth="1"/>
    <col min="10" max="10" width="2.23046875" style="366" customWidth="1"/>
    <col min="11" max="11" width="6.69140625" style="366" customWidth="1"/>
    <col min="12" max="16384" width="8.69140625" style="366"/>
  </cols>
  <sheetData>
    <row r="1" spans="1:14">
      <c r="A1" s="1012" t="s">
        <v>560</v>
      </c>
      <c r="B1" s="1012"/>
      <c r="C1" s="1012"/>
      <c r="D1" s="1012"/>
      <c r="E1" s="1012"/>
      <c r="F1" s="1012"/>
      <c r="G1" s="1012"/>
    </row>
    <row r="2" spans="1:14">
      <c r="A2" s="1012" t="s">
        <v>711</v>
      </c>
      <c r="B2" s="1012"/>
      <c r="C2" s="1012"/>
      <c r="D2" s="1012"/>
      <c r="E2" s="1012"/>
      <c r="F2" s="1012"/>
      <c r="G2" s="1012"/>
    </row>
    <row r="3" spans="1:14">
      <c r="A3" s="1012" t="str">
        <f>'P1-Trans Plant'!B3</f>
        <v>Cheyenne Light, Fuel &amp; Power</v>
      </c>
      <c r="B3" s="1012"/>
      <c r="C3" s="1012"/>
      <c r="D3" s="1012"/>
      <c r="E3" s="1012"/>
      <c r="F3" s="1012"/>
      <c r="G3" s="1012"/>
    </row>
    <row r="4" spans="1:14">
      <c r="A4" s="388"/>
      <c r="B4" s="388"/>
      <c r="C4" s="388"/>
      <c r="D4" s="388"/>
      <c r="E4" s="388"/>
      <c r="F4" s="388"/>
      <c r="G4" s="495" t="s">
        <v>673</v>
      </c>
    </row>
    <row r="5" spans="1:14">
      <c r="A5" s="393" t="s">
        <v>507</v>
      </c>
      <c r="B5" s="388"/>
      <c r="C5" s="388"/>
      <c r="D5" s="388"/>
      <c r="E5" s="388"/>
      <c r="F5" s="388"/>
      <c r="G5" s="388"/>
    </row>
    <row r="6" spans="1:14">
      <c r="A6" s="394"/>
      <c r="B6" s="388"/>
      <c r="C6" s="388"/>
      <c r="D6" s="388"/>
      <c r="E6" s="388"/>
      <c r="F6" s="388"/>
      <c r="G6" s="388"/>
    </row>
    <row r="7" spans="1:14" ht="15" customHeight="1">
      <c r="A7" s="395">
        <v>1</v>
      </c>
      <c r="B7" s="388" t="s">
        <v>508</v>
      </c>
      <c r="C7" s="388"/>
      <c r="D7" s="388"/>
      <c r="E7" s="388"/>
      <c r="F7" s="388"/>
      <c r="G7" s="388"/>
      <c r="I7" s="648"/>
      <c r="J7" s="388"/>
      <c r="K7" s="648"/>
      <c r="L7" s="388"/>
      <c r="M7" s="649"/>
      <c r="N7" s="388"/>
    </row>
    <row r="8" spans="1:14">
      <c r="A8" s="388"/>
      <c r="B8" s="388"/>
      <c r="C8" s="388"/>
      <c r="D8" s="388"/>
      <c r="E8" s="388"/>
      <c r="F8" s="388"/>
      <c r="G8" s="388"/>
    </row>
    <row r="9" spans="1:14">
      <c r="A9" s="388"/>
      <c r="B9" s="650" t="s">
        <v>509</v>
      </c>
      <c r="C9" s="651" t="s">
        <v>510</v>
      </c>
      <c r="D9" s="650" t="s">
        <v>511</v>
      </c>
      <c r="E9" s="650" t="s">
        <v>512</v>
      </c>
      <c r="F9" s="650" t="s">
        <v>513</v>
      </c>
      <c r="G9" s="650" t="s">
        <v>514</v>
      </c>
    </row>
    <row r="10" spans="1:14" ht="92.25" customHeight="1">
      <c r="A10" s="388"/>
      <c r="B10" s="396" t="s">
        <v>268</v>
      </c>
      <c r="C10" s="396" t="s">
        <v>567</v>
      </c>
      <c r="D10" s="397" t="s">
        <v>565</v>
      </c>
      <c r="E10" s="397" t="s">
        <v>564</v>
      </c>
      <c r="F10" s="396" t="s">
        <v>566</v>
      </c>
      <c r="G10" s="396" t="s">
        <v>515</v>
      </c>
    </row>
    <row r="11" spans="1:14">
      <c r="A11" s="395">
        <v>2</v>
      </c>
      <c r="B11" s="652" t="s">
        <v>165</v>
      </c>
      <c r="C11" s="653"/>
      <c r="D11" s="653"/>
      <c r="E11" s="654"/>
      <c r="F11" s="655">
        <v>0</v>
      </c>
      <c r="G11" s="656">
        <f t="shared" ref="G11:G18" si="0">F11</f>
        <v>0</v>
      </c>
      <c r="I11" s="657"/>
    </row>
    <row r="12" spans="1:14">
      <c r="A12" s="395">
        <v>3</v>
      </c>
      <c r="B12" s="652" t="s">
        <v>166</v>
      </c>
      <c r="C12" s="658"/>
      <c r="D12" s="658"/>
      <c r="E12" s="659"/>
      <c r="F12" s="655">
        <v>0</v>
      </c>
      <c r="G12" s="656">
        <f t="shared" si="0"/>
        <v>0</v>
      </c>
    </row>
    <row r="13" spans="1:14">
      <c r="A13" s="395">
        <v>4</v>
      </c>
      <c r="B13" s="652" t="s">
        <v>516</v>
      </c>
      <c r="C13" s="658"/>
      <c r="D13" s="658"/>
      <c r="E13" s="659"/>
      <c r="F13" s="655">
        <v>0</v>
      </c>
      <c r="G13" s="656">
        <f t="shared" si="0"/>
        <v>0</v>
      </c>
    </row>
    <row r="14" spans="1:14">
      <c r="A14" s="395">
        <v>5</v>
      </c>
      <c r="B14" s="652" t="s">
        <v>167</v>
      </c>
      <c r="C14" s="658"/>
      <c r="D14" s="658"/>
      <c r="E14" s="659"/>
      <c r="F14" s="655">
        <v>0</v>
      </c>
      <c r="G14" s="656">
        <f t="shared" si="0"/>
        <v>0</v>
      </c>
    </row>
    <row r="15" spans="1:14">
      <c r="A15" s="395">
        <v>6</v>
      </c>
      <c r="B15" s="652" t="s">
        <v>168</v>
      </c>
      <c r="C15" s="658"/>
      <c r="D15" s="658"/>
      <c r="E15" s="659"/>
      <c r="F15" s="655">
        <v>0</v>
      </c>
      <c r="G15" s="656">
        <f t="shared" si="0"/>
        <v>0</v>
      </c>
    </row>
    <row r="16" spans="1:14">
      <c r="A16" s="395">
        <v>7</v>
      </c>
      <c r="B16" s="652" t="s">
        <v>169</v>
      </c>
      <c r="C16" s="658"/>
      <c r="D16" s="658"/>
      <c r="E16" s="659"/>
      <c r="F16" s="655">
        <v>0</v>
      </c>
      <c r="G16" s="656">
        <f t="shared" si="0"/>
        <v>0</v>
      </c>
    </row>
    <row r="17" spans="1:15">
      <c r="A17" s="395">
        <v>8</v>
      </c>
      <c r="B17" s="652" t="s">
        <v>170</v>
      </c>
      <c r="C17" s="658"/>
      <c r="D17" s="658"/>
      <c r="E17" s="659"/>
      <c r="F17" s="655">
        <v>0</v>
      </c>
      <c r="G17" s="656">
        <f t="shared" si="0"/>
        <v>0</v>
      </c>
    </row>
    <row r="18" spans="1:15">
      <c r="A18" s="395">
        <v>9</v>
      </c>
      <c r="B18" s="652" t="s">
        <v>517</v>
      </c>
      <c r="C18" s="660"/>
      <c r="D18" s="660"/>
      <c r="E18" s="661"/>
      <c r="F18" s="655">
        <v>0</v>
      </c>
      <c r="G18" s="656">
        <f t="shared" si="0"/>
        <v>0</v>
      </c>
      <c r="I18" s="662"/>
    </row>
    <row r="19" spans="1:15">
      <c r="A19" s="395">
        <v>10</v>
      </c>
      <c r="B19" s="663" t="s">
        <v>171</v>
      </c>
      <c r="C19" s="664">
        <f>'A6-Divisor'!G16</f>
        <v>1.0819672131147542</v>
      </c>
      <c r="D19" s="665">
        <f>AVERAGE($F$11:$F$18)</f>
        <v>0</v>
      </c>
      <c r="E19" s="666">
        <f>C19*D19</f>
        <v>0</v>
      </c>
      <c r="F19" s="654"/>
      <c r="G19" s="667">
        <f>E19</f>
        <v>0</v>
      </c>
    </row>
    <row r="20" spans="1:15">
      <c r="A20" s="395">
        <v>11</v>
      </c>
      <c r="B20" s="663" t="s">
        <v>172</v>
      </c>
      <c r="C20" s="664">
        <f>'A6-Divisor'!G17</f>
        <v>0.95901639344262291</v>
      </c>
      <c r="D20" s="665">
        <f>AVERAGE($F$11:$F$18)</f>
        <v>0</v>
      </c>
      <c r="E20" s="666">
        <f>C20*D20</f>
        <v>0</v>
      </c>
      <c r="F20" s="659"/>
      <c r="G20" s="667">
        <f>E20</f>
        <v>0</v>
      </c>
    </row>
    <row r="21" spans="1:15">
      <c r="A21" s="395">
        <v>12</v>
      </c>
      <c r="B21" s="663" t="s">
        <v>173</v>
      </c>
      <c r="C21" s="664">
        <f>'A6-Divisor'!G18</f>
        <v>0.95901639344262291</v>
      </c>
      <c r="D21" s="665">
        <f>AVERAGE($F$11:$F$18)</f>
        <v>0</v>
      </c>
      <c r="E21" s="666">
        <f>C21*D21</f>
        <v>0</v>
      </c>
      <c r="F21" s="659"/>
      <c r="G21" s="667">
        <f>E21</f>
        <v>0</v>
      </c>
    </row>
    <row r="22" spans="1:15">
      <c r="A22" s="395">
        <v>13</v>
      </c>
      <c r="B22" s="663" t="s">
        <v>518</v>
      </c>
      <c r="C22" s="664">
        <f>'A6-Divisor'!G19</f>
        <v>1.0081967213114753</v>
      </c>
      <c r="D22" s="665">
        <f>AVERAGE($F$11:$F$18)</f>
        <v>0</v>
      </c>
      <c r="E22" s="666">
        <f>C22*D22</f>
        <v>0</v>
      </c>
      <c r="F22" s="659"/>
      <c r="G22" s="667">
        <f>E22</f>
        <v>0</v>
      </c>
    </row>
    <row r="23" spans="1:15">
      <c r="A23" s="395">
        <v>14</v>
      </c>
      <c r="B23" s="668" t="s">
        <v>9</v>
      </c>
      <c r="C23" s="669"/>
      <c r="D23" s="670"/>
      <c r="E23" s="670"/>
      <c r="F23" s="669"/>
      <c r="G23" s="671">
        <f>SUM(G11:G22)</f>
        <v>0</v>
      </c>
      <c r="L23" s="368"/>
    </row>
    <row r="24" spans="1:15">
      <c r="A24" s="395">
        <v>15</v>
      </c>
      <c r="B24" s="668" t="s">
        <v>253</v>
      </c>
      <c r="C24" s="669"/>
      <c r="D24" s="670"/>
      <c r="E24" s="670"/>
      <c r="F24" s="669"/>
      <c r="G24" s="672">
        <f>G23/12</f>
        <v>0</v>
      </c>
    </row>
    <row r="25" spans="1:15">
      <c r="A25" s="388"/>
      <c r="B25" s="388"/>
      <c r="C25" s="388"/>
      <c r="D25" s="388"/>
      <c r="E25" s="388"/>
      <c r="F25" s="388"/>
      <c r="G25" s="388"/>
    </row>
    <row r="26" spans="1:15">
      <c r="A26" s="388"/>
      <c r="B26" s="388"/>
      <c r="C26" s="388"/>
      <c r="D26" s="388"/>
      <c r="E26" s="388"/>
      <c r="F26" s="388"/>
      <c r="G26" s="388"/>
    </row>
    <row r="27" spans="1:15" ht="30" customHeight="1">
      <c r="A27" s="673" t="s">
        <v>519</v>
      </c>
      <c r="B27" s="1013" t="s">
        <v>802</v>
      </c>
      <c r="C27" s="1014"/>
      <c r="D27" s="1014"/>
      <c r="E27" s="1014"/>
      <c r="F27" s="1014"/>
      <c r="G27" s="1014"/>
      <c r="H27" s="674"/>
      <c r="I27" s="674"/>
      <c r="J27" s="674"/>
      <c r="K27" s="674"/>
      <c r="L27" s="674"/>
      <c r="M27" s="674"/>
      <c r="N27" s="674"/>
      <c r="O27" s="674"/>
    </row>
    <row r="28" spans="1:15">
      <c r="A28" s="388"/>
      <c r="B28" s="675" t="s">
        <v>803</v>
      </c>
      <c r="C28" s="676"/>
      <c r="D28" s="676"/>
      <c r="E28" s="676"/>
      <c r="F28" s="676"/>
      <c r="G28" s="676"/>
      <c r="H28" s="677"/>
      <c r="I28" s="677"/>
    </row>
    <row r="29" spans="1:15">
      <c r="A29" s="388"/>
      <c r="B29" s="390" t="s">
        <v>965</v>
      </c>
      <c r="C29" s="676"/>
      <c r="D29" s="676"/>
      <c r="E29" s="676"/>
      <c r="F29" s="676"/>
      <c r="G29" s="676"/>
      <c r="H29" s="677"/>
      <c r="I29" s="677"/>
    </row>
    <row r="30" spans="1:15" ht="17.25" customHeight="1">
      <c r="A30" s="388"/>
      <c r="B30" s="1015" t="s">
        <v>804</v>
      </c>
      <c r="C30" s="1016"/>
      <c r="D30" s="1016"/>
      <c r="E30" s="1016"/>
      <c r="F30" s="1016"/>
      <c r="G30" s="1016"/>
    </row>
    <row r="35" spans="2:4" ht="13.5">
      <c r="B35" s="388"/>
      <c r="C35" s="678"/>
      <c r="D35" s="388"/>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31" zoomScale="80" zoomScaleNormal="80" workbookViewId="0">
      <selection activeCell="F20" sqref="F20"/>
    </sheetView>
  </sheetViews>
  <sheetFormatPr defaultColWidth="8.69140625" defaultRowHeight="14"/>
  <cols>
    <col min="1" max="1" width="5.69140625" style="1" customWidth="1"/>
    <col min="2" max="2" width="9.69140625" style="33" customWidth="1"/>
    <col min="3" max="6" width="12.69140625" style="2" customWidth="1"/>
    <col min="7" max="7" width="3" style="33" customWidth="1"/>
    <col min="8" max="11" width="12.69140625" style="2" customWidth="1"/>
    <col min="12" max="12" width="15.23046875" style="2" bestFit="1" customWidth="1"/>
    <col min="13" max="15" width="12.69140625" style="2" customWidth="1"/>
    <col min="16" max="16" width="10.69140625" style="2" customWidth="1"/>
    <col min="17" max="17" width="8.69140625" style="4"/>
    <col min="18" max="16384" width="8.69140625" style="2"/>
  </cols>
  <sheetData>
    <row r="1" spans="1:19">
      <c r="A1" s="968" t="s">
        <v>728</v>
      </c>
      <c r="B1" s="968"/>
      <c r="C1" s="968"/>
      <c r="D1" s="968"/>
      <c r="E1" s="968"/>
      <c r="F1" s="968"/>
      <c r="G1" s="968"/>
      <c r="H1" s="968"/>
      <c r="I1" s="968"/>
      <c r="J1" s="968"/>
      <c r="K1" s="968"/>
      <c r="L1" s="968"/>
      <c r="M1" s="968"/>
      <c r="N1" s="968"/>
      <c r="O1" s="968"/>
    </row>
    <row r="2" spans="1:19">
      <c r="A2" s="990" t="s">
        <v>710</v>
      </c>
      <c r="B2" s="990"/>
      <c r="C2" s="990"/>
      <c r="D2" s="990"/>
      <c r="E2" s="990"/>
      <c r="F2" s="990"/>
      <c r="G2" s="990"/>
      <c r="H2" s="990"/>
      <c r="I2" s="990"/>
      <c r="J2" s="990"/>
      <c r="K2" s="990"/>
      <c r="L2" s="990"/>
      <c r="M2" s="990"/>
      <c r="N2" s="990"/>
      <c r="O2" s="990"/>
    </row>
    <row r="3" spans="1:19">
      <c r="A3" s="991" t="str">
        <f>'Act Att-H'!C7</f>
        <v>Cheyenne Light, Fuel &amp; Power</v>
      </c>
      <c r="B3" s="991"/>
      <c r="C3" s="991"/>
      <c r="D3" s="991"/>
      <c r="E3" s="991"/>
      <c r="F3" s="991"/>
      <c r="G3" s="991"/>
      <c r="H3" s="991"/>
      <c r="I3" s="991"/>
      <c r="J3" s="991"/>
      <c r="K3" s="991"/>
      <c r="L3" s="991"/>
      <c r="M3" s="991"/>
      <c r="N3" s="991"/>
      <c r="O3" s="991"/>
    </row>
    <row r="4" spans="1:19">
      <c r="A4" s="5"/>
      <c r="C4" s="6"/>
      <c r="D4" s="6"/>
      <c r="E4" s="6"/>
      <c r="F4" s="6"/>
      <c r="G4" s="441"/>
      <c r="H4" s="6"/>
      <c r="I4" s="6"/>
      <c r="J4" s="6"/>
      <c r="O4" s="8" t="s">
        <v>673</v>
      </c>
    </row>
    <row r="5" spans="1:19" ht="15" customHeight="1">
      <c r="A5" s="54"/>
      <c r="C5" s="56"/>
      <c r="D5" s="56"/>
      <c r="E5" s="56"/>
      <c r="F5" s="56"/>
      <c r="G5" s="442"/>
      <c r="I5" s="9"/>
      <c r="J5" s="9"/>
    </row>
    <row r="6" spans="1:19" s="406" customFormat="1">
      <c r="A6" s="449" t="s">
        <v>4</v>
      </c>
      <c r="B6" s="412"/>
      <c r="C6" s="412"/>
      <c r="D6" s="412"/>
      <c r="E6" s="412"/>
      <c r="F6" s="412"/>
      <c r="G6" s="443"/>
      <c r="H6" s="456" t="s">
        <v>694</v>
      </c>
      <c r="I6" s="745" t="s">
        <v>1030</v>
      </c>
      <c r="P6" s="2"/>
      <c r="Q6" s="4"/>
      <c r="R6" s="2"/>
      <c r="S6" s="2"/>
    </row>
    <row r="7" spans="1:19" s="406" customFormat="1">
      <c r="A7" s="446">
        <v>1</v>
      </c>
      <c r="B7" s="419"/>
      <c r="C7" s="1017"/>
      <c r="D7" s="1017"/>
      <c r="E7" s="1017"/>
      <c r="F7" s="1017"/>
      <c r="G7" s="443"/>
      <c r="H7" s="407" t="s">
        <v>687</v>
      </c>
      <c r="I7" s="433" t="s">
        <v>695</v>
      </c>
      <c r="J7" s="433"/>
      <c r="K7" s="462"/>
      <c r="L7" s="407" t="s">
        <v>687</v>
      </c>
      <c r="M7" s="433" t="s">
        <v>697</v>
      </c>
      <c r="N7" s="433"/>
      <c r="O7" s="462"/>
      <c r="P7" s="2"/>
      <c r="Q7" s="4"/>
      <c r="R7" s="2"/>
      <c r="S7" s="2"/>
    </row>
    <row r="8" spans="1:19" s="406" customFormat="1">
      <c r="A8" s="446">
        <f>A7+1</f>
        <v>2</v>
      </c>
      <c r="B8" s="412"/>
      <c r="C8" s="412"/>
      <c r="D8" s="412"/>
      <c r="E8" s="412"/>
      <c r="F8" s="412"/>
      <c r="G8" s="443"/>
      <c r="H8" s="408" t="s">
        <v>696</v>
      </c>
      <c r="I8" s="434" t="s">
        <v>688</v>
      </c>
      <c r="J8" s="434"/>
      <c r="K8" s="410"/>
      <c r="L8" s="408" t="s">
        <v>696</v>
      </c>
      <c r="M8" s="434" t="s">
        <v>688</v>
      </c>
      <c r="N8" s="434"/>
      <c r="O8" s="410"/>
      <c r="P8" s="2"/>
      <c r="Q8" s="4"/>
      <c r="R8" s="2"/>
      <c r="S8" s="2"/>
    </row>
    <row r="9" spans="1:19" s="406" customFormat="1">
      <c r="A9" s="446">
        <f t="shared" ref="A9:A14" si="0">A8+1</f>
        <v>3</v>
      </c>
      <c r="B9" s="419"/>
      <c r="C9" s="1017"/>
      <c r="D9" s="1017"/>
      <c r="E9" s="1017"/>
      <c r="F9" s="1017"/>
      <c r="G9" s="443"/>
      <c r="H9" s="411" t="s">
        <v>714</v>
      </c>
      <c r="I9" s="435">
        <v>0</v>
      </c>
      <c r="J9" s="435"/>
      <c r="K9" s="413" t="s">
        <v>636</v>
      </c>
      <c r="L9" s="411" t="s">
        <v>714</v>
      </c>
      <c r="M9" s="435">
        <v>0</v>
      </c>
      <c r="N9" s="435"/>
      <c r="O9" s="413" t="s">
        <v>636</v>
      </c>
      <c r="P9" s="2"/>
      <c r="Q9" s="4"/>
      <c r="R9" s="2"/>
      <c r="S9" s="2"/>
    </row>
    <row r="10" spans="1:19" s="406" customFormat="1">
      <c r="A10" s="446">
        <f t="shared" si="0"/>
        <v>4</v>
      </c>
      <c r="B10" s="412"/>
      <c r="C10" s="412"/>
      <c r="D10" s="412"/>
      <c r="E10" s="412"/>
      <c r="F10" s="412"/>
      <c r="G10" s="443"/>
      <c r="H10" s="411" t="s">
        <v>690</v>
      </c>
      <c r="I10" s="435">
        <v>0</v>
      </c>
      <c r="J10" s="435"/>
      <c r="K10" s="413" t="s">
        <v>700</v>
      </c>
      <c r="L10" s="411" t="s">
        <v>690</v>
      </c>
      <c r="M10" s="435">
        <v>0</v>
      </c>
      <c r="N10" s="435"/>
      <c r="O10" s="413" t="s">
        <v>700</v>
      </c>
      <c r="P10" s="2"/>
      <c r="Q10" s="4"/>
      <c r="R10" s="2"/>
      <c r="S10" s="2"/>
    </row>
    <row r="11" spans="1:19" s="406" customFormat="1">
      <c r="A11" s="446">
        <f t="shared" si="0"/>
        <v>5</v>
      </c>
      <c r="B11" s="419"/>
      <c r="C11" s="1017"/>
      <c r="D11" s="1017"/>
      <c r="E11" s="1017"/>
      <c r="F11" s="1017"/>
      <c r="G11" s="443"/>
      <c r="H11" s="411" t="s">
        <v>713</v>
      </c>
      <c r="I11" s="414">
        <f>I10*'Act Att-H'!E214</f>
        <v>0</v>
      </c>
      <c r="J11" s="414"/>
      <c r="K11" s="413"/>
      <c r="L11" s="411" t="s">
        <v>713</v>
      </c>
      <c r="M11" s="414">
        <f>M10*'Act Att-H'!E214</f>
        <v>0</v>
      </c>
      <c r="N11" s="414"/>
      <c r="O11" s="413"/>
      <c r="P11" s="2"/>
      <c r="Q11" s="4"/>
      <c r="R11" s="2"/>
      <c r="S11" s="2"/>
    </row>
    <row r="12" spans="1:19" s="406" customFormat="1">
      <c r="A12" s="446">
        <f t="shared" si="0"/>
        <v>6</v>
      </c>
      <c r="B12" s="412"/>
      <c r="C12" s="412"/>
      <c r="D12" s="412"/>
      <c r="E12" s="412"/>
      <c r="F12" s="412"/>
      <c r="G12" s="443"/>
      <c r="H12" s="411" t="s">
        <v>691</v>
      </c>
      <c r="I12" s="437"/>
      <c r="J12" s="437"/>
      <c r="K12" s="413"/>
      <c r="L12" s="411" t="s">
        <v>691</v>
      </c>
      <c r="M12" s="437"/>
      <c r="N12" s="437"/>
      <c r="O12" s="413"/>
      <c r="P12" s="2"/>
      <c r="Q12" s="4"/>
      <c r="R12" s="2"/>
      <c r="S12" s="2"/>
    </row>
    <row r="13" spans="1:19" s="406" customFormat="1">
      <c r="A13" s="446">
        <f t="shared" si="0"/>
        <v>7</v>
      </c>
      <c r="B13" s="419"/>
      <c r="C13" s="1017"/>
      <c r="D13" s="1017"/>
      <c r="E13" s="1017"/>
      <c r="F13" s="1017"/>
      <c r="G13" s="443"/>
      <c r="H13" s="411"/>
      <c r="I13" s="6"/>
      <c r="J13" s="6"/>
      <c r="K13" s="413"/>
      <c r="L13" s="411"/>
      <c r="M13" s="6"/>
      <c r="N13" s="6"/>
      <c r="O13" s="413"/>
      <c r="P13" s="2"/>
      <c r="Q13" s="4"/>
      <c r="R13" s="2"/>
      <c r="S13" s="2"/>
    </row>
    <row r="14" spans="1:19" s="406" customFormat="1">
      <c r="A14" s="446">
        <f t="shared" si="0"/>
        <v>8</v>
      </c>
      <c r="B14" s="443"/>
      <c r="C14" s="989" t="s">
        <v>9</v>
      </c>
      <c r="D14" s="989"/>
      <c r="E14" s="989"/>
      <c r="F14" s="989"/>
      <c r="G14" s="443"/>
      <c r="H14" s="411"/>
      <c r="I14" s="6"/>
      <c r="J14" s="6"/>
      <c r="K14" s="413"/>
      <c r="L14" s="411"/>
      <c r="M14" s="6"/>
      <c r="N14" s="6"/>
      <c r="O14" s="413"/>
      <c r="P14" s="2"/>
      <c r="Q14" s="4"/>
      <c r="R14" s="2"/>
      <c r="S14" s="2"/>
    </row>
    <row r="15" spans="1:19" s="406" customFormat="1">
      <c r="A15" s="446"/>
      <c r="B15" s="443"/>
      <c r="G15" s="443"/>
      <c r="H15" s="411"/>
      <c r="I15" s="6"/>
      <c r="J15" s="6"/>
      <c r="K15" s="413"/>
      <c r="L15" s="411"/>
      <c r="M15" s="6"/>
      <c r="N15" s="6"/>
      <c r="O15" s="413"/>
      <c r="P15" s="2"/>
      <c r="Q15" s="4"/>
      <c r="R15" s="2"/>
      <c r="S15" s="2"/>
    </row>
    <row r="16" spans="1:19" s="406" customFormat="1">
      <c r="A16" s="443"/>
      <c r="B16" s="440" t="s">
        <v>712</v>
      </c>
      <c r="C16" s="440" t="s">
        <v>485</v>
      </c>
      <c r="D16" s="440" t="s">
        <v>486</v>
      </c>
      <c r="E16" s="440" t="s">
        <v>487</v>
      </c>
      <c r="F16" s="440" t="s">
        <v>707</v>
      </c>
      <c r="G16" s="443"/>
      <c r="H16" s="458" t="s">
        <v>485</v>
      </c>
      <c r="I16" s="440" t="s">
        <v>486</v>
      </c>
      <c r="J16" s="440" t="s">
        <v>487</v>
      </c>
      <c r="K16" s="463" t="s">
        <v>693</v>
      </c>
      <c r="L16" s="458" t="s">
        <v>485</v>
      </c>
      <c r="M16" s="440" t="s">
        <v>486</v>
      </c>
      <c r="N16" s="440" t="s">
        <v>487</v>
      </c>
      <c r="O16" s="463" t="s">
        <v>693</v>
      </c>
      <c r="P16" s="2"/>
      <c r="Q16" s="4"/>
      <c r="R16" s="2"/>
      <c r="S16" s="2"/>
    </row>
    <row r="17" spans="1:19" s="406" customFormat="1">
      <c r="A17" s="443"/>
      <c r="B17" s="416" t="s">
        <v>157</v>
      </c>
      <c r="C17" s="416" t="s">
        <v>158</v>
      </c>
      <c r="D17" s="416" t="s">
        <v>703</v>
      </c>
      <c r="E17" s="416" t="s">
        <v>704</v>
      </c>
      <c r="F17" s="416" t="s">
        <v>705</v>
      </c>
      <c r="G17" s="416"/>
      <c r="H17" s="459" t="s">
        <v>715</v>
      </c>
      <c r="I17" s="416" t="s">
        <v>716</v>
      </c>
      <c r="J17" s="416" t="s">
        <v>717</v>
      </c>
      <c r="K17" s="415" t="s">
        <v>718</v>
      </c>
      <c r="L17" s="459" t="s">
        <v>719</v>
      </c>
      <c r="M17" s="416" t="s">
        <v>720</v>
      </c>
      <c r="N17" s="416" t="s">
        <v>721</v>
      </c>
      <c r="O17" s="415" t="s">
        <v>722</v>
      </c>
      <c r="P17" s="2"/>
      <c r="Q17" s="4"/>
      <c r="R17" s="2"/>
      <c r="S17" s="2"/>
    </row>
    <row r="18" spans="1:19" s="406" customFormat="1">
      <c r="A18" s="432"/>
      <c r="B18" s="443"/>
      <c r="G18" s="443"/>
      <c r="H18" s="438">
        <f>I12</f>
        <v>0</v>
      </c>
      <c r="I18" s="419"/>
      <c r="J18" s="419"/>
      <c r="K18" s="420"/>
      <c r="L18" s="438">
        <f>M12</f>
        <v>0</v>
      </c>
      <c r="M18" s="419"/>
      <c r="N18" s="419"/>
      <c r="O18" s="420"/>
      <c r="P18" s="2"/>
      <c r="Q18" s="4"/>
      <c r="R18" s="2"/>
      <c r="S18" s="2"/>
    </row>
    <row r="19" spans="1:19" s="406" customFormat="1">
      <c r="A19" s="444">
        <f>A14+1</f>
        <v>9</v>
      </c>
      <c r="B19" s="379" t="s">
        <v>1223</v>
      </c>
      <c r="C19" s="421">
        <f>+H19+L19</f>
        <v>0</v>
      </c>
      <c r="D19" s="421">
        <f t="shared" ref="D19:E19" si="1">+I19+M19</f>
        <v>0</v>
      </c>
      <c r="E19" s="421">
        <f t="shared" si="1"/>
        <v>0</v>
      </c>
      <c r="F19" s="457"/>
      <c r="G19" s="444"/>
      <c r="H19" s="438">
        <f>H18</f>
        <v>0</v>
      </c>
      <c r="I19" s="854">
        <f>H19*I$9</f>
        <v>0</v>
      </c>
      <c r="J19" s="854">
        <f>I19</f>
        <v>0</v>
      </c>
      <c r="K19" s="423">
        <f>+H19-J19</f>
        <v>0</v>
      </c>
      <c r="L19" s="438">
        <f>L18</f>
        <v>0</v>
      </c>
      <c r="M19" s="854">
        <f>L19*M$9</f>
        <v>0</v>
      </c>
      <c r="N19" s="854">
        <f>M19</f>
        <v>0</v>
      </c>
      <c r="O19" s="423">
        <f>+L19-N19</f>
        <v>0</v>
      </c>
      <c r="P19" s="2"/>
      <c r="Q19" s="4"/>
      <c r="R19" s="2"/>
      <c r="S19" s="2"/>
    </row>
    <row r="20" spans="1:19" s="406" customFormat="1">
      <c r="A20" s="444">
        <f t="shared" ref="A20:A42" si="2">A19+1</f>
        <v>10</v>
      </c>
      <c r="B20" s="379" t="s">
        <v>1223</v>
      </c>
      <c r="C20" s="421">
        <f t="shared" ref="C20:C42" si="3">+H20+L20</f>
        <v>0</v>
      </c>
      <c r="D20" s="421">
        <f t="shared" ref="D20:D42" si="4">+I20+M20</f>
        <v>0</v>
      </c>
      <c r="E20" s="421">
        <f t="shared" ref="E20:E42" si="5">+J20+N20</f>
        <v>0</v>
      </c>
      <c r="F20" s="457"/>
      <c r="G20" s="444"/>
      <c r="H20" s="438">
        <v>0</v>
      </c>
      <c r="I20" s="854">
        <f t="shared" ref="I20:I42" si="6">H20*I$9</f>
        <v>0</v>
      </c>
      <c r="J20" s="854">
        <f>J19+I20</f>
        <v>0</v>
      </c>
      <c r="K20" s="423">
        <f>+H20-J20</f>
        <v>0</v>
      </c>
      <c r="L20" s="438">
        <v>0</v>
      </c>
      <c r="M20" s="854">
        <f t="shared" ref="M20:M42" si="7">L20*M$9</f>
        <v>0</v>
      </c>
      <c r="N20" s="854">
        <f>N19+M20</f>
        <v>0</v>
      </c>
      <c r="O20" s="423">
        <f>+L20-N20</f>
        <v>0</v>
      </c>
      <c r="P20" s="2"/>
      <c r="Q20" s="4"/>
      <c r="R20" s="2"/>
      <c r="S20" s="2"/>
    </row>
    <row r="21" spans="1:19" s="406" customFormat="1">
      <c r="A21" s="444">
        <f t="shared" si="2"/>
        <v>11</v>
      </c>
      <c r="B21" s="379" t="s">
        <v>1223</v>
      </c>
      <c r="C21" s="421">
        <f t="shared" si="3"/>
        <v>0</v>
      </c>
      <c r="D21" s="421">
        <f t="shared" si="4"/>
        <v>0</v>
      </c>
      <c r="E21" s="421">
        <f t="shared" si="5"/>
        <v>0</v>
      </c>
      <c r="F21" s="457"/>
      <c r="G21" s="444"/>
      <c r="H21" s="438">
        <v>0</v>
      </c>
      <c r="I21" s="854">
        <f t="shared" si="6"/>
        <v>0</v>
      </c>
      <c r="J21" s="854">
        <f t="shared" ref="J21:J42" si="8">J20+I21</f>
        <v>0</v>
      </c>
      <c r="K21" s="423">
        <f t="shared" ref="K21:K42" si="9">+H21-J21</f>
        <v>0</v>
      </c>
      <c r="L21" s="438">
        <v>0</v>
      </c>
      <c r="M21" s="854">
        <f t="shared" si="7"/>
        <v>0</v>
      </c>
      <c r="N21" s="854">
        <f t="shared" ref="N21:N42" si="10">N20+M21</f>
        <v>0</v>
      </c>
      <c r="O21" s="423">
        <f t="shared" ref="O21:O42" si="11">+L21-N21</f>
        <v>0</v>
      </c>
      <c r="P21" s="2"/>
      <c r="Q21" s="4"/>
      <c r="R21" s="2"/>
      <c r="S21" s="2"/>
    </row>
    <row r="22" spans="1:19" s="406" customFormat="1">
      <c r="A22" s="444">
        <f t="shared" si="2"/>
        <v>12</v>
      </c>
      <c r="B22" s="379" t="s">
        <v>1223</v>
      </c>
      <c r="C22" s="421">
        <f t="shared" si="3"/>
        <v>0</v>
      </c>
      <c r="D22" s="421">
        <f t="shared" si="4"/>
        <v>0</v>
      </c>
      <c r="E22" s="421">
        <f t="shared" si="5"/>
        <v>0</v>
      </c>
      <c r="F22" s="457"/>
      <c r="G22" s="444"/>
      <c r="H22" s="438">
        <v>0</v>
      </c>
      <c r="I22" s="854">
        <f t="shared" si="6"/>
        <v>0</v>
      </c>
      <c r="J22" s="854">
        <f t="shared" si="8"/>
        <v>0</v>
      </c>
      <c r="K22" s="423">
        <f t="shared" si="9"/>
        <v>0</v>
      </c>
      <c r="L22" s="438">
        <v>0</v>
      </c>
      <c r="M22" s="854">
        <f t="shared" si="7"/>
        <v>0</v>
      </c>
      <c r="N22" s="854">
        <f t="shared" si="10"/>
        <v>0</v>
      </c>
      <c r="O22" s="423">
        <f t="shared" si="11"/>
        <v>0</v>
      </c>
      <c r="P22" s="2"/>
      <c r="Q22" s="4"/>
      <c r="R22" s="2"/>
      <c r="S22" s="2"/>
    </row>
    <row r="23" spans="1:19" s="406" customFormat="1">
      <c r="A23" s="444">
        <f t="shared" si="2"/>
        <v>13</v>
      </c>
      <c r="B23" s="379" t="s">
        <v>1223</v>
      </c>
      <c r="C23" s="421">
        <f t="shared" si="3"/>
        <v>0</v>
      </c>
      <c r="D23" s="421">
        <f t="shared" si="4"/>
        <v>0</v>
      </c>
      <c r="E23" s="421">
        <f t="shared" si="5"/>
        <v>0</v>
      </c>
      <c r="F23" s="457"/>
      <c r="G23" s="444"/>
      <c r="H23" s="438">
        <v>0</v>
      </c>
      <c r="I23" s="854">
        <f t="shared" si="6"/>
        <v>0</v>
      </c>
      <c r="J23" s="854">
        <f t="shared" si="8"/>
        <v>0</v>
      </c>
      <c r="K23" s="423">
        <f t="shared" si="9"/>
        <v>0</v>
      </c>
      <c r="L23" s="438">
        <v>0</v>
      </c>
      <c r="M23" s="854">
        <f t="shared" si="7"/>
        <v>0</v>
      </c>
      <c r="N23" s="854">
        <f t="shared" si="10"/>
        <v>0</v>
      </c>
      <c r="O23" s="423">
        <f t="shared" si="11"/>
        <v>0</v>
      </c>
      <c r="P23" s="2"/>
      <c r="Q23" s="4"/>
      <c r="R23" s="2"/>
      <c r="S23" s="2"/>
    </row>
    <row r="24" spans="1:19" s="406" customFormat="1">
      <c r="A24" s="444">
        <f t="shared" si="2"/>
        <v>14</v>
      </c>
      <c r="B24" s="379" t="s">
        <v>1223</v>
      </c>
      <c r="C24" s="421">
        <f t="shared" si="3"/>
        <v>0</v>
      </c>
      <c r="D24" s="421">
        <f t="shared" si="4"/>
        <v>0</v>
      </c>
      <c r="E24" s="421">
        <f t="shared" si="5"/>
        <v>0</v>
      </c>
      <c r="F24" s="457"/>
      <c r="G24" s="444"/>
      <c r="H24" s="438">
        <v>0</v>
      </c>
      <c r="I24" s="854">
        <f t="shared" si="6"/>
        <v>0</v>
      </c>
      <c r="J24" s="854">
        <f t="shared" si="8"/>
        <v>0</v>
      </c>
      <c r="K24" s="423">
        <f t="shared" si="9"/>
        <v>0</v>
      </c>
      <c r="L24" s="438">
        <v>0</v>
      </c>
      <c r="M24" s="854">
        <f t="shared" si="7"/>
        <v>0</v>
      </c>
      <c r="N24" s="854">
        <f t="shared" si="10"/>
        <v>0</v>
      </c>
      <c r="O24" s="423">
        <f t="shared" si="11"/>
        <v>0</v>
      </c>
      <c r="P24" s="2"/>
      <c r="Q24" s="4"/>
      <c r="R24" s="2"/>
      <c r="S24" s="2"/>
    </row>
    <row r="25" spans="1:19" s="406" customFormat="1">
      <c r="A25" s="444">
        <f t="shared" si="2"/>
        <v>15</v>
      </c>
      <c r="B25" s="379" t="s">
        <v>1223</v>
      </c>
      <c r="C25" s="421">
        <f t="shared" si="3"/>
        <v>0</v>
      </c>
      <c r="D25" s="421">
        <f t="shared" si="4"/>
        <v>0</v>
      </c>
      <c r="E25" s="421">
        <f t="shared" si="5"/>
        <v>0</v>
      </c>
      <c r="F25" s="457"/>
      <c r="G25" s="444"/>
      <c r="H25" s="438">
        <v>0</v>
      </c>
      <c r="I25" s="854">
        <f t="shared" si="6"/>
        <v>0</v>
      </c>
      <c r="J25" s="854">
        <f t="shared" si="8"/>
        <v>0</v>
      </c>
      <c r="K25" s="423">
        <f t="shared" si="9"/>
        <v>0</v>
      </c>
      <c r="L25" s="438">
        <v>0</v>
      </c>
      <c r="M25" s="854">
        <f t="shared" si="7"/>
        <v>0</v>
      </c>
      <c r="N25" s="854">
        <f t="shared" si="10"/>
        <v>0</v>
      </c>
      <c r="O25" s="423">
        <f t="shared" si="11"/>
        <v>0</v>
      </c>
      <c r="P25" s="2"/>
      <c r="Q25" s="4"/>
      <c r="R25" s="2"/>
      <c r="S25" s="2"/>
    </row>
    <row r="26" spans="1:19" s="406" customFormat="1">
      <c r="A26" s="444">
        <f t="shared" si="2"/>
        <v>16</v>
      </c>
      <c r="B26" s="379" t="s">
        <v>1223</v>
      </c>
      <c r="C26" s="421">
        <f t="shared" si="3"/>
        <v>0</v>
      </c>
      <c r="D26" s="421">
        <f t="shared" si="4"/>
        <v>0</v>
      </c>
      <c r="E26" s="421">
        <f t="shared" si="5"/>
        <v>0</v>
      </c>
      <c r="F26" s="457"/>
      <c r="G26" s="444"/>
      <c r="H26" s="438">
        <v>0</v>
      </c>
      <c r="I26" s="854">
        <f t="shared" si="6"/>
        <v>0</v>
      </c>
      <c r="J26" s="854">
        <f t="shared" si="8"/>
        <v>0</v>
      </c>
      <c r="K26" s="423">
        <f t="shared" si="9"/>
        <v>0</v>
      </c>
      <c r="L26" s="438">
        <v>0</v>
      </c>
      <c r="M26" s="854">
        <f t="shared" si="7"/>
        <v>0</v>
      </c>
      <c r="N26" s="854">
        <f t="shared" si="10"/>
        <v>0</v>
      </c>
      <c r="O26" s="423">
        <f t="shared" si="11"/>
        <v>0</v>
      </c>
      <c r="P26" s="2"/>
      <c r="Q26" s="4"/>
      <c r="R26" s="2"/>
      <c r="S26" s="2"/>
    </row>
    <row r="27" spans="1:19" s="406" customFormat="1">
      <c r="A27" s="444">
        <f t="shared" si="2"/>
        <v>17</v>
      </c>
      <c r="B27" s="379" t="s">
        <v>1223</v>
      </c>
      <c r="C27" s="421">
        <f t="shared" si="3"/>
        <v>0</v>
      </c>
      <c r="D27" s="421">
        <f t="shared" si="4"/>
        <v>0</v>
      </c>
      <c r="E27" s="421">
        <f t="shared" si="5"/>
        <v>0</v>
      </c>
      <c r="F27" s="457"/>
      <c r="G27" s="444"/>
      <c r="H27" s="438">
        <v>0</v>
      </c>
      <c r="I27" s="854">
        <f t="shared" si="6"/>
        <v>0</v>
      </c>
      <c r="J27" s="854">
        <f t="shared" si="8"/>
        <v>0</v>
      </c>
      <c r="K27" s="423">
        <f t="shared" si="9"/>
        <v>0</v>
      </c>
      <c r="L27" s="438">
        <v>0</v>
      </c>
      <c r="M27" s="854">
        <f t="shared" si="7"/>
        <v>0</v>
      </c>
      <c r="N27" s="854">
        <f t="shared" si="10"/>
        <v>0</v>
      </c>
      <c r="O27" s="423">
        <f t="shared" si="11"/>
        <v>0</v>
      </c>
      <c r="P27" s="2"/>
      <c r="Q27" s="4"/>
      <c r="R27" s="2"/>
      <c r="S27" s="2"/>
    </row>
    <row r="28" spans="1:19" s="406" customFormat="1">
      <c r="A28" s="444">
        <f t="shared" si="2"/>
        <v>18</v>
      </c>
      <c r="B28" s="379" t="s">
        <v>1223</v>
      </c>
      <c r="C28" s="421">
        <f t="shared" si="3"/>
        <v>0</v>
      </c>
      <c r="D28" s="421">
        <f t="shared" si="4"/>
        <v>0</v>
      </c>
      <c r="E28" s="421">
        <f t="shared" si="5"/>
        <v>0</v>
      </c>
      <c r="F28" s="457"/>
      <c r="G28" s="444"/>
      <c r="H28" s="438">
        <v>0</v>
      </c>
      <c r="I28" s="854">
        <f t="shared" si="6"/>
        <v>0</v>
      </c>
      <c r="J28" s="854">
        <f t="shared" si="8"/>
        <v>0</v>
      </c>
      <c r="K28" s="423">
        <f t="shared" si="9"/>
        <v>0</v>
      </c>
      <c r="L28" s="438">
        <v>0</v>
      </c>
      <c r="M28" s="854">
        <f t="shared" si="7"/>
        <v>0</v>
      </c>
      <c r="N28" s="854">
        <f t="shared" si="10"/>
        <v>0</v>
      </c>
      <c r="O28" s="423">
        <f t="shared" si="11"/>
        <v>0</v>
      </c>
      <c r="P28" s="2"/>
      <c r="Q28" s="4"/>
      <c r="R28" s="2"/>
      <c r="S28" s="2"/>
    </row>
    <row r="29" spans="1:19" s="406" customFormat="1">
      <c r="A29" s="444">
        <f t="shared" si="2"/>
        <v>19</v>
      </c>
      <c r="B29" s="379" t="s">
        <v>1223</v>
      </c>
      <c r="C29" s="421">
        <f t="shared" si="3"/>
        <v>0</v>
      </c>
      <c r="D29" s="421">
        <f t="shared" si="4"/>
        <v>0</v>
      </c>
      <c r="E29" s="421">
        <f t="shared" si="5"/>
        <v>0</v>
      </c>
      <c r="F29" s="457"/>
      <c r="G29" s="444"/>
      <c r="H29" s="438">
        <v>0</v>
      </c>
      <c r="I29" s="854">
        <f t="shared" si="6"/>
        <v>0</v>
      </c>
      <c r="J29" s="854">
        <f t="shared" si="8"/>
        <v>0</v>
      </c>
      <c r="K29" s="423">
        <f t="shared" si="9"/>
        <v>0</v>
      </c>
      <c r="L29" s="438">
        <v>0</v>
      </c>
      <c r="M29" s="854">
        <f t="shared" si="7"/>
        <v>0</v>
      </c>
      <c r="N29" s="854">
        <f t="shared" si="10"/>
        <v>0</v>
      </c>
      <c r="O29" s="423">
        <f t="shared" si="11"/>
        <v>0</v>
      </c>
      <c r="P29" s="2"/>
      <c r="Q29" s="4"/>
      <c r="R29" s="2"/>
      <c r="S29" s="2"/>
    </row>
    <row r="30" spans="1:19" s="406" customFormat="1">
      <c r="A30" s="444">
        <f t="shared" si="2"/>
        <v>20</v>
      </c>
      <c r="B30" s="379" t="s">
        <v>1223</v>
      </c>
      <c r="C30" s="421">
        <f t="shared" si="3"/>
        <v>0</v>
      </c>
      <c r="D30" s="421">
        <f t="shared" si="4"/>
        <v>0</v>
      </c>
      <c r="E30" s="421">
        <f t="shared" si="5"/>
        <v>0</v>
      </c>
      <c r="F30" s="457"/>
      <c r="G30" s="444"/>
      <c r="H30" s="438">
        <v>0</v>
      </c>
      <c r="I30" s="854">
        <f t="shared" si="6"/>
        <v>0</v>
      </c>
      <c r="J30" s="854">
        <f t="shared" si="8"/>
        <v>0</v>
      </c>
      <c r="K30" s="423">
        <f t="shared" si="9"/>
        <v>0</v>
      </c>
      <c r="L30" s="438">
        <v>0</v>
      </c>
      <c r="M30" s="854">
        <f t="shared" si="7"/>
        <v>0</v>
      </c>
      <c r="N30" s="854">
        <f t="shared" si="10"/>
        <v>0</v>
      </c>
      <c r="O30" s="423">
        <f t="shared" si="11"/>
        <v>0</v>
      </c>
      <c r="P30" s="2"/>
      <c r="Q30" s="4"/>
      <c r="R30" s="2"/>
      <c r="S30" s="2"/>
    </row>
    <row r="31" spans="1:19" s="406" customFormat="1">
      <c r="A31" s="444">
        <f t="shared" si="2"/>
        <v>21</v>
      </c>
      <c r="B31" s="379" t="s">
        <v>1223</v>
      </c>
      <c r="C31" s="421">
        <f t="shared" si="3"/>
        <v>0</v>
      </c>
      <c r="D31" s="421">
        <f t="shared" si="4"/>
        <v>0</v>
      </c>
      <c r="E31" s="421">
        <f t="shared" si="5"/>
        <v>0</v>
      </c>
      <c r="F31" s="457"/>
      <c r="G31" s="444"/>
      <c r="H31" s="438">
        <v>0</v>
      </c>
      <c r="I31" s="854">
        <f t="shared" si="6"/>
        <v>0</v>
      </c>
      <c r="J31" s="854">
        <f t="shared" si="8"/>
        <v>0</v>
      </c>
      <c r="K31" s="423">
        <f t="shared" si="9"/>
        <v>0</v>
      </c>
      <c r="L31" s="438">
        <v>0</v>
      </c>
      <c r="M31" s="854">
        <f t="shared" si="7"/>
        <v>0</v>
      </c>
      <c r="N31" s="854">
        <f t="shared" si="10"/>
        <v>0</v>
      </c>
      <c r="O31" s="423">
        <f t="shared" si="11"/>
        <v>0</v>
      </c>
      <c r="P31" s="2"/>
      <c r="Q31" s="4"/>
      <c r="R31" s="2"/>
      <c r="S31" s="2"/>
    </row>
    <row r="32" spans="1:19" s="406" customFormat="1">
      <c r="A32" s="444">
        <f t="shared" si="2"/>
        <v>22</v>
      </c>
      <c r="B32" s="379" t="s">
        <v>1223</v>
      </c>
      <c r="C32" s="421">
        <f t="shared" si="3"/>
        <v>0</v>
      </c>
      <c r="D32" s="421">
        <f t="shared" si="4"/>
        <v>0</v>
      </c>
      <c r="E32" s="421">
        <f t="shared" si="5"/>
        <v>0</v>
      </c>
      <c r="F32" s="457"/>
      <c r="G32" s="444"/>
      <c r="H32" s="438">
        <v>0</v>
      </c>
      <c r="I32" s="854">
        <f t="shared" si="6"/>
        <v>0</v>
      </c>
      <c r="J32" s="854">
        <f t="shared" si="8"/>
        <v>0</v>
      </c>
      <c r="K32" s="423">
        <f t="shared" si="9"/>
        <v>0</v>
      </c>
      <c r="L32" s="438">
        <v>0</v>
      </c>
      <c r="M32" s="854">
        <f t="shared" si="7"/>
        <v>0</v>
      </c>
      <c r="N32" s="854">
        <f t="shared" si="10"/>
        <v>0</v>
      </c>
      <c r="O32" s="423">
        <f t="shared" si="11"/>
        <v>0</v>
      </c>
      <c r="P32" s="2"/>
      <c r="Q32" s="4"/>
      <c r="R32" s="2"/>
      <c r="S32" s="2"/>
    </row>
    <row r="33" spans="1:19" s="406" customFormat="1">
      <c r="A33" s="444">
        <f t="shared" si="2"/>
        <v>23</v>
      </c>
      <c r="B33" s="379" t="s">
        <v>1223</v>
      </c>
      <c r="C33" s="421">
        <f t="shared" si="3"/>
        <v>0</v>
      </c>
      <c r="D33" s="421">
        <f t="shared" si="4"/>
        <v>0</v>
      </c>
      <c r="E33" s="421">
        <f t="shared" si="5"/>
        <v>0</v>
      </c>
      <c r="F33" s="457"/>
      <c r="G33" s="444"/>
      <c r="H33" s="438">
        <v>0</v>
      </c>
      <c r="I33" s="854">
        <f t="shared" si="6"/>
        <v>0</v>
      </c>
      <c r="J33" s="854">
        <f t="shared" si="8"/>
        <v>0</v>
      </c>
      <c r="K33" s="423">
        <f t="shared" si="9"/>
        <v>0</v>
      </c>
      <c r="L33" s="438">
        <v>0</v>
      </c>
      <c r="M33" s="854">
        <f t="shared" si="7"/>
        <v>0</v>
      </c>
      <c r="N33" s="854">
        <f t="shared" si="10"/>
        <v>0</v>
      </c>
      <c r="O33" s="423">
        <f t="shared" si="11"/>
        <v>0</v>
      </c>
      <c r="P33" s="2"/>
      <c r="Q33" s="4"/>
      <c r="R33" s="2"/>
      <c r="S33" s="2"/>
    </row>
    <row r="34" spans="1:19" s="406" customFormat="1">
      <c r="A34" s="444">
        <f t="shared" si="2"/>
        <v>24</v>
      </c>
      <c r="B34" s="379" t="s">
        <v>1223</v>
      </c>
      <c r="C34" s="421">
        <f t="shared" si="3"/>
        <v>0</v>
      </c>
      <c r="D34" s="421">
        <f t="shared" si="4"/>
        <v>0</v>
      </c>
      <c r="E34" s="421">
        <f t="shared" si="5"/>
        <v>0</v>
      </c>
      <c r="F34" s="457"/>
      <c r="G34" s="444"/>
      <c r="H34" s="438">
        <v>0</v>
      </c>
      <c r="I34" s="854">
        <f t="shared" si="6"/>
        <v>0</v>
      </c>
      <c r="J34" s="854">
        <f t="shared" si="8"/>
        <v>0</v>
      </c>
      <c r="K34" s="423">
        <f t="shared" si="9"/>
        <v>0</v>
      </c>
      <c r="L34" s="438">
        <v>0</v>
      </c>
      <c r="M34" s="854">
        <f t="shared" si="7"/>
        <v>0</v>
      </c>
      <c r="N34" s="854">
        <f t="shared" si="10"/>
        <v>0</v>
      </c>
      <c r="O34" s="423">
        <f t="shared" si="11"/>
        <v>0</v>
      </c>
      <c r="P34" s="2"/>
      <c r="Q34" s="4"/>
      <c r="R34" s="2"/>
      <c r="S34" s="2"/>
    </row>
    <row r="35" spans="1:19" s="406" customFormat="1">
      <c r="A35" s="444">
        <f t="shared" si="2"/>
        <v>25</v>
      </c>
      <c r="B35" s="379" t="s">
        <v>1223</v>
      </c>
      <c r="C35" s="421">
        <f t="shared" si="3"/>
        <v>0</v>
      </c>
      <c r="D35" s="421">
        <f t="shared" si="4"/>
        <v>0</v>
      </c>
      <c r="E35" s="421">
        <f t="shared" si="5"/>
        <v>0</v>
      </c>
      <c r="F35" s="457"/>
      <c r="G35" s="444"/>
      <c r="H35" s="438">
        <v>0</v>
      </c>
      <c r="I35" s="854">
        <f t="shared" si="6"/>
        <v>0</v>
      </c>
      <c r="J35" s="854">
        <f t="shared" si="8"/>
        <v>0</v>
      </c>
      <c r="K35" s="423">
        <f t="shared" si="9"/>
        <v>0</v>
      </c>
      <c r="L35" s="438">
        <v>0</v>
      </c>
      <c r="M35" s="854">
        <f t="shared" si="7"/>
        <v>0</v>
      </c>
      <c r="N35" s="854">
        <f t="shared" si="10"/>
        <v>0</v>
      </c>
      <c r="O35" s="423">
        <f t="shared" si="11"/>
        <v>0</v>
      </c>
      <c r="P35" s="2"/>
      <c r="Q35" s="4"/>
      <c r="R35" s="2"/>
      <c r="S35" s="2"/>
    </row>
    <row r="36" spans="1:19" s="406" customFormat="1">
      <c r="A36" s="444">
        <f t="shared" si="2"/>
        <v>26</v>
      </c>
      <c r="B36" s="379" t="s">
        <v>1223</v>
      </c>
      <c r="C36" s="421">
        <f t="shared" si="3"/>
        <v>0</v>
      </c>
      <c r="D36" s="421">
        <f t="shared" si="4"/>
        <v>0</v>
      </c>
      <c r="E36" s="421">
        <f t="shared" si="5"/>
        <v>0</v>
      </c>
      <c r="F36" s="457"/>
      <c r="G36" s="444"/>
      <c r="H36" s="438">
        <v>0</v>
      </c>
      <c r="I36" s="854">
        <f t="shared" si="6"/>
        <v>0</v>
      </c>
      <c r="J36" s="854">
        <f t="shared" si="8"/>
        <v>0</v>
      </c>
      <c r="K36" s="423">
        <f t="shared" si="9"/>
        <v>0</v>
      </c>
      <c r="L36" s="438">
        <v>0</v>
      </c>
      <c r="M36" s="854">
        <f t="shared" si="7"/>
        <v>0</v>
      </c>
      <c r="N36" s="854">
        <f t="shared" si="10"/>
        <v>0</v>
      </c>
      <c r="O36" s="423">
        <f t="shared" si="11"/>
        <v>0</v>
      </c>
      <c r="P36" s="2"/>
      <c r="Q36" s="4"/>
      <c r="R36" s="2"/>
      <c r="S36" s="2"/>
    </row>
    <row r="37" spans="1:19" s="406" customFormat="1">
      <c r="A37" s="444">
        <f t="shared" si="2"/>
        <v>27</v>
      </c>
      <c r="B37" s="379" t="s">
        <v>1223</v>
      </c>
      <c r="C37" s="421">
        <f t="shared" si="3"/>
        <v>0</v>
      </c>
      <c r="D37" s="421">
        <f t="shared" si="4"/>
        <v>0</v>
      </c>
      <c r="E37" s="421">
        <f t="shared" si="5"/>
        <v>0</v>
      </c>
      <c r="F37" s="457"/>
      <c r="G37" s="444"/>
      <c r="H37" s="438">
        <v>0</v>
      </c>
      <c r="I37" s="854">
        <f t="shared" si="6"/>
        <v>0</v>
      </c>
      <c r="J37" s="854">
        <f t="shared" si="8"/>
        <v>0</v>
      </c>
      <c r="K37" s="423">
        <f t="shared" si="9"/>
        <v>0</v>
      </c>
      <c r="L37" s="438">
        <v>0</v>
      </c>
      <c r="M37" s="854">
        <f t="shared" si="7"/>
        <v>0</v>
      </c>
      <c r="N37" s="854">
        <f t="shared" si="10"/>
        <v>0</v>
      </c>
      <c r="O37" s="423">
        <f t="shared" si="11"/>
        <v>0</v>
      </c>
      <c r="P37" s="2"/>
      <c r="Q37" s="4"/>
      <c r="R37" s="2"/>
      <c r="S37" s="2"/>
    </row>
    <row r="38" spans="1:19" s="406" customFormat="1">
      <c r="A38" s="444">
        <f t="shared" si="2"/>
        <v>28</v>
      </c>
      <c r="B38" s="379" t="s">
        <v>1223</v>
      </c>
      <c r="C38" s="421">
        <f t="shared" si="3"/>
        <v>0</v>
      </c>
      <c r="D38" s="421">
        <f t="shared" si="4"/>
        <v>0</v>
      </c>
      <c r="E38" s="421">
        <f t="shared" si="5"/>
        <v>0</v>
      </c>
      <c r="F38" s="457"/>
      <c r="G38" s="444"/>
      <c r="H38" s="438">
        <v>0</v>
      </c>
      <c r="I38" s="854">
        <f t="shared" si="6"/>
        <v>0</v>
      </c>
      <c r="J38" s="854">
        <f t="shared" si="8"/>
        <v>0</v>
      </c>
      <c r="K38" s="423">
        <f t="shared" si="9"/>
        <v>0</v>
      </c>
      <c r="L38" s="438">
        <v>0</v>
      </c>
      <c r="M38" s="854">
        <f t="shared" si="7"/>
        <v>0</v>
      </c>
      <c r="N38" s="854">
        <f t="shared" si="10"/>
        <v>0</v>
      </c>
      <c r="O38" s="423">
        <f t="shared" si="11"/>
        <v>0</v>
      </c>
      <c r="P38" s="2"/>
      <c r="Q38" s="4"/>
      <c r="R38" s="2"/>
      <c r="S38" s="2"/>
    </row>
    <row r="39" spans="1:19" s="406" customFormat="1">
      <c r="A39" s="444">
        <f t="shared" si="2"/>
        <v>29</v>
      </c>
      <c r="B39" s="379" t="s">
        <v>1223</v>
      </c>
      <c r="C39" s="421">
        <f t="shared" si="3"/>
        <v>0</v>
      </c>
      <c r="D39" s="421">
        <f t="shared" si="4"/>
        <v>0</v>
      </c>
      <c r="E39" s="421">
        <f t="shared" si="5"/>
        <v>0</v>
      </c>
      <c r="F39" s="457"/>
      <c r="G39" s="444"/>
      <c r="H39" s="438">
        <v>0</v>
      </c>
      <c r="I39" s="854">
        <f t="shared" si="6"/>
        <v>0</v>
      </c>
      <c r="J39" s="854">
        <f t="shared" si="8"/>
        <v>0</v>
      </c>
      <c r="K39" s="423">
        <f t="shared" si="9"/>
        <v>0</v>
      </c>
      <c r="L39" s="438">
        <v>0</v>
      </c>
      <c r="M39" s="854">
        <f t="shared" si="7"/>
        <v>0</v>
      </c>
      <c r="N39" s="854">
        <f t="shared" si="10"/>
        <v>0</v>
      </c>
      <c r="O39" s="423">
        <f t="shared" si="11"/>
        <v>0</v>
      </c>
      <c r="P39" s="2"/>
      <c r="Q39" s="4"/>
      <c r="R39" s="2"/>
      <c r="S39" s="2"/>
    </row>
    <row r="40" spans="1:19" s="406" customFormat="1">
      <c r="A40" s="444">
        <f t="shared" si="2"/>
        <v>30</v>
      </c>
      <c r="B40" s="379" t="s">
        <v>1223</v>
      </c>
      <c r="C40" s="421">
        <f t="shared" si="3"/>
        <v>0</v>
      </c>
      <c r="D40" s="421">
        <f t="shared" si="4"/>
        <v>0</v>
      </c>
      <c r="E40" s="421">
        <f t="shared" si="5"/>
        <v>0</v>
      </c>
      <c r="F40" s="457"/>
      <c r="G40" s="444"/>
      <c r="H40" s="438">
        <v>0</v>
      </c>
      <c r="I40" s="854">
        <f t="shared" si="6"/>
        <v>0</v>
      </c>
      <c r="J40" s="854">
        <f t="shared" si="8"/>
        <v>0</v>
      </c>
      <c r="K40" s="423">
        <f t="shared" si="9"/>
        <v>0</v>
      </c>
      <c r="L40" s="438">
        <v>0</v>
      </c>
      <c r="M40" s="854">
        <f t="shared" si="7"/>
        <v>0</v>
      </c>
      <c r="N40" s="854">
        <f t="shared" si="10"/>
        <v>0</v>
      </c>
      <c r="O40" s="423">
        <f t="shared" si="11"/>
        <v>0</v>
      </c>
      <c r="P40" s="2"/>
      <c r="Q40" s="4"/>
      <c r="R40" s="2"/>
      <c r="S40" s="2"/>
    </row>
    <row r="41" spans="1:19" s="406" customFormat="1">
      <c r="A41" s="444">
        <f t="shared" si="2"/>
        <v>31</v>
      </c>
      <c r="B41" s="379" t="s">
        <v>1223</v>
      </c>
      <c r="C41" s="421">
        <f t="shared" si="3"/>
        <v>0</v>
      </c>
      <c r="D41" s="421">
        <f t="shared" si="4"/>
        <v>0</v>
      </c>
      <c r="E41" s="421">
        <f t="shared" si="5"/>
        <v>0</v>
      </c>
      <c r="F41" s="457"/>
      <c r="G41" s="444"/>
      <c r="H41" s="438">
        <v>0</v>
      </c>
      <c r="I41" s="854">
        <f t="shared" si="6"/>
        <v>0</v>
      </c>
      <c r="J41" s="854">
        <f t="shared" si="8"/>
        <v>0</v>
      </c>
      <c r="K41" s="423">
        <f t="shared" si="9"/>
        <v>0</v>
      </c>
      <c r="L41" s="438">
        <v>0</v>
      </c>
      <c r="M41" s="854">
        <f t="shared" si="7"/>
        <v>0</v>
      </c>
      <c r="N41" s="854">
        <f t="shared" si="10"/>
        <v>0</v>
      </c>
      <c r="O41" s="423">
        <f t="shared" si="11"/>
        <v>0</v>
      </c>
      <c r="P41" s="2"/>
      <c r="Q41" s="4"/>
      <c r="R41" s="2"/>
      <c r="S41" s="2"/>
    </row>
    <row r="42" spans="1:19" s="406" customFormat="1">
      <c r="A42" s="444">
        <f t="shared" si="2"/>
        <v>32</v>
      </c>
      <c r="B42" s="379" t="s">
        <v>1223</v>
      </c>
      <c r="C42" s="421">
        <f t="shared" si="3"/>
        <v>0</v>
      </c>
      <c r="D42" s="421">
        <f t="shared" si="4"/>
        <v>0</v>
      </c>
      <c r="E42" s="421">
        <f t="shared" si="5"/>
        <v>0</v>
      </c>
      <c r="F42" s="457"/>
      <c r="G42" s="444"/>
      <c r="H42" s="438">
        <v>0</v>
      </c>
      <c r="I42" s="854">
        <f t="shared" si="6"/>
        <v>0</v>
      </c>
      <c r="J42" s="854">
        <f t="shared" si="8"/>
        <v>0</v>
      </c>
      <c r="K42" s="423">
        <f t="shared" si="9"/>
        <v>0</v>
      </c>
      <c r="L42" s="438">
        <v>0</v>
      </c>
      <c r="M42" s="854">
        <f t="shared" si="7"/>
        <v>0</v>
      </c>
      <c r="N42" s="854">
        <f t="shared" si="10"/>
        <v>0</v>
      </c>
      <c r="O42" s="423">
        <f t="shared" si="11"/>
        <v>0</v>
      </c>
      <c r="P42" s="2"/>
      <c r="Q42" s="4"/>
      <c r="R42" s="2"/>
      <c r="S42" s="2"/>
    </row>
    <row r="43" spans="1:19" s="406" customFormat="1">
      <c r="A43" s="444"/>
      <c r="B43" s="444"/>
      <c r="G43" s="444"/>
      <c r="H43" s="461"/>
      <c r="I43" s="429"/>
      <c r="J43" s="429"/>
      <c r="K43" s="464"/>
      <c r="L43" s="466"/>
      <c r="M43" s="429"/>
      <c r="N43" s="429"/>
      <c r="O43" s="467"/>
      <c r="P43" s="2"/>
      <c r="Q43" s="4"/>
      <c r="R43" s="2"/>
      <c r="S43" s="2"/>
    </row>
    <row r="44" spans="1:19" s="406" customFormat="1">
      <c r="A44" s="444">
        <v>33</v>
      </c>
      <c r="B44" s="373" t="s">
        <v>488</v>
      </c>
      <c r="C44" s="380"/>
      <c r="D44" s="383">
        <f>SUM(D31:D42)</f>
        <v>0</v>
      </c>
      <c r="E44" s="380"/>
      <c r="G44" s="444"/>
      <c r="H44" s="460"/>
      <c r="I44" s="383">
        <f>SUM(I31:I42)</f>
        <v>0</v>
      </c>
      <c r="J44" s="381"/>
      <c r="K44" s="464"/>
      <c r="L44" s="460"/>
      <c r="M44" s="383">
        <f>SUM(M31:M42)</f>
        <v>0</v>
      </c>
      <c r="N44" s="381"/>
      <c r="O44" s="467"/>
      <c r="P44" s="2"/>
      <c r="Q44" s="4"/>
      <c r="R44" s="2"/>
      <c r="S44" s="2"/>
    </row>
    <row r="45" spans="1:19" s="406" customFormat="1">
      <c r="A45" s="444">
        <v>34</v>
      </c>
      <c r="B45" s="373" t="s">
        <v>489</v>
      </c>
      <c r="C45" s="380">
        <f>SUM(C30:C42)/13</f>
        <v>0</v>
      </c>
      <c r="D45" s="385"/>
      <c r="E45" s="380">
        <f>SUM(E30:E42)/13</f>
        <v>0</v>
      </c>
      <c r="G45" s="444"/>
      <c r="H45" s="460">
        <f>SUM(H30:H42)/13</f>
        <v>0</v>
      </c>
      <c r="I45" s="385"/>
      <c r="J45" s="381">
        <f>SUM(J30:J42)/13</f>
        <v>0</v>
      </c>
      <c r="K45" s="382">
        <f>SUM(K30:K42)/13</f>
        <v>0</v>
      </c>
      <c r="L45" s="460">
        <f>SUM(L30:L42)/13</f>
        <v>0</v>
      </c>
      <c r="M45" s="385"/>
      <c r="N45" s="381">
        <f>SUM(N30:N42)/13</f>
        <v>0</v>
      </c>
      <c r="O45" s="382">
        <f>SUM(O30:O42)/13</f>
        <v>0</v>
      </c>
      <c r="P45" s="2"/>
      <c r="Q45" s="4"/>
      <c r="R45" s="2"/>
      <c r="S45" s="2"/>
    </row>
    <row r="46" spans="1:19" s="406" customFormat="1" ht="14.5" thickBot="1">
      <c r="A46" s="432"/>
      <c r="B46" s="373"/>
      <c r="G46" s="444"/>
      <c r="H46" s="461"/>
      <c r="I46" s="429"/>
      <c r="J46" s="429"/>
      <c r="K46" s="464"/>
      <c r="L46" s="466"/>
      <c r="M46" s="429"/>
      <c r="N46" s="429"/>
      <c r="O46" s="467"/>
      <c r="P46" s="2"/>
      <c r="Q46" s="4"/>
      <c r="R46" s="2"/>
      <c r="S46" s="2"/>
    </row>
    <row r="47" spans="1:19" s="406" customFormat="1" ht="14.5" thickBot="1">
      <c r="A47" s="444">
        <v>35</v>
      </c>
      <c r="B47" s="373" t="s">
        <v>723</v>
      </c>
      <c r="F47" s="468">
        <f>O47+K47</f>
        <v>0</v>
      </c>
      <c r="G47" s="444"/>
      <c r="H47" s="461"/>
      <c r="I47" s="429"/>
      <c r="J47" s="373"/>
      <c r="K47" s="413">
        <f>ROUND(K45*I11,2)</f>
        <v>0</v>
      </c>
      <c r="L47" s="466"/>
      <c r="M47" s="429"/>
      <c r="N47" s="373"/>
      <c r="O47" s="413">
        <f>ROUND(O45*M11,2)</f>
        <v>0</v>
      </c>
      <c r="P47" s="2"/>
      <c r="Q47" s="4"/>
      <c r="R47" s="2"/>
      <c r="S47" s="2"/>
    </row>
    <row r="48" spans="1:19" s="406" customFormat="1">
      <c r="A48" s="444"/>
      <c r="F48" s="913" t="s">
        <v>948</v>
      </c>
      <c r="G48" s="444"/>
      <c r="H48" s="914"/>
      <c r="I48" s="913"/>
      <c r="J48" s="373"/>
      <c r="K48" s="915" t="s">
        <v>948</v>
      </c>
      <c r="L48" s="916"/>
      <c r="M48" s="913"/>
      <c r="N48" s="373"/>
      <c r="O48" s="917" t="s">
        <v>948</v>
      </c>
      <c r="P48" s="2"/>
      <c r="Q48" s="4"/>
      <c r="R48" s="2"/>
      <c r="S48" s="2"/>
    </row>
    <row r="49" spans="1:19" s="406" customFormat="1">
      <c r="A49" s="432"/>
      <c r="B49" s="444"/>
      <c r="G49" s="444"/>
      <c r="H49" s="424"/>
      <c r="I49" s="425"/>
      <c r="J49" s="425"/>
      <c r="K49" s="465"/>
      <c r="L49" s="426"/>
      <c r="M49" s="425"/>
      <c r="N49" s="425"/>
      <c r="O49" s="428"/>
      <c r="P49" s="2"/>
      <c r="Q49" s="4"/>
      <c r="R49" s="2"/>
      <c r="S49" s="2"/>
    </row>
    <row r="50" spans="1:19" s="406" customFormat="1">
      <c r="A50" s="447" t="s">
        <v>174</v>
      </c>
      <c r="B50" s="444"/>
      <c r="G50" s="444"/>
      <c r="H50" s="429"/>
      <c r="I50" s="429"/>
      <c r="J50" s="429"/>
      <c r="K50" s="429"/>
      <c r="L50" s="430"/>
      <c r="M50" s="429"/>
      <c r="N50" s="429"/>
      <c r="O50" s="431"/>
      <c r="P50" s="2"/>
      <c r="Q50" s="4"/>
      <c r="R50" s="2"/>
      <c r="S50" s="2"/>
    </row>
    <row r="51" spans="1:19" s="406" customFormat="1">
      <c r="A51" s="432" t="s">
        <v>79</v>
      </c>
      <c r="B51" s="445" t="s">
        <v>698</v>
      </c>
      <c r="G51" s="444"/>
      <c r="H51" s="429"/>
      <c r="I51" s="429"/>
      <c r="J51" s="429"/>
      <c r="K51" s="429"/>
      <c r="L51" s="430"/>
      <c r="M51" s="429"/>
      <c r="N51" s="429"/>
      <c r="O51" s="431"/>
      <c r="P51" s="2"/>
      <c r="Q51" s="4"/>
      <c r="R51" s="2"/>
      <c r="S51" s="2"/>
    </row>
    <row r="52" spans="1:19" s="20" customFormat="1" ht="15" customHeight="1">
      <c r="A52" s="432" t="s">
        <v>80</v>
      </c>
      <c r="B52" s="445" t="s">
        <v>699</v>
      </c>
      <c r="C52" s="56"/>
      <c r="D52" s="56"/>
      <c r="E52" s="56"/>
      <c r="F52" s="56"/>
      <c r="G52" s="442"/>
      <c r="H52" s="2"/>
      <c r="I52" s="9"/>
      <c r="J52" s="9"/>
      <c r="P52" s="2"/>
      <c r="Q52" s="4"/>
      <c r="R52" s="2"/>
      <c r="S52" s="2"/>
    </row>
    <row r="53" spans="1:19" s="20" customFormat="1" ht="15" customHeight="1">
      <c r="A53" s="432" t="s">
        <v>81</v>
      </c>
      <c r="B53" s="445" t="s">
        <v>950</v>
      </c>
      <c r="C53" s="56"/>
      <c r="D53" s="56"/>
      <c r="E53" s="56"/>
      <c r="F53" s="56"/>
      <c r="G53" s="442"/>
      <c r="H53" s="2"/>
      <c r="I53" s="9"/>
      <c r="J53" s="9"/>
      <c r="P53" s="2"/>
      <c r="Q53" s="4"/>
      <c r="R53" s="2"/>
      <c r="S53" s="2"/>
    </row>
    <row r="54" spans="1:19" ht="15" customHeight="1">
      <c r="A54" s="432" t="s">
        <v>82</v>
      </c>
      <c r="B54" s="445" t="s">
        <v>1127</v>
      </c>
      <c r="C54" s="56"/>
      <c r="D54" s="56"/>
      <c r="E54" s="56"/>
      <c r="F54" s="56"/>
      <c r="G54" s="442"/>
      <c r="I54" s="9"/>
      <c r="J54" s="9"/>
    </row>
    <row r="55" spans="1:19" ht="15" customHeight="1">
      <c r="A55" s="54"/>
      <c r="B55" s="55"/>
      <c r="C55" s="56"/>
      <c r="D55" s="56"/>
      <c r="E55" s="56"/>
      <c r="F55" s="56"/>
      <c r="G55" s="442"/>
      <c r="I55" s="9"/>
      <c r="J55" s="9"/>
    </row>
    <row r="56" spans="1:19" ht="15" customHeight="1">
      <c r="A56" s="54"/>
      <c r="B56" s="55"/>
      <c r="C56" s="56"/>
      <c r="D56" s="56"/>
      <c r="E56" s="56"/>
      <c r="F56" s="56"/>
      <c r="G56" s="442"/>
      <c r="I56" s="9"/>
      <c r="J56" s="9"/>
    </row>
    <row r="57" spans="1:19" ht="15" customHeight="1">
      <c r="A57" s="54"/>
      <c r="B57" s="55"/>
      <c r="C57" s="56"/>
      <c r="D57" s="56"/>
      <c r="E57" s="56"/>
      <c r="F57" s="56"/>
      <c r="G57" s="442"/>
      <c r="I57" s="9"/>
      <c r="J57" s="9"/>
    </row>
    <row r="58" spans="1:19" ht="15" customHeight="1">
      <c r="A58" s="54"/>
      <c r="B58" s="55"/>
      <c r="C58" s="56"/>
      <c r="D58" s="56"/>
      <c r="E58" s="56"/>
      <c r="F58" s="56"/>
      <c r="G58" s="442"/>
      <c r="I58" s="9"/>
      <c r="J58" s="9"/>
    </row>
    <row r="59" spans="1:19" ht="15" customHeight="1">
      <c r="A59" s="54"/>
      <c r="B59" s="55"/>
      <c r="C59" s="56"/>
      <c r="D59" s="56"/>
      <c r="E59" s="56"/>
      <c r="F59" s="56"/>
      <c r="G59" s="442"/>
      <c r="I59" s="9"/>
      <c r="J59" s="9"/>
    </row>
    <row r="60" spans="1:19">
      <c r="A60" s="54"/>
      <c r="B60" s="55"/>
      <c r="C60" s="56"/>
      <c r="D60" s="56"/>
      <c r="E60" s="56"/>
      <c r="F60" s="56"/>
      <c r="G60" s="442"/>
      <c r="I60" s="9"/>
      <c r="J60" s="9"/>
    </row>
    <row r="61" spans="1:19">
      <c r="A61" s="54"/>
      <c r="B61" s="55"/>
      <c r="C61" s="56"/>
      <c r="D61" s="56"/>
      <c r="E61" s="56"/>
      <c r="F61" s="56"/>
      <c r="G61" s="442"/>
      <c r="I61" s="9"/>
      <c r="J61" s="9"/>
    </row>
    <row r="62" spans="1:19">
      <c r="A62" s="54"/>
      <c r="B62" s="55"/>
      <c r="C62" s="56"/>
      <c r="D62" s="56"/>
      <c r="E62" s="56"/>
      <c r="F62" s="56"/>
      <c r="G62" s="442"/>
      <c r="I62" s="9"/>
      <c r="J62" s="9"/>
    </row>
    <row r="63" spans="1:19">
      <c r="A63" s="54"/>
      <c r="B63" s="55"/>
      <c r="C63" s="56"/>
      <c r="D63" s="56"/>
      <c r="E63" s="56"/>
      <c r="F63" s="56"/>
      <c r="G63" s="442"/>
      <c r="I63" s="9"/>
      <c r="J63" s="9"/>
    </row>
    <row r="64" spans="1:19">
      <c r="A64" s="54"/>
      <c r="B64" s="55"/>
      <c r="C64" s="56"/>
      <c r="D64" s="56"/>
      <c r="E64" s="56"/>
      <c r="F64" s="56"/>
      <c r="G64" s="442"/>
      <c r="I64" s="9"/>
      <c r="J64" s="9"/>
    </row>
    <row r="65" spans="1:10">
      <c r="A65" s="54"/>
      <c r="B65" s="55"/>
      <c r="C65" s="56"/>
      <c r="D65" s="56"/>
      <c r="E65" s="56"/>
      <c r="F65" s="56"/>
      <c r="G65" s="442"/>
      <c r="I65" s="9"/>
      <c r="J65" s="9"/>
    </row>
    <row r="66" spans="1:10">
      <c r="A66" s="54"/>
      <c r="B66" s="55"/>
      <c r="C66" s="56"/>
      <c r="D66" s="56"/>
      <c r="E66" s="56"/>
      <c r="F66" s="56"/>
      <c r="G66" s="442"/>
      <c r="I66" s="9"/>
      <c r="J66" s="9"/>
    </row>
    <row r="67" spans="1:10">
      <c r="A67" s="54"/>
      <c r="B67" s="55"/>
      <c r="C67" s="56"/>
      <c r="D67" s="56"/>
      <c r="E67" s="56"/>
      <c r="F67" s="56"/>
      <c r="G67" s="442"/>
      <c r="I67" s="9"/>
      <c r="J67" s="9"/>
    </row>
    <row r="68" spans="1:10">
      <c r="A68" s="54"/>
      <c r="B68" s="55"/>
      <c r="C68" s="56"/>
      <c r="D68" s="56"/>
      <c r="E68" s="56"/>
      <c r="F68" s="56"/>
      <c r="G68" s="442"/>
      <c r="I68" s="9"/>
      <c r="J68" s="9"/>
    </row>
    <row r="69" spans="1:10">
      <c r="A69" s="54"/>
      <c r="B69" s="55"/>
      <c r="C69" s="56"/>
      <c r="D69" s="56"/>
      <c r="E69" s="56"/>
      <c r="F69" s="56"/>
      <c r="G69" s="442"/>
      <c r="I69" s="9"/>
      <c r="J69" s="9"/>
    </row>
    <row r="70" spans="1:10">
      <c r="A70" s="54"/>
      <c r="B70" s="55"/>
      <c r="C70" s="56"/>
      <c r="D70" s="56"/>
      <c r="E70" s="56"/>
      <c r="F70" s="56"/>
      <c r="G70" s="442"/>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399"/>
    </row>
    <row r="130" spans="11:15" ht="15" customHeight="1">
      <c r="K130" s="399"/>
      <c r="L130" s="8"/>
    </row>
    <row r="131" spans="11:15" ht="30.75" customHeight="1">
      <c r="K131" s="57"/>
    </row>
    <row r="132" spans="11:15">
      <c r="K132" s="57"/>
    </row>
    <row r="133" spans="11:15">
      <c r="K133" s="58"/>
      <c r="L133" s="58"/>
      <c r="M133" s="58"/>
      <c r="N133" s="58"/>
    </row>
    <row r="134" spans="11:15">
      <c r="K134" s="7"/>
    </row>
    <row r="135" spans="11:15" ht="30.75" customHeight="1">
      <c r="K135" s="400"/>
      <c r="L135" s="400"/>
      <c r="M135" s="400"/>
      <c r="N135" s="400"/>
      <c r="O135" s="400"/>
    </row>
    <row r="136" spans="11:15" ht="15" customHeight="1">
      <c r="K136" s="400"/>
    </row>
    <row r="137" spans="11:15" ht="82.5" customHeight="1">
      <c r="K137" s="400"/>
      <c r="L137" s="400"/>
      <c r="M137" s="400"/>
      <c r="N137" s="400"/>
      <c r="O137" s="400"/>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J34" sqref="J34"/>
    </sheetView>
  </sheetViews>
  <sheetFormatPr defaultColWidth="8.69140625" defaultRowHeight="13"/>
  <cols>
    <col min="1" max="1" width="5.23046875" style="766" customWidth="1"/>
    <col min="2" max="2" width="9.07421875" style="766" customWidth="1"/>
    <col min="3" max="4" width="7.53515625" style="766" customWidth="1"/>
    <col min="5" max="5" width="8.69140625" style="766" customWidth="1"/>
    <col min="6" max="6" width="7.53515625" style="766" customWidth="1"/>
    <col min="7" max="7" width="2.07421875" style="766" customWidth="1"/>
    <col min="8" max="9" width="11.4609375" style="766" customWidth="1"/>
    <col min="10" max="10" width="13.4609375" style="766" customWidth="1"/>
    <col min="11" max="11" width="1.4609375" style="768" customWidth="1"/>
    <col min="12" max="13" width="10.23046875" style="766" bestFit="1" customWidth="1"/>
    <col min="14" max="14" width="10.69140625" style="766" bestFit="1" customWidth="1"/>
    <col min="15" max="16384" width="8.69140625" style="766"/>
  </cols>
  <sheetData>
    <row r="1" spans="1:11" s="765" customFormat="1">
      <c r="A1" s="974" t="s">
        <v>860</v>
      </c>
      <c r="B1" s="974"/>
      <c r="C1" s="974"/>
      <c r="D1" s="974"/>
      <c r="E1" s="974"/>
      <c r="F1" s="974"/>
      <c r="G1" s="974"/>
      <c r="H1" s="974"/>
      <c r="I1" s="974"/>
      <c r="J1" s="974"/>
      <c r="K1" s="974"/>
    </row>
    <row r="2" spans="1:11" s="765" customFormat="1">
      <c r="A2" s="974" t="s">
        <v>204</v>
      </c>
      <c r="B2" s="974"/>
      <c r="C2" s="974"/>
      <c r="D2" s="974"/>
      <c r="E2" s="974"/>
      <c r="F2" s="974"/>
      <c r="G2" s="974"/>
      <c r="H2" s="974"/>
      <c r="I2" s="974"/>
      <c r="J2" s="974"/>
      <c r="K2" s="974"/>
    </row>
    <row r="3" spans="1:11" s="765" customFormat="1">
      <c r="A3" s="975" t="s">
        <v>130</v>
      </c>
      <c r="B3" s="975"/>
      <c r="C3" s="975"/>
      <c r="D3" s="975"/>
      <c r="E3" s="975"/>
      <c r="F3" s="975"/>
      <c r="G3" s="975"/>
      <c r="H3" s="975"/>
      <c r="I3" s="975"/>
      <c r="J3" s="975"/>
      <c r="K3" s="975"/>
    </row>
    <row r="4" spans="1:11" s="765" customFormat="1">
      <c r="A4" s="764"/>
      <c r="B4" s="764"/>
      <c r="C4" s="764"/>
      <c r="D4" s="764"/>
      <c r="E4" s="764"/>
      <c r="F4" s="764"/>
      <c r="G4" s="764"/>
      <c r="H4" s="764"/>
      <c r="I4" s="764"/>
      <c r="J4" s="698" t="s">
        <v>983</v>
      </c>
    </row>
    <row r="5" spans="1:11">
      <c r="I5" s="767" t="s">
        <v>834</v>
      </c>
      <c r="J5" s="936" t="s">
        <v>1224</v>
      </c>
    </row>
    <row r="6" spans="1:11">
      <c r="A6" s="766">
        <v>1</v>
      </c>
      <c r="B6" s="769" t="s">
        <v>835</v>
      </c>
      <c r="H6" s="770"/>
      <c r="I6" s="770"/>
      <c r="J6" s="770"/>
      <c r="K6" s="771"/>
    </row>
    <row r="7" spans="1:11">
      <c r="A7" s="766">
        <f>+A6+1</f>
        <v>2</v>
      </c>
      <c r="B7" s="1018" t="s">
        <v>836</v>
      </c>
      <c r="C7" s="1019"/>
      <c r="D7" s="1019"/>
      <c r="E7" s="1019"/>
      <c r="F7" s="1020"/>
      <c r="G7" s="772"/>
      <c r="H7" s="1018" t="s">
        <v>837</v>
      </c>
      <c r="I7" s="1019"/>
      <c r="J7" s="1020"/>
      <c r="K7" s="771"/>
    </row>
    <row r="8" spans="1:11">
      <c r="B8" s="773" t="s">
        <v>79</v>
      </c>
      <c r="C8" s="773" t="s">
        <v>80</v>
      </c>
      <c r="D8" s="773" t="s">
        <v>81</v>
      </c>
      <c r="E8" s="773" t="s">
        <v>82</v>
      </c>
      <c r="F8" s="773" t="s">
        <v>83</v>
      </c>
      <c r="G8" s="772"/>
      <c r="H8" s="773" t="s">
        <v>84</v>
      </c>
      <c r="I8" s="773" t="s">
        <v>85</v>
      </c>
      <c r="J8" s="773" t="s">
        <v>449</v>
      </c>
      <c r="K8" s="771"/>
    </row>
    <row r="9" spans="1:11" ht="52">
      <c r="A9" s="766">
        <f>+A7+1</f>
        <v>3</v>
      </c>
      <c r="B9" s="774" t="s">
        <v>268</v>
      </c>
      <c r="C9" s="774" t="s">
        <v>838</v>
      </c>
      <c r="D9" s="774" t="s">
        <v>839</v>
      </c>
      <c r="E9" s="774" t="s">
        <v>840</v>
      </c>
      <c r="F9" s="774" t="s">
        <v>841</v>
      </c>
      <c r="G9" s="775"/>
      <c r="H9" s="774" t="s">
        <v>842</v>
      </c>
      <c r="I9" s="774" t="s">
        <v>843</v>
      </c>
      <c r="J9" s="774" t="s">
        <v>844</v>
      </c>
      <c r="K9" s="775"/>
    </row>
    <row r="10" spans="1:11">
      <c r="A10" s="766">
        <f t="shared" ref="A10:A24" si="0">+A9+1</f>
        <v>4</v>
      </c>
      <c r="C10" s="775"/>
      <c r="D10" s="775"/>
      <c r="E10" s="775"/>
      <c r="F10" s="775"/>
      <c r="G10" s="775"/>
      <c r="H10" s="775"/>
      <c r="I10" s="775"/>
      <c r="J10" s="775"/>
      <c r="K10" s="775"/>
    </row>
    <row r="11" spans="1:11">
      <c r="A11" s="766">
        <f t="shared" si="0"/>
        <v>5</v>
      </c>
      <c r="B11" s="776" t="s">
        <v>845</v>
      </c>
      <c r="C11" s="777"/>
      <c r="D11" s="778"/>
      <c r="E11" s="778"/>
      <c r="F11" s="778"/>
      <c r="G11" s="778"/>
      <c r="H11" s="779"/>
      <c r="I11" s="779"/>
      <c r="J11" s="780">
        <v>0</v>
      </c>
      <c r="K11" s="781"/>
    </row>
    <row r="12" spans="1:11">
      <c r="A12" s="766">
        <f t="shared" si="0"/>
        <v>6</v>
      </c>
      <c r="B12" s="777" t="s">
        <v>165</v>
      </c>
      <c r="C12" s="782">
        <v>31</v>
      </c>
      <c r="D12" s="937">
        <v>0</v>
      </c>
      <c r="E12" s="937">
        <v>0</v>
      </c>
      <c r="F12" s="696">
        <f>IF(E12=0,0,D12/E12)</f>
        <v>0</v>
      </c>
      <c r="G12" s="692"/>
      <c r="H12" s="780">
        <f>-H152*0.21</f>
        <v>-24204.827499999999</v>
      </c>
      <c r="I12" s="729">
        <f>+H12*F12</f>
        <v>0</v>
      </c>
      <c r="J12" s="729">
        <f t="shared" ref="J12:J23" si="1">+I12+J11</f>
        <v>0</v>
      </c>
      <c r="K12" s="781"/>
    </row>
    <row r="13" spans="1:11">
      <c r="A13" s="766">
        <f t="shared" si="0"/>
        <v>7</v>
      </c>
      <c r="B13" s="777" t="s">
        <v>166</v>
      </c>
      <c r="C13" s="783">
        <v>28</v>
      </c>
      <c r="D13" s="937">
        <v>0</v>
      </c>
      <c r="E13" s="937">
        <v>0</v>
      </c>
      <c r="F13" s="696">
        <f t="shared" ref="F13:F23" si="2">IF(E13=0,0,D13/E13)</f>
        <v>0</v>
      </c>
      <c r="G13" s="692"/>
      <c r="H13" s="780">
        <f t="shared" ref="H13:H23" si="3">-H153*0.21</f>
        <v>-24204.827499999999</v>
      </c>
      <c r="I13" s="729">
        <f t="shared" ref="I13:I23" si="4">+H13*F13</f>
        <v>0</v>
      </c>
      <c r="J13" s="729">
        <f t="shared" si="1"/>
        <v>0</v>
      </c>
      <c r="K13" s="781"/>
    </row>
    <row r="14" spans="1:11">
      <c r="A14" s="766">
        <f t="shared" si="0"/>
        <v>8</v>
      </c>
      <c r="B14" s="777" t="s">
        <v>516</v>
      </c>
      <c r="C14" s="782">
        <v>31</v>
      </c>
      <c r="D14" s="937">
        <v>0</v>
      </c>
      <c r="E14" s="937">
        <v>0</v>
      </c>
      <c r="F14" s="696">
        <f t="shared" si="2"/>
        <v>0</v>
      </c>
      <c r="G14" s="692"/>
      <c r="H14" s="780">
        <f t="shared" si="3"/>
        <v>-24204.827499999999</v>
      </c>
      <c r="I14" s="729">
        <f t="shared" si="4"/>
        <v>0</v>
      </c>
      <c r="J14" s="729">
        <f t="shared" si="1"/>
        <v>0</v>
      </c>
      <c r="K14" s="781"/>
    </row>
    <row r="15" spans="1:11">
      <c r="A15" s="766">
        <f t="shared" si="0"/>
        <v>9</v>
      </c>
      <c r="B15" s="777" t="s">
        <v>167</v>
      </c>
      <c r="C15" s="782">
        <v>30</v>
      </c>
      <c r="D15" s="937">
        <v>0</v>
      </c>
      <c r="E15" s="937">
        <v>0</v>
      </c>
      <c r="F15" s="696">
        <f t="shared" si="2"/>
        <v>0</v>
      </c>
      <c r="G15" s="692"/>
      <c r="H15" s="780">
        <f t="shared" si="3"/>
        <v>-24204.827499999999</v>
      </c>
      <c r="I15" s="729">
        <f t="shared" si="4"/>
        <v>0</v>
      </c>
      <c r="J15" s="729">
        <f t="shared" si="1"/>
        <v>0</v>
      </c>
      <c r="K15" s="781"/>
    </row>
    <row r="16" spans="1:11">
      <c r="A16" s="766">
        <f t="shared" si="0"/>
        <v>10</v>
      </c>
      <c r="B16" s="777" t="s">
        <v>168</v>
      </c>
      <c r="C16" s="782">
        <v>31</v>
      </c>
      <c r="D16" s="937">
        <v>0</v>
      </c>
      <c r="E16" s="937">
        <v>0</v>
      </c>
      <c r="F16" s="696">
        <f t="shared" si="2"/>
        <v>0</v>
      </c>
      <c r="G16" s="692"/>
      <c r="H16" s="780">
        <f t="shared" si="3"/>
        <v>-24204.827499999999</v>
      </c>
      <c r="I16" s="729">
        <f t="shared" si="4"/>
        <v>0</v>
      </c>
      <c r="J16" s="729">
        <f t="shared" si="1"/>
        <v>0</v>
      </c>
      <c r="K16" s="781"/>
    </row>
    <row r="17" spans="1:14">
      <c r="A17" s="766">
        <f t="shared" si="0"/>
        <v>11</v>
      </c>
      <c r="B17" s="777" t="s">
        <v>169</v>
      </c>
      <c r="C17" s="782">
        <v>30</v>
      </c>
      <c r="D17" s="937">
        <v>0</v>
      </c>
      <c r="E17" s="937">
        <v>0</v>
      </c>
      <c r="F17" s="696">
        <f t="shared" si="2"/>
        <v>0</v>
      </c>
      <c r="G17" s="692"/>
      <c r="H17" s="780">
        <f t="shared" si="3"/>
        <v>-24204.827499999999</v>
      </c>
      <c r="I17" s="729">
        <f t="shared" si="4"/>
        <v>0</v>
      </c>
      <c r="J17" s="729">
        <f t="shared" si="1"/>
        <v>0</v>
      </c>
      <c r="K17" s="781"/>
    </row>
    <row r="18" spans="1:14">
      <c r="A18" s="766">
        <f t="shared" si="0"/>
        <v>12</v>
      </c>
      <c r="B18" s="777" t="s">
        <v>170</v>
      </c>
      <c r="C18" s="782">
        <v>31</v>
      </c>
      <c r="D18" s="937">
        <v>0</v>
      </c>
      <c r="E18" s="937">
        <v>0</v>
      </c>
      <c r="F18" s="696">
        <f t="shared" si="2"/>
        <v>0</v>
      </c>
      <c r="G18" s="692"/>
      <c r="H18" s="780">
        <f t="shared" si="3"/>
        <v>-24204.827499999999</v>
      </c>
      <c r="I18" s="729">
        <f t="shared" si="4"/>
        <v>0</v>
      </c>
      <c r="J18" s="729">
        <f t="shared" si="1"/>
        <v>0</v>
      </c>
      <c r="K18" s="781"/>
    </row>
    <row r="19" spans="1:14">
      <c r="A19" s="766">
        <f t="shared" si="0"/>
        <v>13</v>
      </c>
      <c r="B19" s="777" t="s">
        <v>517</v>
      </c>
      <c r="C19" s="782">
        <v>31</v>
      </c>
      <c r="D19" s="937">
        <v>0</v>
      </c>
      <c r="E19" s="937">
        <v>0</v>
      </c>
      <c r="F19" s="696">
        <f t="shared" si="2"/>
        <v>0</v>
      </c>
      <c r="G19" s="692"/>
      <c r="H19" s="780">
        <f t="shared" si="3"/>
        <v>-24204.827499999999</v>
      </c>
      <c r="I19" s="729">
        <f t="shared" si="4"/>
        <v>0</v>
      </c>
      <c r="J19" s="729">
        <f t="shared" si="1"/>
        <v>0</v>
      </c>
      <c r="K19" s="781"/>
    </row>
    <row r="20" spans="1:14">
      <c r="A20" s="766">
        <f t="shared" si="0"/>
        <v>14</v>
      </c>
      <c r="B20" s="777" t="s">
        <v>171</v>
      </c>
      <c r="C20" s="782">
        <v>30</v>
      </c>
      <c r="D20" s="937">
        <v>0</v>
      </c>
      <c r="E20" s="937">
        <v>0</v>
      </c>
      <c r="F20" s="696">
        <f t="shared" si="2"/>
        <v>0</v>
      </c>
      <c r="G20" s="692"/>
      <c r="H20" s="780">
        <f t="shared" si="3"/>
        <v>-24204.827499999999</v>
      </c>
      <c r="I20" s="729">
        <f t="shared" si="4"/>
        <v>0</v>
      </c>
      <c r="J20" s="729">
        <f t="shared" si="1"/>
        <v>0</v>
      </c>
      <c r="K20" s="781"/>
    </row>
    <row r="21" spans="1:14">
      <c r="A21" s="766">
        <f t="shared" si="0"/>
        <v>15</v>
      </c>
      <c r="B21" s="777" t="s">
        <v>172</v>
      </c>
      <c r="C21" s="782">
        <v>31</v>
      </c>
      <c r="D21" s="937">
        <v>0</v>
      </c>
      <c r="E21" s="937">
        <v>0</v>
      </c>
      <c r="F21" s="696">
        <f t="shared" si="2"/>
        <v>0</v>
      </c>
      <c r="G21" s="692"/>
      <c r="H21" s="780">
        <f t="shared" si="3"/>
        <v>-24204.827499999999</v>
      </c>
      <c r="I21" s="729">
        <f t="shared" si="4"/>
        <v>0</v>
      </c>
      <c r="J21" s="729">
        <f t="shared" si="1"/>
        <v>0</v>
      </c>
      <c r="K21" s="781"/>
    </row>
    <row r="22" spans="1:14">
      <c r="A22" s="766">
        <f t="shared" si="0"/>
        <v>16</v>
      </c>
      <c r="B22" s="777" t="s">
        <v>173</v>
      </c>
      <c r="C22" s="782">
        <v>30</v>
      </c>
      <c r="D22" s="937">
        <v>0</v>
      </c>
      <c r="E22" s="937">
        <v>0</v>
      </c>
      <c r="F22" s="696">
        <f t="shared" si="2"/>
        <v>0</v>
      </c>
      <c r="G22" s="692"/>
      <c r="H22" s="780">
        <f t="shared" si="3"/>
        <v>-24204.827499999999</v>
      </c>
      <c r="I22" s="729">
        <f t="shared" si="4"/>
        <v>0</v>
      </c>
      <c r="J22" s="729">
        <f t="shared" si="1"/>
        <v>0</v>
      </c>
      <c r="K22" s="781"/>
    </row>
    <row r="23" spans="1:14">
      <c r="A23" s="766">
        <f t="shared" si="0"/>
        <v>17</v>
      </c>
      <c r="B23" s="777" t="s">
        <v>518</v>
      </c>
      <c r="C23" s="782">
        <v>31</v>
      </c>
      <c r="D23" s="937">
        <v>0</v>
      </c>
      <c r="E23" s="937">
        <v>0</v>
      </c>
      <c r="F23" s="696">
        <f t="shared" si="2"/>
        <v>0</v>
      </c>
      <c r="G23" s="692"/>
      <c r="H23" s="780">
        <f t="shared" si="3"/>
        <v>-24204.827499999999</v>
      </c>
      <c r="I23" s="729">
        <f t="shared" si="4"/>
        <v>0</v>
      </c>
      <c r="J23" s="729">
        <f t="shared" si="1"/>
        <v>0</v>
      </c>
      <c r="K23" s="781"/>
      <c r="L23" s="804"/>
      <c r="M23" s="806"/>
      <c r="N23" s="804"/>
    </row>
    <row r="24" spans="1:14">
      <c r="A24" s="766">
        <f t="shared" si="0"/>
        <v>18</v>
      </c>
      <c r="B24" s="784"/>
      <c r="C24" s="784" t="s">
        <v>9</v>
      </c>
      <c r="D24" s="784"/>
      <c r="E24" s="784"/>
      <c r="F24" s="785"/>
      <c r="G24" s="778"/>
      <c r="H24" s="786">
        <f>SUM(H12:H23)</f>
        <v>-290457.93000000005</v>
      </c>
      <c r="I24" s="786">
        <f>SUM(I12:I23)</f>
        <v>0</v>
      </c>
      <c r="J24" s="785"/>
      <c r="K24" s="775"/>
    </row>
    <row r="25" spans="1:14">
      <c r="B25" s="787"/>
      <c r="C25" s="787"/>
      <c r="D25" s="787"/>
      <c r="E25" s="787"/>
      <c r="F25" s="788"/>
      <c r="G25" s="788"/>
      <c r="H25" s="789"/>
      <c r="I25" s="790"/>
      <c r="J25" s="788"/>
      <c r="K25" s="775"/>
      <c r="L25" s="804"/>
    </row>
    <row r="26" spans="1:14">
      <c r="A26" s="766">
        <f>+A24+1</f>
        <v>19</v>
      </c>
      <c r="B26" s="766" t="s">
        <v>1012</v>
      </c>
      <c r="F26" s="791" t="s">
        <v>847</v>
      </c>
      <c r="G26" s="788"/>
      <c r="I26" s="788"/>
      <c r="J26" s="805">
        <f>'A3-ADIT'!E15</f>
        <v>16680632</v>
      </c>
    </row>
    <row r="27" spans="1:14">
      <c r="A27" s="766">
        <f>+A26+1</f>
        <v>20</v>
      </c>
      <c r="B27" s="766" t="s">
        <v>1186</v>
      </c>
      <c r="F27" s="791" t="s">
        <v>1013</v>
      </c>
      <c r="G27" s="788"/>
      <c r="I27" s="788"/>
      <c r="J27" s="805">
        <f>J166*-0.21</f>
        <v>0</v>
      </c>
    </row>
    <row r="28" spans="1:14">
      <c r="A28" s="766">
        <f t="shared" ref="A28" si="5">+A27+1</f>
        <v>21</v>
      </c>
      <c r="B28" s="766" t="s">
        <v>1187</v>
      </c>
      <c r="F28" s="791" t="s">
        <v>1014</v>
      </c>
      <c r="G28" s="788"/>
      <c r="I28" s="788"/>
      <c r="J28" s="805">
        <f>J26-J27</f>
        <v>16680632</v>
      </c>
    </row>
    <row r="29" spans="1:14">
      <c r="A29" s="766">
        <f>+A28+1</f>
        <v>22</v>
      </c>
      <c r="B29" s="766" t="s">
        <v>1188</v>
      </c>
      <c r="F29" s="791" t="s">
        <v>1015</v>
      </c>
      <c r="G29" s="788"/>
      <c r="I29" s="788"/>
      <c r="J29" s="805">
        <f>J27</f>
        <v>0</v>
      </c>
    </row>
    <row r="30" spans="1:14">
      <c r="A30" s="766">
        <f>+A29+1</f>
        <v>23</v>
      </c>
      <c r="B30" s="791" t="s">
        <v>900</v>
      </c>
      <c r="C30" s="791"/>
      <c r="D30" s="791"/>
      <c r="E30" s="791"/>
      <c r="F30" s="791" t="s">
        <v>918</v>
      </c>
      <c r="G30" s="817"/>
      <c r="H30" s="791"/>
      <c r="I30" s="817"/>
      <c r="J30" s="780">
        <v>0</v>
      </c>
    </row>
    <row r="31" spans="1:14">
      <c r="A31" s="766">
        <f>+A30+1</f>
        <v>24</v>
      </c>
      <c r="B31" s="791" t="s">
        <v>1185</v>
      </c>
      <c r="C31" s="791"/>
      <c r="D31" s="791"/>
      <c r="E31" s="791"/>
      <c r="F31" s="791" t="s">
        <v>1010</v>
      </c>
      <c r="G31" s="817"/>
      <c r="H31" s="791"/>
      <c r="I31" s="817"/>
      <c r="J31" s="792">
        <f>J29+J30</f>
        <v>0</v>
      </c>
    </row>
    <row r="32" spans="1:14">
      <c r="A32" s="766">
        <v>25</v>
      </c>
      <c r="B32" s="791" t="s">
        <v>851</v>
      </c>
      <c r="C32" s="791"/>
      <c r="D32" s="791"/>
      <c r="E32" s="791"/>
      <c r="F32" s="791" t="s">
        <v>1011</v>
      </c>
      <c r="G32" s="817"/>
      <c r="H32" s="791"/>
      <c r="I32" s="818"/>
      <c r="J32" s="793">
        <f>J23</f>
        <v>0</v>
      </c>
    </row>
    <row r="33" spans="1:11">
      <c r="A33" s="766">
        <v>26</v>
      </c>
      <c r="B33" s="791" t="s">
        <v>1000</v>
      </c>
      <c r="C33" s="791"/>
      <c r="D33" s="791"/>
      <c r="E33" s="791"/>
      <c r="F33" s="791" t="s">
        <v>996</v>
      </c>
      <c r="G33" s="791"/>
      <c r="H33" s="791"/>
      <c r="I33" s="791"/>
      <c r="J33" s="813">
        <f>J31+J32</f>
        <v>0</v>
      </c>
    </row>
    <row r="34" spans="1:11">
      <c r="A34" s="766">
        <v>27</v>
      </c>
      <c r="B34" s="791" t="s">
        <v>1007</v>
      </c>
      <c r="C34" s="791"/>
      <c r="D34" s="791"/>
      <c r="E34" s="791"/>
      <c r="F34" s="791"/>
      <c r="G34" s="791"/>
      <c r="H34" s="791"/>
      <c r="I34" s="791"/>
      <c r="J34" s="819">
        <v>7.9579999999999998E-2</v>
      </c>
    </row>
    <row r="35" spans="1:11">
      <c r="A35" s="766">
        <v>28</v>
      </c>
      <c r="B35" s="820" t="s">
        <v>864</v>
      </c>
      <c r="C35" s="791"/>
      <c r="D35" s="791"/>
      <c r="E35" s="791"/>
      <c r="F35" s="791"/>
      <c r="G35" s="791"/>
      <c r="H35" s="791"/>
      <c r="I35" s="791"/>
      <c r="J35" s="822">
        <f>J33*J34</f>
        <v>0</v>
      </c>
    </row>
    <row r="36" spans="1:11">
      <c r="A36" s="791"/>
      <c r="B36" s="791"/>
      <c r="C36" s="791"/>
      <c r="D36" s="791"/>
      <c r="E36" s="791"/>
      <c r="F36" s="791"/>
      <c r="G36" s="791"/>
      <c r="H36" s="791"/>
      <c r="I36" s="791"/>
      <c r="J36" s="813"/>
    </row>
    <row r="37" spans="1:11">
      <c r="A37" s="791"/>
      <c r="B37" s="791"/>
      <c r="C37" s="791"/>
      <c r="D37" s="791"/>
      <c r="E37" s="791"/>
      <c r="F37" s="791"/>
      <c r="G37" s="791"/>
      <c r="H37" s="791"/>
      <c r="I37" s="791"/>
      <c r="J37" s="813"/>
    </row>
    <row r="38" spans="1:11" ht="15.5">
      <c r="A38"/>
      <c r="B38"/>
      <c r="C38"/>
      <c r="D38"/>
      <c r="E38"/>
      <c r="F38"/>
      <c r="G38"/>
      <c r="H38"/>
      <c r="I38"/>
      <c r="J38"/>
    </row>
    <row r="39" spans="1:11">
      <c r="A39" s="1021" t="str">
        <f>A1</f>
        <v>Worksheet P5</v>
      </c>
      <c r="B39" s="1021"/>
      <c r="C39" s="1021"/>
      <c r="D39" s="1021"/>
      <c r="E39" s="1021"/>
      <c r="F39" s="1021"/>
      <c r="G39" s="1021"/>
      <c r="H39" s="1021"/>
      <c r="I39" s="1021"/>
      <c r="J39" s="1021"/>
      <c r="K39" s="1021"/>
    </row>
    <row r="40" spans="1:11">
      <c r="A40" s="1021" t="str">
        <f>A2</f>
        <v>Accumulated Deferred Income Taxes</v>
      </c>
      <c r="B40" s="1021"/>
      <c r="C40" s="1021"/>
      <c r="D40" s="1021"/>
      <c r="E40" s="1021"/>
      <c r="F40" s="1021"/>
      <c r="G40" s="1021"/>
      <c r="H40" s="1021"/>
      <c r="I40" s="1021"/>
      <c r="J40" s="1021"/>
      <c r="K40" s="1021"/>
    </row>
    <row r="41" spans="1:11">
      <c r="A41" s="1025" t="str">
        <f>A3</f>
        <v>Cheyenne Light, Fuel &amp; Power</v>
      </c>
      <c r="B41" s="1025"/>
      <c r="C41" s="1025"/>
      <c r="D41" s="1025"/>
      <c r="E41" s="1025"/>
      <c r="F41" s="1025"/>
      <c r="G41" s="1025"/>
      <c r="H41" s="1025"/>
      <c r="I41" s="1025"/>
      <c r="J41" s="1025"/>
      <c r="K41" s="1025"/>
    </row>
    <row r="42" spans="1:11">
      <c r="J42" s="768" t="s">
        <v>984</v>
      </c>
    </row>
    <row r="43" spans="1:11">
      <c r="A43" s="795"/>
      <c r="B43" s="796"/>
      <c r="C43" s="795"/>
      <c r="D43" s="795"/>
      <c r="E43" s="795"/>
      <c r="F43" s="795"/>
      <c r="G43" s="795"/>
      <c r="H43" s="795"/>
      <c r="I43" s="795"/>
      <c r="J43" s="767"/>
      <c r="K43" s="797"/>
    </row>
    <row r="44" spans="1:11">
      <c r="A44" s="766">
        <f>A35+1</f>
        <v>29</v>
      </c>
      <c r="B44" s="769" t="s">
        <v>855</v>
      </c>
      <c r="H44" s="770"/>
      <c r="I44" s="770"/>
      <c r="J44" s="770"/>
    </row>
    <row r="45" spans="1:11">
      <c r="A45" s="766">
        <f>+A44+1</f>
        <v>30</v>
      </c>
      <c r="B45" s="1018" t="s">
        <v>836</v>
      </c>
      <c r="C45" s="1019"/>
      <c r="D45" s="1019"/>
      <c r="E45" s="1019"/>
      <c r="F45" s="1020"/>
      <c r="G45" s="772"/>
      <c r="H45" s="1018" t="s">
        <v>837</v>
      </c>
      <c r="I45" s="1019"/>
      <c r="J45" s="1020"/>
    </row>
    <row r="46" spans="1:11">
      <c r="B46" s="773" t="s">
        <v>79</v>
      </c>
      <c r="C46" s="773" t="s">
        <v>80</v>
      </c>
      <c r="D46" s="773" t="s">
        <v>81</v>
      </c>
      <c r="E46" s="773" t="s">
        <v>82</v>
      </c>
      <c r="F46" s="773" t="s">
        <v>83</v>
      </c>
      <c r="G46" s="772"/>
      <c r="H46" s="773" t="s">
        <v>84</v>
      </c>
      <c r="I46" s="773" t="s">
        <v>85</v>
      </c>
      <c r="J46" s="773" t="s">
        <v>449</v>
      </c>
    </row>
    <row r="47" spans="1:11" ht="52">
      <c r="A47" s="766">
        <f>+A45+1</f>
        <v>31</v>
      </c>
      <c r="B47" s="774" t="s">
        <v>268</v>
      </c>
      <c r="C47" s="774" t="s">
        <v>838</v>
      </c>
      <c r="D47" s="774" t="s">
        <v>839</v>
      </c>
      <c r="E47" s="774" t="s">
        <v>840</v>
      </c>
      <c r="F47" s="774" t="s">
        <v>841</v>
      </c>
      <c r="G47" s="775"/>
      <c r="H47" s="774" t="s">
        <v>842</v>
      </c>
      <c r="I47" s="774" t="s">
        <v>843</v>
      </c>
      <c r="J47" s="774" t="s">
        <v>844</v>
      </c>
    </row>
    <row r="48" spans="1:11">
      <c r="A48" s="766">
        <f t="shared" ref="A48:A62" si="6">+A47+1</f>
        <v>32</v>
      </c>
      <c r="C48" s="775"/>
      <c r="D48" s="775"/>
      <c r="E48" s="775"/>
      <c r="F48" s="775"/>
      <c r="G48" s="775"/>
      <c r="H48" s="775"/>
      <c r="I48" s="775"/>
      <c r="J48" s="775"/>
    </row>
    <row r="49" spans="1:11">
      <c r="A49" s="766">
        <f t="shared" si="6"/>
        <v>33</v>
      </c>
      <c r="B49" s="776" t="s">
        <v>845</v>
      </c>
      <c r="C49" s="777"/>
      <c r="D49" s="778"/>
      <c r="E49" s="778"/>
      <c r="F49" s="778"/>
      <c r="G49" s="778"/>
      <c r="H49" s="779"/>
      <c r="I49" s="779"/>
      <c r="J49" s="780">
        <v>0</v>
      </c>
      <c r="K49" s="798"/>
    </row>
    <row r="50" spans="1:11">
      <c r="A50" s="766">
        <f t="shared" si="6"/>
        <v>34</v>
      </c>
      <c r="B50" s="777" t="s">
        <v>165</v>
      </c>
      <c r="C50" s="782">
        <v>31</v>
      </c>
      <c r="D50" s="937">
        <v>0</v>
      </c>
      <c r="E50" s="937">
        <v>0</v>
      </c>
      <c r="F50" s="696">
        <f>IF(E50=0,0,D50/E50)</f>
        <v>0</v>
      </c>
      <c r="G50" s="692"/>
      <c r="H50" s="780"/>
      <c r="I50" s="693">
        <f>+H50*F50</f>
        <v>0</v>
      </c>
      <c r="J50" s="693">
        <f t="shared" ref="J50:J61" si="7">+I50+J49</f>
        <v>0</v>
      </c>
    </row>
    <row r="51" spans="1:11">
      <c r="A51" s="766">
        <f t="shared" si="6"/>
        <v>35</v>
      </c>
      <c r="B51" s="777" t="s">
        <v>166</v>
      </c>
      <c r="C51" s="783">
        <v>28</v>
      </c>
      <c r="D51" s="937">
        <v>0</v>
      </c>
      <c r="E51" s="937">
        <v>0</v>
      </c>
      <c r="F51" s="696">
        <f t="shared" ref="F51:F61" si="8">IF(E51=0,0,D51/E51)</f>
        <v>0</v>
      </c>
      <c r="G51" s="692"/>
      <c r="H51" s="780"/>
      <c r="I51" s="693">
        <f t="shared" ref="I51:I61" si="9">+H51*F51</f>
        <v>0</v>
      </c>
      <c r="J51" s="693">
        <f t="shared" si="7"/>
        <v>0</v>
      </c>
    </row>
    <row r="52" spans="1:11">
      <c r="A52" s="766">
        <f t="shared" si="6"/>
        <v>36</v>
      </c>
      <c r="B52" s="777" t="s">
        <v>516</v>
      </c>
      <c r="C52" s="782">
        <v>31</v>
      </c>
      <c r="D52" s="937">
        <v>0</v>
      </c>
      <c r="E52" s="937">
        <v>0</v>
      </c>
      <c r="F52" s="696">
        <f t="shared" si="8"/>
        <v>0</v>
      </c>
      <c r="G52" s="692"/>
      <c r="H52" s="780"/>
      <c r="I52" s="693">
        <f t="shared" si="9"/>
        <v>0</v>
      </c>
      <c r="J52" s="693">
        <f t="shared" si="7"/>
        <v>0</v>
      </c>
    </row>
    <row r="53" spans="1:11">
      <c r="A53" s="766">
        <f t="shared" si="6"/>
        <v>37</v>
      </c>
      <c r="B53" s="777" t="s">
        <v>167</v>
      </c>
      <c r="C53" s="782">
        <v>30</v>
      </c>
      <c r="D53" s="937">
        <v>0</v>
      </c>
      <c r="E53" s="937">
        <v>0</v>
      </c>
      <c r="F53" s="696">
        <f t="shared" si="8"/>
        <v>0</v>
      </c>
      <c r="G53" s="692"/>
      <c r="H53" s="780"/>
      <c r="I53" s="693">
        <f t="shared" si="9"/>
        <v>0</v>
      </c>
      <c r="J53" s="693">
        <f t="shared" si="7"/>
        <v>0</v>
      </c>
    </row>
    <row r="54" spans="1:11">
      <c r="A54" s="766">
        <f t="shared" si="6"/>
        <v>38</v>
      </c>
      <c r="B54" s="777" t="s">
        <v>168</v>
      </c>
      <c r="C54" s="782">
        <v>31</v>
      </c>
      <c r="D54" s="937">
        <v>0</v>
      </c>
      <c r="E54" s="937">
        <v>0</v>
      </c>
      <c r="F54" s="696">
        <f t="shared" si="8"/>
        <v>0</v>
      </c>
      <c r="G54" s="692"/>
      <c r="H54" s="780"/>
      <c r="I54" s="693">
        <f t="shared" si="9"/>
        <v>0</v>
      </c>
      <c r="J54" s="693">
        <f t="shared" si="7"/>
        <v>0</v>
      </c>
    </row>
    <row r="55" spans="1:11">
      <c r="A55" s="766">
        <f t="shared" si="6"/>
        <v>39</v>
      </c>
      <c r="B55" s="777" t="s">
        <v>169</v>
      </c>
      <c r="C55" s="782">
        <v>30</v>
      </c>
      <c r="D55" s="937">
        <v>0</v>
      </c>
      <c r="E55" s="937">
        <v>0</v>
      </c>
      <c r="F55" s="696">
        <f t="shared" si="8"/>
        <v>0</v>
      </c>
      <c r="G55" s="692"/>
      <c r="H55" s="780"/>
      <c r="I55" s="693">
        <f t="shared" si="9"/>
        <v>0</v>
      </c>
      <c r="J55" s="693">
        <f t="shared" si="7"/>
        <v>0</v>
      </c>
    </row>
    <row r="56" spans="1:11">
      <c r="A56" s="766">
        <f t="shared" si="6"/>
        <v>40</v>
      </c>
      <c r="B56" s="777" t="s">
        <v>170</v>
      </c>
      <c r="C56" s="782">
        <v>31</v>
      </c>
      <c r="D56" s="937">
        <v>0</v>
      </c>
      <c r="E56" s="937">
        <v>0</v>
      </c>
      <c r="F56" s="696">
        <f t="shared" si="8"/>
        <v>0</v>
      </c>
      <c r="G56" s="692"/>
      <c r="H56" s="780"/>
      <c r="I56" s="693">
        <f t="shared" si="9"/>
        <v>0</v>
      </c>
      <c r="J56" s="693">
        <f t="shared" si="7"/>
        <v>0</v>
      </c>
    </row>
    <row r="57" spans="1:11">
      <c r="A57" s="766">
        <f t="shared" si="6"/>
        <v>41</v>
      </c>
      <c r="B57" s="777" t="s">
        <v>517</v>
      </c>
      <c r="C57" s="782">
        <v>31</v>
      </c>
      <c r="D57" s="937">
        <v>0</v>
      </c>
      <c r="E57" s="937">
        <v>0</v>
      </c>
      <c r="F57" s="696">
        <f t="shared" si="8"/>
        <v>0</v>
      </c>
      <c r="G57" s="692"/>
      <c r="H57" s="780"/>
      <c r="I57" s="693">
        <f t="shared" si="9"/>
        <v>0</v>
      </c>
      <c r="J57" s="693">
        <f t="shared" si="7"/>
        <v>0</v>
      </c>
    </row>
    <row r="58" spans="1:11">
      <c r="A58" s="766">
        <f t="shared" si="6"/>
        <v>42</v>
      </c>
      <c r="B58" s="777" t="s">
        <v>171</v>
      </c>
      <c r="C58" s="782">
        <v>30</v>
      </c>
      <c r="D58" s="937">
        <v>0</v>
      </c>
      <c r="E58" s="937">
        <v>0</v>
      </c>
      <c r="F58" s="696">
        <f t="shared" si="8"/>
        <v>0</v>
      </c>
      <c r="G58" s="692"/>
      <c r="H58" s="780"/>
      <c r="I58" s="693">
        <f t="shared" si="9"/>
        <v>0</v>
      </c>
      <c r="J58" s="693">
        <f t="shared" si="7"/>
        <v>0</v>
      </c>
    </row>
    <row r="59" spans="1:11">
      <c r="A59" s="766">
        <f t="shared" si="6"/>
        <v>43</v>
      </c>
      <c r="B59" s="777" t="s">
        <v>172</v>
      </c>
      <c r="C59" s="782">
        <v>31</v>
      </c>
      <c r="D59" s="937">
        <v>0</v>
      </c>
      <c r="E59" s="937">
        <v>0</v>
      </c>
      <c r="F59" s="696">
        <f t="shared" si="8"/>
        <v>0</v>
      </c>
      <c r="G59" s="692"/>
      <c r="H59" s="780"/>
      <c r="I59" s="693">
        <f t="shared" si="9"/>
        <v>0</v>
      </c>
      <c r="J59" s="693">
        <f t="shared" si="7"/>
        <v>0</v>
      </c>
    </row>
    <row r="60" spans="1:11">
      <c r="A60" s="766">
        <f t="shared" si="6"/>
        <v>44</v>
      </c>
      <c r="B60" s="777" t="s">
        <v>173</v>
      </c>
      <c r="C60" s="782">
        <v>30</v>
      </c>
      <c r="D60" s="937">
        <v>0</v>
      </c>
      <c r="E60" s="937">
        <v>0</v>
      </c>
      <c r="F60" s="696">
        <f t="shared" si="8"/>
        <v>0</v>
      </c>
      <c r="G60" s="692"/>
      <c r="H60" s="780"/>
      <c r="I60" s="693">
        <f t="shared" si="9"/>
        <v>0</v>
      </c>
      <c r="J60" s="693">
        <f t="shared" si="7"/>
        <v>0</v>
      </c>
    </row>
    <row r="61" spans="1:11">
      <c r="A61" s="766">
        <f t="shared" si="6"/>
        <v>45</v>
      </c>
      <c r="B61" s="777" t="s">
        <v>518</v>
      </c>
      <c r="C61" s="782">
        <v>31</v>
      </c>
      <c r="D61" s="937">
        <v>0</v>
      </c>
      <c r="E61" s="937">
        <v>0</v>
      </c>
      <c r="F61" s="696">
        <f t="shared" si="8"/>
        <v>0</v>
      </c>
      <c r="G61" s="692"/>
      <c r="H61" s="780"/>
      <c r="I61" s="693">
        <f t="shared" si="9"/>
        <v>0</v>
      </c>
      <c r="J61" s="693">
        <f t="shared" si="7"/>
        <v>0</v>
      </c>
    </row>
    <row r="62" spans="1:11">
      <c r="A62" s="766">
        <f t="shared" si="6"/>
        <v>46</v>
      </c>
      <c r="B62" s="784"/>
      <c r="C62" s="784" t="s">
        <v>9</v>
      </c>
      <c r="D62" s="784"/>
      <c r="E62" s="784"/>
      <c r="F62" s="785"/>
      <c r="G62" s="778"/>
      <c r="H62" s="786">
        <f>SUM(H50:H61)</f>
        <v>0</v>
      </c>
      <c r="I62" s="786">
        <f>SUM(I50:I61)</f>
        <v>0</v>
      </c>
      <c r="J62" s="785"/>
    </row>
    <row r="63" spans="1:11">
      <c r="B63" s="787"/>
      <c r="C63" s="787"/>
      <c r="D63" s="787"/>
      <c r="E63" s="787"/>
      <c r="F63" s="788"/>
      <c r="G63" s="788"/>
      <c r="H63" s="789"/>
      <c r="I63" s="790"/>
      <c r="J63" s="788"/>
    </row>
    <row r="64" spans="1:11">
      <c r="A64" s="766">
        <f>+A62+1</f>
        <v>47</v>
      </c>
      <c r="B64" s="856" t="s">
        <v>1102</v>
      </c>
      <c r="F64" s="791" t="s">
        <v>856</v>
      </c>
      <c r="G64" s="788"/>
      <c r="I64" s="788"/>
      <c r="J64" s="783">
        <v>0</v>
      </c>
    </row>
    <row r="65" spans="1:11">
      <c r="A65" s="766">
        <f>+A64+1</f>
        <v>48</v>
      </c>
      <c r="B65" s="766" t="s">
        <v>848</v>
      </c>
      <c r="F65" s="766" t="str">
        <f>"(Line "&amp;A64&amp;" less line "&amp;A66&amp;")"</f>
        <v>(Line 47 less line 49)</v>
      </c>
      <c r="G65" s="788"/>
      <c r="I65" s="788"/>
      <c r="J65" s="792">
        <f>+J64-J66</f>
        <v>0</v>
      </c>
    </row>
    <row r="66" spans="1:11">
      <c r="A66" s="766">
        <f t="shared" ref="A66:A72" si="10">+A65+1</f>
        <v>49</v>
      </c>
      <c r="B66" s="766" t="s">
        <v>849</v>
      </c>
      <c r="F66" s="766" t="str">
        <f>"(Line "&amp;A49&amp;", Col H)"</f>
        <v>(Line 33, Col H)</v>
      </c>
      <c r="G66" s="788"/>
      <c r="I66" s="788"/>
      <c r="J66" s="779">
        <f>+J49</f>
        <v>0</v>
      </c>
    </row>
    <row r="67" spans="1:11">
      <c r="A67" s="766">
        <f t="shared" si="10"/>
        <v>50</v>
      </c>
      <c r="B67" s="766" t="s">
        <v>850</v>
      </c>
      <c r="F67" s="791" t="s">
        <v>857</v>
      </c>
      <c r="G67" s="788"/>
      <c r="I67" s="788"/>
      <c r="J67" s="783">
        <v>0</v>
      </c>
    </row>
    <row r="68" spans="1:11">
      <c r="A68" s="766">
        <f t="shared" si="10"/>
        <v>51</v>
      </c>
      <c r="B68" s="766" t="str">
        <f>+B65</f>
        <v>Less non Prorated Items</v>
      </c>
      <c r="F68" s="766" t="str">
        <f>"(Line "&amp;A67&amp;" less line "&amp;A69&amp;")"</f>
        <v>(Line 50 less line 52)</v>
      </c>
      <c r="G68" s="788"/>
      <c r="I68" s="788"/>
      <c r="J68" s="792">
        <f>+J67-J69</f>
        <v>0</v>
      </c>
    </row>
    <row r="69" spans="1:11">
      <c r="A69" s="766">
        <f t="shared" si="10"/>
        <v>52</v>
      </c>
      <c r="B69" s="766" t="s">
        <v>851</v>
      </c>
      <c r="F69" s="766" t="str">
        <f>"(Line "&amp;A61&amp;", Col H)"</f>
        <v>(Line 45, Col H)</v>
      </c>
      <c r="G69" s="788"/>
      <c r="I69" s="788"/>
      <c r="J69" s="779">
        <f>+J61</f>
        <v>0</v>
      </c>
    </row>
    <row r="70" spans="1:11">
      <c r="A70" s="766">
        <f t="shared" si="10"/>
        <v>53</v>
      </c>
      <c r="B70" s="766" t="s">
        <v>768</v>
      </c>
      <c r="F70" s="766" t="str">
        <f>"([Lines "&amp;A66&amp;" + "&amp;A69&amp;"] /2)+([Lines "&amp;A65&amp;" +"&amp;A68&amp;")/2])"</f>
        <v>([Lines 49 + 52] /2)+([Lines 48 +51)/2])</v>
      </c>
      <c r="G70" s="788"/>
      <c r="I70" s="775"/>
      <c r="J70" s="793">
        <f>(J66+J69)/2+(J65+J68)/2</f>
        <v>0</v>
      </c>
    </row>
    <row r="71" spans="1:11">
      <c r="A71" s="766">
        <f t="shared" si="10"/>
        <v>54</v>
      </c>
      <c r="B71" s="766" t="s">
        <v>854</v>
      </c>
      <c r="F71" s="766" t="s">
        <v>861</v>
      </c>
      <c r="G71" s="788"/>
      <c r="I71" s="775"/>
      <c r="J71" s="783">
        <v>0</v>
      </c>
    </row>
    <row r="72" spans="1:11">
      <c r="A72" s="766">
        <f t="shared" si="10"/>
        <v>55</v>
      </c>
      <c r="B72" s="766" t="s">
        <v>864</v>
      </c>
      <c r="F72" s="766" t="str">
        <f>"(Line "&amp;A70&amp;" less line "&amp;A71&amp;")"</f>
        <v>(Line 53 less line 54)</v>
      </c>
      <c r="J72" s="794">
        <f>+J70-J71</f>
        <v>0</v>
      </c>
    </row>
    <row r="73" spans="1:11">
      <c r="A73" s="1021" t="str">
        <f>A1</f>
        <v>Worksheet P5</v>
      </c>
      <c r="B73" s="1021"/>
      <c r="C73" s="1021"/>
      <c r="D73" s="1021"/>
      <c r="E73" s="1021"/>
      <c r="F73" s="1021"/>
      <c r="G73" s="1021"/>
      <c r="H73" s="1021"/>
      <c r="I73" s="1021"/>
      <c r="J73" s="1021"/>
      <c r="K73" s="1021"/>
    </row>
    <row r="74" spans="1:11">
      <c r="A74" s="1021" t="str">
        <f>A2</f>
        <v>Accumulated Deferred Income Taxes</v>
      </c>
      <c r="B74" s="1021"/>
      <c r="C74" s="1021"/>
      <c r="D74" s="1021"/>
      <c r="E74" s="1021"/>
      <c r="F74" s="1021"/>
      <c r="G74" s="1021"/>
      <c r="H74" s="1021"/>
      <c r="I74" s="1021"/>
      <c r="J74" s="1021"/>
      <c r="K74" s="1021"/>
    </row>
    <row r="75" spans="1:11">
      <c r="A75" s="1021" t="str">
        <f>A3</f>
        <v>Cheyenne Light, Fuel &amp; Power</v>
      </c>
      <c r="B75" s="1021"/>
      <c r="C75" s="1021"/>
      <c r="D75" s="1021"/>
      <c r="E75" s="1021"/>
      <c r="F75" s="1021"/>
      <c r="G75" s="1021"/>
      <c r="H75" s="1021"/>
      <c r="I75" s="1021"/>
      <c r="J75" s="1021"/>
      <c r="K75" s="1021"/>
    </row>
    <row r="76" spans="1:11">
      <c r="A76" s="799"/>
      <c r="B76" s="799"/>
      <c r="C76" s="799"/>
      <c r="D76" s="799"/>
      <c r="E76" s="799"/>
      <c r="F76" s="799"/>
      <c r="G76" s="799"/>
      <c r="H76" s="799"/>
      <c r="I76" s="799"/>
      <c r="J76" s="768" t="s">
        <v>985</v>
      </c>
      <c r="K76" s="799"/>
    </row>
    <row r="78" spans="1:11">
      <c r="A78" s="766">
        <f>+A72+1</f>
        <v>56</v>
      </c>
      <c r="B78" s="769" t="s">
        <v>852</v>
      </c>
      <c r="H78" s="770"/>
      <c r="I78" s="770"/>
      <c r="J78" s="770"/>
    </row>
    <row r="79" spans="1:11">
      <c r="A79" s="766">
        <f>+A78+1</f>
        <v>57</v>
      </c>
      <c r="B79" s="1022" t="s">
        <v>836</v>
      </c>
      <c r="C79" s="1023"/>
      <c r="D79" s="1023"/>
      <c r="E79" s="1023"/>
      <c r="F79" s="1024"/>
      <c r="G79" s="772"/>
      <c r="H79" s="1018" t="s">
        <v>837</v>
      </c>
      <c r="I79" s="1019"/>
      <c r="J79" s="1020"/>
    </row>
    <row r="80" spans="1:11">
      <c r="B80" s="773" t="s">
        <v>79</v>
      </c>
      <c r="C80" s="773" t="s">
        <v>80</v>
      </c>
      <c r="D80" s="773" t="s">
        <v>81</v>
      </c>
      <c r="E80" s="773" t="s">
        <v>82</v>
      </c>
      <c r="F80" s="773" t="s">
        <v>83</v>
      </c>
      <c r="G80" s="772"/>
      <c r="H80" s="773" t="s">
        <v>84</v>
      </c>
      <c r="I80" s="773" t="s">
        <v>85</v>
      </c>
      <c r="J80" s="773" t="s">
        <v>449</v>
      </c>
    </row>
    <row r="81" spans="1:16" ht="52">
      <c r="A81" s="766">
        <f>+A79+1</f>
        <v>58</v>
      </c>
      <c r="B81" s="774" t="s">
        <v>268</v>
      </c>
      <c r="C81" s="774" t="s">
        <v>838</v>
      </c>
      <c r="D81" s="774" t="s">
        <v>839</v>
      </c>
      <c r="E81" s="774" t="s">
        <v>840</v>
      </c>
      <c r="F81" s="774" t="s">
        <v>841</v>
      </c>
      <c r="G81" s="775"/>
      <c r="H81" s="774" t="s">
        <v>842</v>
      </c>
      <c r="I81" s="774" t="s">
        <v>843</v>
      </c>
      <c r="J81" s="774" t="s">
        <v>844</v>
      </c>
    </row>
    <row r="82" spans="1:16">
      <c r="A82" s="766">
        <f t="shared" ref="A82:A96" si="11">+A81+1</f>
        <v>59</v>
      </c>
      <c r="C82" s="775"/>
      <c r="D82" s="775"/>
      <c r="E82" s="775"/>
      <c r="F82" s="775"/>
      <c r="G82" s="775"/>
      <c r="H82" s="775"/>
      <c r="I82" s="775"/>
      <c r="J82" s="775"/>
      <c r="L82" s="800"/>
      <c r="M82" s="800"/>
      <c r="N82" s="800"/>
      <c r="O82" s="800"/>
      <c r="P82" s="800"/>
    </row>
    <row r="83" spans="1:16">
      <c r="A83" s="766">
        <f>+A82+1</f>
        <v>60</v>
      </c>
      <c r="B83" s="766" t="s">
        <v>849</v>
      </c>
      <c r="C83" s="777"/>
      <c r="D83" s="778"/>
      <c r="E83" s="778"/>
      <c r="F83" s="778"/>
      <c r="G83" s="778"/>
      <c r="H83" s="779"/>
      <c r="I83" s="779"/>
      <c r="J83" s="780">
        <v>0</v>
      </c>
      <c r="L83" s="801"/>
      <c r="M83" s="800"/>
      <c r="N83" s="800"/>
      <c r="O83" s="800"/>
      <c r="P83" s="800"/>
    </row>
    <row r="84" spans="1:16">
      <c r="A84" s="766">
        <f t="shared" si="11"/>
        <v>61</v>
      </c>
      <c r="B84" s="777" t="s">
        <v>165</v>
      </c>
      <c r="C84" s="782">
        <v>31</v>
      </c>
      <c r="D84" s="937">
        <v>0</v>
      </c>
      <c r="E84" s="937">
        <v>0</v>
      </c>
      <c r="F84" s="713">
        <f>IF(E84=0,0,D84/E84)</f>
        <v>0</v>
      </c>
      <c r="G84" s="802"/>
      <c r="H84" s="780">
        <v>0</v>
      </c>
      <c r="I84" s="729">
        <f>+H84*F84</f>
        <v>0</v>
      </c>
      <c r="J84" s="729">
        <f>+I84+J83</f>
        <v>0</v>
      </c>
      <c r="L84" s="694"/>
      <c r="M84" s="695"/>
      <c r="N84" s="800"/>
      <c r="O84" s="800"/>
      <c r="P84" s="800"/>
    </row>
    <row r="85" spans="1:16">
      <c r="A85" s="766">
        <f t="shared" si="11"/>
        <v>62</v>
      </c>
      <c r="B85" s="777" t="s">
        <v>166</v>
      </c>
      <c r="C85" s="783">
        <v>28</v>
      </c>
      <c r="D85" s="937">
        <v>0</v>
      </c>
      <c r="E85" s="937">
        <v>0</v>
      </c>
      <c r="F85" s="713">
        <f t="shared" ref="F85:F95" si="12">IF(E85=0,0,D85/E85)</f>
        <v>0</v>
      </c>
      <c r="G85" s="697"/>
      <c r="H85" s="780">
        <v>0</v>
      </c>
      <c r="I85" s="729">
        <f t="shared" ref="I85:I95" si="13">+H85*F85</f>
        <v>0</v>
      </c>
      <c r="J85" s="729">
        <f t="shared" ref="J85:J95" si="14">+I85+J84</f>
        <v>0</v>
      </c>
      <c r="K85" s="803"/>
      <c r="L85" s="694"/>
      <c r="M85" s="694"/>
      <c r="N85" s="800"/>
      <c r="O85" s="800"/>
      <c r="P85" s="800"/>
    </row>
    <row r="86" spans="1:16">
      <c r="A86" s="766">
        <f t="shared" si="11"/>
        <v>63</v>
      </c>
      <c r="B86" s="777" t="s">
        <v>516</v>
      </c>
      <c r="C86" s="782">
        <v>31</v>
      </c>
      <c r="D86" s="937">
        <v>0</v>
      </c>
      <c r="E86" s="937">
        <v>0</v>
      </c>
      <c r="F86" s="713">
        <f t="shared" si="12"/>
        <v>0</v>
      </c>
      <c r="G86" s="697"/>
      <c r="H86" s="780">
        <v>0</v>
      </c>
      <c r="I86" s="729">
        <f t="shared" si="13"/>
        <v>0</v>
      </c>
      <c r="J86" s="729">
        <f t="shared" si="14"/>
        <v>0</v>
      </c>
      <c r="L86" s="694"/>
      <c r="M86" s="694"/>
      <c r="N86" s="800"/>
      <c r="O86" s="800"/>
      <c r="P86" s="800"/>
    </row>
    <row r="87" spans="1:16">
      <c r="A87" s="766">
        <f t="shared" si="11"/>
        <v>64</v>
      </c>
      <c r="B87" s="777" t="s">
        <v>167</v>
      </c>
      <c r="C87" s="782">
        <v>30</v>
      </c>
      <c r="D87" s="937">
        <v>0</v>
      </c>
      <c r="E87" s="937">
        <v>0</v>
      </c>
      <c r="F87" s="713">
        <f t="shared" si="12"/>
        <v>0</v>
      </c>
      <c r="G87" s="697"/>
      <c r="H87" s="780">
        <v>0</v>
      </c>
      <c r="I87" s="729">
        <f t="shared" si="13"/>
        <v>0</v>
      </c>
      <c r="J87" s="729">
        <f t="shared" si="14"/>
        <v>0</v>
      </c>
      <c r="L87" s="694"/>
      <c r="M87" s="694"/>
      <c r="N87" s="800"/>
      <c r="O87" s="800"/>
      <c r="P87" s="800"/>
    </row>
    <row r="88" spans="1:16">
      <c r="A88" s="766">
        <f t="shared" si="11"/>
        <v>65</v>
      </c>
      <c r="B88" s="777" t="s">
        <v>168</v>
      </c>
      <c r="C88" s="782">
        <v>31</v>
      </c>
      <c r="D88" s="937">
        <v>0</v>
      </c>
      <c r="E88" s="937">
        <v>0</v>
      </c>
      <c r="F88" s="713">
        <f t="shared" si="12"/>
        <v>0</v>
      </c>
      <c r="G88" s="697"/>
      <c r="H88" s="780">
        <v>0</v>
      </c>
      <c r="I88" s="729">
        <f t="shared" si="13"/>
        <v>0</v>
      </c>
      <c r="J88" s="729">
        <f t="shared" si="14"/>
        <v>0</v>
      </c>
      <c r="L88" s="694"/>
      <c r="M88" s="694"/>
      <c r="N88" s="800"/>
      <c r="O88" s="800"/>
      <c r="P88" s="800"/>
    </row>
    <row r="89" spans="1:16">
      <c r="A89" s="766">
        <f t="shared" si="11"/>
        <v>66</v>
      </c>
      <c r="B89" s="777" t="s">
        <v>169</v>
      </c>
      <c r="C89" s="782">
        <v>30</v>
      </c>
      <c r="D89" s="937">
        <v>0</v>
      </c>
      <c r="E89" s="937">
        <v>0</v>
      </c>
      <c r="F89" s="713">
        <f t="shared" si="12"/>
        <v>0</v>
      </c>
      <c r="G89" s="697"/>
      <c r="H89" s="780">
        <v>0</v>
      </c>
      <c r="I89" s="729">
        <f t="shared" si="13"/>
        <v>0</v>
      </c>
      <c r="J89" s="729">
        <f t="shared" si="14"/>
        <v>0</v>
      </c>
      <c r="L89" s="694"/>
      <c r="M89" s="694"/>
      <c r="N89" s="800"/>
      <c r="O89" s="800"/>
      <c r="P89" s="800"/>
    </row>
    <row r="90" spans="1:16">
      <c r="A90" s="766">
        <f t="shared" si="11"/>
        <v>67</v>
      </c>
      <c r="B90" s="777" t="s">
        <v>170</v>
      </c>
      <c r="C90" s="782">
        <v>31</v>
      </c>
      <c r="D90" s="937">
        <v>0</v>
      </c>
      <c r="E90" s="937">
        <v>0</v>
      </c>
      <c r="F90" s="713">
        <f t="shared" si="12"/>
        <v>0</v>
      </c>
      <c r="G90" s="697"/>
      <c r="H90" s="780">
        <v>0</v>
      </c>
      <c r="I90" s="729">
        <f t="shared" si="13"/>
        <v>0</v>
      </c>
      <c r="J90" s="729">
        <f t="shared" si="14"/>
        <v>0</v>
      </c>
      <c r="L90" s="694"/>
      <c r="M90" s="694"/>
      <c r="N90" s="801"/>
      <c r="O90" s="800"/>
      <c r="P90" s="694"/>
    </row>
    <row r="91" spans="1:16">
      <c r="A91" s="766">
        <f t="shared" si="11"/>
        <v>68</v>
      </c>
      <c r="B91" s="777" t="s">
        <v>517</v>
      </c>
      <c r="C91" s="782">
        <v>31</v>
      </c>
      <c r="D91" s="937">
        <v>0</v>
      </c>
      <c r="E91" s="937">
        <v>0</v>
      </c>
      <c r="F91" s="713">
        <f t="shared" si="12"/>
        <v>0</v>
      </c>
      <c r="G91" s="697"/>
      <c r="H91" s="780">
        <v>0</v>
      </c>
      <c r="I91" s="729">
        <f t="shared" si="13"/>
        <v>0</v>
      </c>
      <c r="J91" s="729">
        <f t="shared" si="14"/>
        <v>0</v>
      </c>
      <c r="L91" s="694"/>
      <c r="M91" s="694"/>
      <c r="N91" s="801"/>
      <c r="O91" s="800"/>
      <c r="P91" s="694"/>
    </row>
    <row r="92" spans="1:16">
      <c r="A92" s="766">
        <f t="shared" si="11"/>
        <v>69</v>
      </c>
      <c r="B92" s="777" t="s">
        <v>171</v>
      </c>
      <c r="C92" s="782">
        <v>30</v>
      </c>
      <c r="D92" s="937">
        <v>0</v>
      </c>
      <c r="E92" s="937">
        <v>0</v>
      </c>
      <c r="F92" s="713">
        <f t="shared" si="12"/>
        <v>0</v>
      </c>
      <c r="G92" s="697"/>
      <c r="H92" s="780">
        <v>0</v>
      </c>
      <c r="I92" s="729">
        <f t="shared" si="13"/>
        <v>0</v>
      </c>
      <c r="J92" s="729">
        <f t="shared" si="14"/>
        <v>0</v>
      </c>
      <c r="L92" s="694"/>
      <c r="M92" s="694"/>
      <c r="N92" s="801"/>
      <c r="O92" s="800"/>
      <c r="P92" s="694"/>
    </row>
    <row r="93" spans="1:16">
      <c r="A93" s="766">
        <f t="shared" si="11"/>
        <v>70</v>
      </c>
      <c r="B93" s="777" t="s">
        <v>172</v>
      </c>
      <c r="C93" s="782">
        <v>31</v>
      </c>
      <c r="D93" s="937">
        <v>0</v>
      </c>
      <c r="E93" s="937">
        <v>0</v>
      </c>
      <c r="F93" s="713">
        <f t="shared" si="12"/>
        <v>0</v>
      </c>
      <c r="G93" s="697"/>
      <c r="H93" s="780">
        <v>0</v>
      </c>
      <c r="I93" s="729">
        <f t="shared" si="13"/>
        <v>0</v>
      </c>
      <c r="J93" s="729">
        <f t="shared" si="14"/>
        <v>0</v>
      </c>
      <c r="L93" s="694"/>
      <c r="M93" s="694"/>
      <c r="N93" s="801"/>
      <c r="O93" s="800"/>
      <c r="P93" s="694"/>
    </row>
    <row r="94" spans="1:16">
      <c r="A94" s="766">
        <f t="shared" si="11"/>
        <v>71</v>
      </c>
      <c r="B94" s="777" t="s">
        <v>173</v>
      </c>
      <c r="C94" s="782">
        <v>30</v>
      </c>
      <c r="D94" s="937">
        <v>0</v>
      </c>
      <c r="E94" s="937">
        <v>0</v>
      </c>
      <c r="F94" s="713">
        <f t="shared" si="12"/>
        <v>0</v>
      </c>
      <c r="G94" s="697"/>
      <c r="H94" s="780">
        <v>0</v>
      </c>
      <c r="I94" s="729">
        <f t="shared" si="13"/>
        <v>0</v>
      </c>
      <c r="J94" s="729">
        <f t="shared" si="14"/>
        <v>0</v>
      </c>
      <c r="L94" s="694"/>
      <c r="M94" s="694"/>
      <c r="N94" s="801"/>
      <c r="O94" s="800"/>
      <c r="P94" s="694"/>
    </row>
    <row r="95" spans="1:16">
      <c r="A95" s="766">
        <f t="shared" si="11"/>
        <v>72</v>
      </c>
      <c r="B95" s="777" t="s">
        <v>518</v>
      </c>
      <c r="C95" s="782">
        <v>31</v>
      </c>
      <c r="D95" s="937">
        <v>0</v>
      </c>
      <c r="E95" s="937">
        <v>0</v>
      </c>
      <c r="F95" s="713">
        <f t="shared" si="12"/>
        <v>0</v>
      </c>
      <c r="G95" s="697"/>
      <c r="H95" s="780">
        <v>0</v>
      </c>
      <c r="I95" s="729">
        <f t="shared" si="13"/>
        <v>0</v>
      </c>
      <c r="J95" s="729">
        <f t="shared" si="14"/>
        <v>0</v>
      </c>
      <c r="L95" s="694"/>
      <c r="M95" s="694"/>
      <c r="N95" s="801"/>
      <c r="O95" s="800"/>
      <c r="P95" s="694"/>
    </row>
    <row r="96" spans="1:16">
      <c r="A96" s="766">
        <f t="shared" si="11"/>
        <v>73</v>
      </c>
      <c r="B96" s="784"/>
      <c r="C96" s="784" t="s">
        <v>9</v>
      </c>
      <c r="D96" s="784"/>
      <c r="E96" s="784"/>
      <c r="F96" s="785"/>
      <c r="G96" s="778"/>
      <c r="H96" s="786">
        <f>SUM(H84:H95)</f>
        <v>0</v>
      </c>
      <c r="I96" s="786">
        <f>SUM(I84:I95)</f>
        <v>0</v>
      </c>
      <c r="J96" s="785"/>
      <c r="L96" s="804"/>
    </row>
    <row r="97" spans="1:16">
      <c r="B97" s="787"/>
      <c r="C97" s="787"/>
      <c r="D97" s="787"/>
      <c r="E97" s="787"/>
      <c r="F97" s="788"/>
      <c r="G97" s="778"/>
      <c r="H97" s="779"/>
      <c r="I97" s="779"/>
      <c r="J97" s="788"/>
      <c r="L97" s="804"/>
    </row>
    <row r="98" spans="1:16">
      <c r="A98" s="766">
        <f>+A96+1</f>
        <v>74</v>
      </c>
      <c r="B98" s="776" t="s">
        <v>898</v>
      </c>
      <c r="C98" s="775"/>
      <c r="D98" s="775"/>
      <c r="E98" s="775"/>
      <c r="F98" s="776" t="s">
        <v>905</v>
      </c>
      <c r="G98" s="775"/>
      <c r="H98" s="775"/>
      <c r="I98" s="775"/>
      <c r="J98" s="728">
        <f>'A3-ADIT'!E13</f>
        <v>-67847487.618393347</v>
      </c>
      <c r="L98" s="800"/>
      <c r="M98" s="800"/>
      <c r="N98" s="800"/>
      <c r="O98" s="800"/>
      <c r="P98" s="800"/>
    </row>
    <row r="99" spans="1:16">
      <c r="A99" s="766">
        <f>A98+1</f>
        <v>75</v>
      </c>
      <c r="B99" s="791" t="s">
        <v>1090</v>
      </c>
      <c r="C99" s="818"/>
      <c r="D99" s="818"/>
      <c r="E99" s="818"/>
      <c r="F99" s="918" t="s">
        <v>1214</v>
      </c>
      <c r="G99" s="818"/>
      <c r="H99" s="818"/>
      <c r="I99" s="818"/>
      <c r="J99" s="919">
        <f>'Proj Att-H'!G234</f>
        <v>9.6945161368748062E-2</v>
      </c>
      <c r="L99" s="800"/>
      <c r="M99" s="800"/>
      <c r="N99" s="800"/>
      <c r="O99" s="800"/>
      <c r="P99" s="800"/>
    </row>
    <row r="100" spans="1:16">
      <c r="A100" s="766">
        <f t="shared" ref="A100:A106" si="15">+A99+1</f>
        <v>76</v>
      </c>
      <c r="B100" s="791" t="s">
        <v>899</v>
      </c>
      <c r="C100" s="818"/>
      <c r="D100" s="818"/>
      <c r="E100" s="818"/>
      <c r="F100" s="918" t="s">
        <v>904</v>
      </c>
      <c r="G100" s="818"/>
      <c r="H100" s="818"/>
      <c r="I100" s="818"/>
      <c r="J100" s="920">
        <f>J98*J99</f>
        <v>-6577485.6356292795</v>
      </c>
      <c r="L100" s="800"/>
      <c r="M100" s="800"/>
      <c r="N100" s="800"/>
      <c r="O100" s="800"/>
      <c r="P100" s="800"/>
    </row>
    <row r="101" spans="1:16">
      <c r="A101" s="766">
        <f t="shared" si="15"/>
        <v>77</v>
      </c>
      <c r="B101" s="766" t="s">
        <v>900</v>
      </c>
      <c r="C101" s="775"/>
      <c r="D101" s="775"/>
      <c r="E101" s="775"/>
      <c r="F101" s="918" t="s">
        <v>1212</v>
      </c>
      <c r="G101" s="775"/>
      <c r="H101" s="775"/>
      <c r="I101" s="775"/>
      <c r="J101" s="728">
        <f>'P1-Trans Plant'!V42</f>
        <v>0</v>
      </c>
      <c r="L101" s="800"/>
      <c r="M101" s="800"/>
      <c r="N101" s="800"/>
      <c r="O101" s="800"/>
      <c r="P101" s="800"/>
    </row>
    <row r="102" spans="1:16">
      <c r="A102" s="766">
        <f t="shared" si="15"/>
        <v>78</v>
      </c>
      <c r="B102" s="766" t="s">
        <v>846</v>
      </c>
      <c r="F102" s="791" t="s">
        <v>903</v>
      </c>
      <c r="G102" s="788"/>
      <c r="I102" s="788"/>
      <c r="J102" s="805">
        <f>J100+J101</f>
        <v>-6577485.6356292795</v>
      </c>
    </row>
    <row r="103" spans="1:16">
      <c r="A103" s="766">
        <f t="shared" si="15"/>
        <v>79</v>
      </c>
      <c r="B103" s="766" t="s">
        <v>851</v>
      </c>
      <c r="F103" s="766" t="str">
        <f>"(Line "&amp;A95&amp;", Col H)"</f>
        <v>(Line 72, Col H)</v>
      </c>
      <c r="G103" s="788"/>
      <c r="I103" s="788"/>
      <c r="J103" s="779">
        <f>+J95</f>
        <v>0</v>
      </c>
    </row>
    <row r="104" spans="1:16">
      <c r="A104" s="766">
        <f t="shared" si="15"/>
        <v>80</v>
      </c>
      <c r="B104" s="766" t="s">
        <v>901</v>
      </c>
      <c r="F104" s="766" t="s">
        <v>902</v>
      </c>
      <c r="G104" s="788"/>
      <c r="I104" s="775"/>
      <c r="J104" s="793">
        <f>J102+J103</f>
        <v>-6577485.6356292795</v>
      </c>
      <c r="L104" s="806"/>
    </row>
    <row r="105" spans="1:16">
      <c r="A105" s="766">
        <f t="shared" si="15"/>
        <v>81</v>
      </c>
      <c r="B105" s="766" t="s">
        <v>854</v>
      </c>
      <c r="F105" s="766" t="s">
        <v>861</v>
      </c>
      <c r="G105" s="788"/>
      <c r="I105" s="775"/>
      <c r="J105" s="783">
        <v>0</v>
      </c>
    </row>
    <row r="106" spans="1:16">
      <c r="A106" s="766">
        <f t="shared" si="15"/>
        <v>82</v>
      </c>
      <c r="B106" s="766" t="s">
        <v>864</v>
      </c>
      <c r="F106" s="766" t="s">
        <v>911</v>
      </c>
      <c r="J106" s="794">
        <f>+J104-J105</f>
        <v>-6577485.6356292795</v>
      </c>
    </row>
    <row r="107" spans="1:16">
      <c r="A107" s="1021" t="str">
        <f>A1</f>
        <v>Worksheet P5</v>
      </c>
      <c r="B107" s="1021"/>
      <c r="C107" s="1021"/>
      <c r="D107" s="1021"/>
      <c r="E107" s="1021"/>
      <c r="F107" s="1021"/>
      <c r="G107" s="1021"/>
      <c r="H107" s="1021"/>
      <c r="I107" s="1021"/>
      <c r="J107" s="1021"/>
      <c r="K107" s="1021"/>
    </row>
    <row r="108" spans="1:16">
      <c r="A108" s="1021" t="str">
        <f>A2</f>
        <v>Accumulated Deferred Income Taxes</v>
      </c>
      <c r="B108" s="1021"/>
      <c r="C108" s="1021"/>
      <c r="D108" s="1021"/>
      <c r="E108" s="1021"/>
      <c r="F108" s="1021"/>
      <c r="G108" s="1021"/>
      <c r="H108" s="1021"/>
      <c r="I108" s="1021"/>
      <c r="J108" s="1021"/>
      <c r="K108" s="1021"/>
    </row>
    <row r="109" spans="1:16">
      <c r="A109" s="1021" t="str">
        <f>A3</f>
        <v>Cheyenne Light, Fuel &amp; Power</v>
      </c>
      <c r="B109" s="1021"/>
      <c r="C109" s="1021"/>
      <c r="D109" s="1021"/>
      <c r="E109" s="1021"/>
      <c r="F109" s="1021"/>
      <c r="G109" s="1021"/>
      <c r="H109" s="1021"/>
      <c r="I109" s="1021"/>
      <c r="J109" s="1021"/>
      <c r="K109" s="1021"/>
    </row>
    <row r="110" spans="1:16">
      <c r="J110" s="768" t="s">
        <v>986</v>
      </c>
    </row>
    <row r="111" spans="1:16">
      <c r="A111" s="807"/>
      <c r="B111" s="807"/>
      <c r="C111" s="807"/>
      <c r="D111" s="807"/>
      <c r="E111" s="807"/>
      <c r="F111" s="807"/>
      <c r="G111" s="807"/>
      <c r="H111" s="807"/>
    </row>
    <row r="112" spans="1:16">
      <c r="A112" s="766">
        <f>A106+1</f>
        <v>83</v>
      </c>
      <c r="B112" s="769" t="s">
        <v>853</v>
      </c>
      <c r="H112" s="770"/>
      <c r="I112" s="770"/>
      <c r="J112" s="770"/>
    </row>
    <row r="113" spans="1:10">
      <c r="A113" s="766">
        <f>+A112+1</f>
        <v>84</v>
      </c>
      <c r="B113" s="1018" t="s">
        <v>836</v>
      </c>
      <c r="C113" s="1019"/>
      <c r="D113" s="1019"/>
      <c r="E113" s="1019"/>
      <c r="F113" s="1020"/>
      <c r="G113" s="772"/>
      <c r="H113" s="1018" t="s">
        <v>837</v>
      </c>
      <c r="I113" s="1019"/>
      <c r="J113" s="1020"/>
    </row>
    <row r="114" spans="1:10">
      <c r="B114" s="773" t="s">
        <v>79</v>
      </c>
      <c r="C114" s="773" t="s">
        <v>80</v>
      </c>
      <c r="D114" s="773" t="s">
        <v>81</v>
      </c>
      <c r="E114" s="773" t="s">
        <v>82</v>
      </c>
      <c r="F114" s="773" t="s">
        <v>83</v>
      </c>
      <c r="G114" s="772"/>
      <c r="H114" s="773" t="s">
        <v>84</v>
      </c>
      <c r="I114" s="773" t="s">
        <v>85</v>
      </c>
      <c r="J114" s="773" t="s">
        <v>449</v>
      </c>
    </row>
    <row r="115" spans="1:10" ht="52">
      <c r="A115" s="766">
        <f>+A113+1</f>
        <v>85</v>
      </c>
      <c r="B115" s="774" t="s">
        <v>268</v>
      </c>
      <c r="C115" s="774" t="s">
        <v>838</v>
      </c>
      <c r="D115" s="774" t="s">
        <v>839</v>
      </c>
      <c r="E115" s="774" t="s">
        <v>840</v>
      </c>
      <c r="F115" s="774" t="s">
        <v>841</v>
      </c>
      <c r="G115" s="775"/>
      <c r="H115" s="774" t="s">
        <v>842</v>
      </c>
      <c r="I115" s="774" t="s">
        <v>843</v>
      </c>
      <c r="J115" s="774" t="s">
        <v>844</v>
      </c>
    </row>
    <row r="116" spans="1:10">
      <c r="A116" s="766">
        <f t="shared" ref="A116:A130" si="16">+A115+1</f>
        <v>86</v>
      </c>
      <c r="C116" s="775"/>
      <c r="D116" s="775"/>
      <c r="E116" s="775"/>
      <c r="F116" s="775"/>
      <c r="G116" s="775"/>
      <c r="H116" s="775"/>
      <c r="I116" s="775"/>
      <c r="J116" s="775"/>
    </row>
    <row r="117" spans="1:10">
      <c r="A117" s="766">
        <f t="shared" si="16"/>
        <v>87</v>
      </c>
      <c r="B117" s="776" t="s">
        <v>845</v>
      </c>
      <c r="C117" s="777"/>
      <c r="D117" s="778"/>
      <c r="E117" s="778"/>
      <c r="F117" s="778"/>
      <c r="G117" s="778"/>
      <c r="H117" s="779"/>
      <c r="I117" s="779"/>
      <c r="J117" s="780">
        <v>0</v>
      </c>
    </row>
    <row r="118" spans="1:10">
      <c r="A118" s="766">
        <f t="shared" si="16"/>
        <v>88</v>
      </c>
      <c r="B118" s="777" t="s">
        <v>165</v>
      </c>
      <c r="C118" s="782">
        <v>31</v>
      </c>
      <c r="D118" s="937">
        <v>0</v>
      </c>
      <c r="E118" s="937">
        <v>0</v>
      </c>
      <c r="F118" s="696">
        <f>IF(E118=0,0,D118/E118)</f>
        <v>0</v>
      </c>
      <c r="G118" s="692"/>
      <c r="H118" s="780">
        <v>0</v>
      </c>
      <c r="I118" s="693">
        <f>+H118*F118</f>
        <v>0</v>
      </c>
      <c r="J118" s="693">
        <f t="shared" ref="J118:J129" si="17">+I118+J117</f>
        <v>0</v>
      </c>
    </row>
    <row r="119" spans="1:10">
      <c r="A119" s="766">
        <f t="shared" si="16"/>
        <v>89</v>
      </c>
      <c r="B119" s="777" t="s">
        <v>166</v>
      </c>
      <c r="C119" s="783">
        <v>28</v>
      </c>
      <c r="D119" s="937">
        <v>0</v>
      </c>
      <c r="E119" s="937">
        <v>0</v>
      </c>
      <c r="F119" s="696">
        <f t="shared" ref="F119:F129" si="18">IF(E119=0,0,D119/E119)</f>
        <v>0</v>
      </c>
      <c r="G119" s="692"/>
      <c r="H119" s="780">
        <v>0</v>
      </c>
      <c r="I119" s="693">
        <f t="shared" ref="I119:I129" si="19">+H119*F119</f>
        <v>0</v>
      </c>
      <c r="J119" s="693">
        <f t="shared" si="17"/>
        <v>0</v>
      </c>
    </row>
    <row r="120" spans="1:10">
      <c r="A120" s="766">
        <f t="shared" si="16"/>
        <v>90</v>
      </c>
      <c r="B120" s="777" t="s">
        <v>516</v>
      </c>
      <c r="C120" s="782">
        <v>31</v>
      </c>
      <c r="D120" s="937">
        <v>0</v>
      </c>
      <c r="E120" s="937">
        <v>0</v>
      </c>
      <c r="F120" s="696">
        <f t="shared" si="18"/>
        <v>0</v>
      </c>
      <c r="G120" s="692"/>
      <c r="H120" s="780">
        <v>0</v>
      </c>
      <c r="I120" s="693">
        <f t="shared" si="19"/>
        <v>0</v>
      </c>
      <c r="J120" s="693">
        <f t="shared" si="17"/>
        <v>0</v>
      </c>
    </row>
    <row r="121" spans="1:10">
      <c r="A121" s="766">
        <f t="shared" si="16"/>
        <v>91</v>
      </c>
      <c r="B121" s="777" t="s">
        <v>167</v>
      </c>
      <c r="C121" s="782">
        <v>30</v>
      </c>
      <c r="D121" s="937">
        <v>0</v>
      </c>
      <c r="E121" s="937">
        <v>0</v>
      </c>
      <c r="F121" s="696">
        <f t="shared" si="18"/>
        <v>0</v>
      </c>
      <c r="G121" s="692"/>
      <c r="H121" s="780">
        <v>0</v>
      </c>
      <c r="I121" s="693">
        <f t="shared" si="19"/>
        <v>0</v>
      </c>
      <c r="J121" s="693">
        <f t="shared" si="17"/>
        <v>0</v>
      </c>
    </row>
    <row r="122" spans="1:10">
      <c r="A122" s="766">
        <f t="shared" si="16"/>
        <v>92</v>
      </c>
      <c r="B122" s="777" t="s">
        <v>168</v>
      </c>
      <c r="C122" s="782">
        <v>31</v>
      </c>
      <c r="D122" s="937">
        <v>0</v>
      </c>
      <c r="E122" s="937">
        <v>0</v>
      </c>
      <c r="F122" s="696">
        <f t="shared" si="18"/>
        <v>0</v>
      </c>
      <c r="G122" s="692"/>
      <c r="H122" s="780">
        <v>0</v>
      </c>
      <c r="I122" s="693">
        <f t="shared" si="19"/>
        <v>0</v>
      </c>
      <c r="J122" s="693">
        <f t="shared" si="17"/>
        <v>0</v>
      </c>
    </row>
    <row r="123" spans="1:10">
      <c r="A123" s="766">
        <f t="shared" si="16"/>
        <v>93</v>
      </c>
      <c r="B123" s="777" t="s">
        <v>169</v>
      </c>
      <c r="C123" s="782">
        <v>30</v>
      </c>
      <c r="D123" s="937">
        <v>0</v>
      </c>
      <c r="E123" s="937">
        <v>0</v>
      </c>
      <c r="F123" s="696">
        <f t="shared" si="18"/>
        <v>0</v>
      </c>
      <c r="G123" s="692"/>
      <c r="H123" s="780">
        <v>0</v>
      </c>
      <c r="I123" s="693">
        <f t="shared" si="19"/>
        <v>0</v>
      </c>
      <c r="J123" s="693">
        <f t="shared" si="17"/>
        <v>0</v>
      </c>
    </row>
    <row r="124" spans="1:10">
      <c r="A124" s="766">
        <f t="shared" si="16"/>
        <v>94</v>
      </c>
      <c r="B124" s="777" t="s">
        <v>170</v>
      </c>
      <c r="C124" s="782">
        <v>31</v>
      </c>
      <c r="D124" s="937">
        <v>0</v>
      </c>
      <c r="E124" s="937">
        <v>0</v>
      </c>
      <c r="F124" s="696">
        <f t="shared" si="18"/>
        <v>0</v>
      </c>
      <c r="G124" s="692"/>
      <c r="H124" s="780">
        <v>0</v>
      </c>
      <c r="I124" s="693">
        <f t="shared" si="19"/>
        <v>0</v>
      </c>
      <c r="J124" s="693">
        <f t="shared" si="17"/>
        <v>0</v>
      </c>
    </row>
    <row r="125" spans="1:10">
      <c r="A125" s="766">
        <f t="shared" si="16"/>
        <v>95</v>
      </c>
      <c r="B125" s="777" t="s">
        <v>517</v>
      </c>
      <c r="C125" s="782">
        <v>31</v>
      </c>
      <c r="D125" s="937">
        <v>0</v>
      </c>
      <c r="E125" s="937">
        <v>0</v>
      </c>
      <c r="F125" s="696">
        <f t="shared" si="18"/>
        <v>0</v>
      </c>
      <c r="G125" s="692"/>
      <c r="H125" s="780">
        <v>0</v>
      </c>
      <c r="I125" s="693">
        <f t="shared" si="19"/>
        <v>0</v>
      </c>
      <c r="J125" s="693">
        <f t="shared" si="17"/>
        <v>0</v>
      </c>
    </row>
    <row r="126" spans="1:10">
      <c r="A126" s="766">
        <f t="shared" si="16"/>
        <v>96</v>
      </c>
      <c r="B126" s="777" t="s">
        <v>171</v>
      </c>
      <c r="C126" s="782">
        <v>30</v>
      </c>
      <c r="D126" s="937">
        <v>0</v>
      </c>
      <c r="E126" s="937">
        <v>0</v>
      </c>
      <c r="F126" s="696">
        <f t="shared" si="18"/>
        <v>0</v>
      </c>
      <c r="G126" s="692"/>
      <c r="H126" s="780">
        <v>0</v>
      </c>
      <c r="I126" s="693">
        <f t="shared" si="19"/>
        <v>0</v>
      </c>
      <c r="J126" s="693">
        <f t="shared" si="17"/>
        <v>0</v>
      </c>
    </row>
    <row r="127" spans="1:10">
      <c r="A127" s="766">
        <f t="shared" si="16"/>
        <v>97</v>
      </c>
      <c r="B127" s="777" t="s">
        <v>172</v>
      </c>
      <c r="C127" s="782">
        <v>31</v>
      </c>
      <c r="D127" s="937">
        <v>0</v>
      </c>
      <c r="E127" s="937">
        <v>0</v>
      </c>
      <c r="F127" s="696">
        <f t="shared" si="18"/>
        <v>0</v>
      </c>
      <c r="G127" s="692"/>
      <c r="H127" s="780">
        <v>0</v>
      </c>
      <c r="I127" s="693">
        <f t="shared" si="19"/>
        <v>0</v>
      </c>
      <c r="J127" s="693">
        <f t="shared" si="17"/>
        <v>0</v>
      </c>
    </row>
    <row r="128" spans="1:10">
      <c r="A128" s="766">
        <f t="shared" si="16"/>
        <v>98</v>
      </c>
      <c r="B128" s="777" t="s">
        <v>173</v>
      </c>
      <c r="C128" s="782">
        <v>30</v>
      </c>
      <c r="D128" s="937">
        <v>0</v>
      </c>
      <c r="E128" s="937">
        <v>0</v>
      </c>
      <c r="F128" s="696">
        <f t="shared" si="18"/>
        <v>0</v>
      </c>
      <c r="G128" s="692"/>
      <c r="H128" s="780">
        <v>0</v>
      </c>
      <c r="I128" s="693">
        <f t="shared" si="19"/>
        <v>0</v>
      </c>
      <c r="J128" s="693">
        <f t="shared" si="17"/>
        <v>0</v>
      </c>
    </row>
    <row r="129" spans="1:11">
      <c r="A129" s="766">
        <f t="shared" si="16"/>
        <v>99</v>
      </c>
      <c r="B129" s="777" t="s">
        <v>518</v>
      </c>
      <c r="C129" s="782">
        <v>31</v>
      </c>
      <c r="D129" s="937">
        <v>0</v>
      </c>
      <c r="E129" s="937">
        <v>0</v>
      </c>
      <c r="F129" s="696">
        <f t="shared" si="18"/>
        <v>0</v>
      </c>
      <c r="G129" s="692"/>
      <c r="H129" s="780">
        <v>0</v>
      </c>
      <c r="I129" s="693">
        <f t="shared" si="19"/>
        <v>0</v>
      </c>
      <c r="J129" s="693">
        <f t="shared" si="17"/>
        <v>0</v>
      </c>
    </row>
    <row r="130" spans="1:11">
      <c r="A130" s="766">
        <f t="shared" si="16"/>
        <v>100</v>
      </c>
      <c r="B130" s="784"/>
      <c r="C130" s="784" t="s">
        <v>9</v>
      </c>
      <c r="D130" s="784"/>
      <c r="E130" s="784"/>
      <c r="F130" s="785"/>
      <c r="G130" s="778"/>
      <c r="H130" s="786">
        <f>SUM(H118:H129)</f>
        <v>0</v>
      </c>
      <c r="I130" s="786">
        <f>SUM(I118:I129)</f>
        <v>0</v>
      </c>
      <c r="J130" s="785"/>
    </row>
    <row r="131" spans="1:11">
      <c r="B131" s="787"/>
      <c r="C131" s="787"/>
      <c r="D131" s="787"/>
      <c r="E131" s="787"/>
      <c r="F131" s="788"/>
      <c r="G131" s="788"/>
      <c r="H131" s="789"/>
      <c r="I131" s="790"/>
      <c r="J131" s="788"/>
    </row>
    <row r="132" spans="1:11">
      <c r="A132" s="766">
        <f>+A130+1</f>
        <v>101</v>
      </c>
      <c r="B132" s="766" t="s">
        <v>846</v>
      </c>
      <c r="F132" s="791" t="s">
        <v>858</v>
      </c>
      <c r="G132" s="788"/>
      <c r="I132" s="788"/>
      <c r="J132" s="783">
        <v>0</v>
      </c>
    </row>
    <row r="133" spans="1:11">
      <c r="A133" s="766">
        <f>+A132+1</f>
        <v>102</v>
      </c>
      <c r="B133" s="766" t="s">
        <v>848</v>
      </c>
      <c r="F133" s="766" t="str">
        <f>"(Line "&amp;A132&amp;" less line "&amp;A134&amp;")"</f>
        <v>(Line 101 less line 103)</v>
      </c>
      <c r="G133" s="788"/>
      <c r="I133" s="788"/>
      <c r="J133" s="792">
        <f>+J132-J134</f>
        <v>0</v>
      </c>
    </row>
    <row r="134" spans="1:11">
      <c r="A134" s="766">
        <f t="shared" ref="A134:A140" si="20">+A133+1</f>
        <v>103</v>
      </c>
      <c r="B134" s="766" t="s">
        <v>849</v>
      </c>
      <c r="F134" s="766" t="str">
        <f>"(Line "&amp;A117&amp;", Col H)"</f>
        <v>(Line 87, Col H)</v>
      </c>
      <c r="G134" s="788"/>
      <c r="I134" s="788"/>
      <c r="J134" s="779">
        <f>+J117</f>
        <v>0</v>
      </c>
    </row>
    <row r="135" spans="1:11">
      <c r="A135" s="766">
        <f t="shared" si="20"/>
        <v>104</v>
      </c>
      <c r="B135" s="766" t="s">
        <v>850</v>
      </c>
      <c r="F135" s="791" t="s">
        <v>859</v>
      </c>
      <c r="G135" s="788"/>
      <c r="I135" s="788"/>
      <c r="J135" s="805">
        <f>'A3-ADIT'!E14</f>
        <v>-5119768</v>
      </c>
    </row>
    <row r="136" spans="1:11">
      <c r="A136" s="766">
        <f t="shared" si="20"/>
        <v>105</v>
      </c>
      <c r="B136" s="766" t="str">
        <f>+B133</f>
        <v>Less non Prorated Items</v>
      </c>
      <c r="F136" s="766" t="str">
        <f>"(Line "&amp;A135&amp;" less line "&amp;A137&amp;")"</f>
        <v>(Line 104 less line 106)</v>
      </c>
      <c r="G136" s="788"/>
      <c r="I136" s="788"/>
      <c r="J136" s="792">
        <f>+J135-J137</f>
        <v>-5119768</v>
      </c>
    </row>
    <row r="137" spans="1:11">
      <c r="A137" s="766">
        <f t="shared" si="20"/>
        <v>106</v>
      </c>
      <c r="B137" s="766" t="s">
        <v>851</v>
      </c>
      <c r="F137" s="766" t="str">
        <f>"(Line "&amp;A129&amp;", Col H)"</f>
        <v>(Line 99, Col H)</v>
      </c>
      <c r="G137" s="788"/>
      <c r="I137" s="788"/>
      <c r="J137" s="779">
        <f>+J129</f>
        <v>0</v>
      </c>
    </row>
    <row r="138" spans="1:11">
      <c r="A138" s="766">
        <f t="shared" si="20"/>
        <v>107</v>
      </c>
      <c r="B138" s="766" t="s">
        <v>768</v>
      </c>
      <c r="F138" s="766" t="str">
        <f>"([Lines "&amp;A134&amp;" + "&amp;A137&amp;"] /2)+([Lines "&amp;A133&amp;" +"&amp;A136&amp;")/2])"</f>
        <v>([Lines 103 + 106] /2)+([Lines 102 +105)/2])</v>
      </c>
      <c r="G138" s="788"/>
      <c r="I138" s="775"/>
      <c r="J138" s="793">
        <f>(J134+J137)/2+(J133+J136)/2</f>
        <v>-2559884</v>
      </c>
    </row>
    <row r="139" spans="1:11">
      <c r="A139" s="766">
        <f t="shared" si="20"/>
        <v>108</v>
      </c>
      <c r="B139" s="766" t="s">
        <v>854</v>
      </c>
      <c r="F139" s="766" t="s">
        <v>861</v>
      </c>
      <c r="G139" s="788"/>
      <c r="I139" s="775"/>
      <c r="J139" s="783">
        <v>0</v>
      </c>
    </row>
    <row r="140" spans="1:11">
      <c r="A140" s="766">
        <f t="shared" si="20"/>
        <v>109</v>
      </c>
      <c r="B140" s="766" t="s">
        <v>864</v>
      </c>
      <c r="F140" s="766" t="str">
        <f>"(Line "&amp;A138&amp;" less line "&amp;A139&amp;")"</f>
        <v>(Line 107 less line 108)</v>
      </c>
      <c r="J140" s="794">
        <f>+J138-J139</f>
        <v>-2559884</v>
      </c>
    </row>
    <row r="141" spans="1:11">
      <c r="A141" s="1021" t="str">
        <f>A39</f>
        <v>Worksheet P5</v>
      </c>
      <c r="B141" s="1021"/>
      <c r="C141" s="1021"/>
      <c r="D141" s="1021"/>
      <c r="E141" s="1021"/>
      <c r="F141" s="1021"/>
      <c r="G141" s="1021"/>
      <c r="H141" s="1021"/>
      <c r="I141" s="1021"/>
      <c r="J141" s="1021"/>
      <c r="K141" s="1021"/>
    </row>
    <row r="142" spans="1:11">
      <c r="A142" s="1021" t="str">
        <f>"Excess "&amp;A40</f>
        <v>Excess Accumulated Deferred Income Taxes</v>
      </c>
      <c r="B142" s="1021"/>
      <c r="C142" s="1021"/>
      <c r="D142" s="1021"/>
      <c r="E142" s="1021"/>
      <c r="F142" s="1021"/>
      <c r="G142" s="1021"/>
      <c r="H142" s="1021"/>
      <c r="I142" s="1021"/>
      <c r="J142" s="1021"/>
      <c r="K142" s="1021"/>
    </row>
    <row r="143" spans="1:11">
      <c r="A143" s="1021" t="str">
        <f>A41</f>
        <v>Cheyenne Light, Fuel &amp; Power</v>
      </c>
      <c r="B143" s="1021"/>
      <c r="C143" s="1021"/>
      <c r="D143" s="1021"/>
      <c r="E143" s="1021"/>
      <c r="F143" s="1021"/>
      <c r="G143" s="1021"/>
      <c r="H143" s="1021"/>
      <c r="I143" s="1021"/>
      <c r="J143" s="1021"/>
      <c r="K143" s="1021"/>
    </row>
    <row r="144" spans="1:11">
      <c r="J144" s="768" t="s">
        <v>987</v>
      </c>
    </row>
    <row r="145" spans="1:10">
      <c r="A145" s="807"/>
      <c r="B145" s="807"/>
      <c r="C145" s="807"/>
      <c r="D145" s="807"/>
      <c r="E145" s="807"/>
      <c r="F145" s="807"/>
      <c r="G145" s="807"/>
      <c r="H145" s="807"/>
    </row>
    <row r="146" spans="1:10">
      <c r="A146" s="766">
        <f>A140+1</f>
        <v>110</v>
      </c>
      <c r="B146" s="769" t="s">
        <v>988</v>
      </c>
      <c r="H146" s="770"/>
      <c r="I146" s="770"/>
      <c r="J146" s="770"/>
    </row>
    <row r="147" spans="1:10">
      <c r="A147" s="766">
        <f>+A146+1</f>
        <v>111</v>
      </c>
      <c r="B147" s="1018" t="s">
        <v>836</v>
      </c>
      <c r="C147" s="1019"/>
      <c r="D147" s="1019"/>
      <c r="E147" s="1019"/>
      <c r="F147" s="1020"/>
      <c r="G147" s="772"/>
      <c r="H147" s="1018" t="s">
        <v>837</v>
      </c>
      <c r="I147" s="1019"/>
      <c r="J147" s="1020"/>
    </row>
    <row r="148" spans="1:10">
      <c r="B148" s="773" t="s">
        <v>79</v>
      </c>
      <c r="C148" s="773" t="s">
        <v>80</v>
      </c>
      <c r="D148" s="773" t="s">
        <v>81</v>
      </c>
      <c r="E148" s="773" t="s">
        <v>82</v>
      </c>
      <c r="F148" s="773" t="s">
        <v>83</v>
      </c>
      <c r="G148" s="772"/>
      <c r="H148" s="773" t="s">
        <v>84</v>
      </c>
      <c r="I148" s="773" t="s">
        <v>85</v>
      </c>
      <c r="J148" s="773" t="s">
        <v>449</v>
      </c>
    </row>
    <row r="149" spans="1:10" ht="52">
      <c r="A149" s="766">
        <f>+A147+1</f>
        <v>112</v>
      </c>
      <c r="B149" s="774" t="s">
        <v>268</v>
      </c>
      <c r="C149" s="774" t="s">
        <v>838</v>
      </c>
      <c r="D149" s="774" t="s">
        <v>839</v>
      </c>
      <c r="E149" s="774" t="s">
        <v>840</v>
      </c>
      <c r="F149" s="774" t="s">
        <v>841</v>
      </c>
      <c r="G149" s="775"/>
      <c r="H149" s="774" t="s">
        <v>842</v>
      </c>
      <c r="I149" s="774" t="s">
        <v>843</v>
      </c>
      <c r="J149" s="774" t="s">
        <v>844</v>
      </c>
    </row>
    <row r="150" spans="1:10">
      <c r="A150" s="766">
        <f t="shared" ref="A150:A164" si="21">+A149+1</f>
        <v>113</v>
      </c>
      <c r="C150" s="775"/>
      <c r="D150" s="775"/>
      <c r="E150" s="775"/>
      <c r="F150" s="775"/>
      <c r="G150" s="775"/>
      <c r="H150" s="775"/>
      <c r="I150" s="775"/>
      <c r="J150" s="775"/>
    </row>
    <row r="151" spans="1:10">
      <c r="A151" s="766">
        <f t="shared" si="21"/>
        <v>114</v>
      </c>
      <c r="B151" s="776" t="s">
        <v>845</v>
      </c>
      <c r="C151" s="777"/>
      <c r="D151" s="778"/>
      <c r="E151" s="778"/>
      <c r="F151" s="778"/>
      <c r="G151" s="778"/>
      <c r="H151" s="779"/>
      <c r="I151" s="779"/>
      <c r="J151" s="780"/>
    </row>
    <row r="152" spans="1:10">
      <c r="A152" s="766">
        <f t="shared" si="21"/>
        <v>115</v>
      </c>
      <c r="B152" s="777" t="s">
        <v>165</v>
      </c>
      <c r="C152" s="782">
        <v>31</v>
      </c>
      <c r="D152" s="937">
        <v>0</v>
      </c>
      <c r="E152" s="937">
        <v>0</v>
      </c>
      <c r="F152" s="696">
        <f>IF(E152=0,0,D152/E152)</f>
        <v>0</v>
      </c>
      <c r="G152" s="692"/>
      <c r="H152" s="808">
        <f>'A4-Rate Base'!G111/12</f>
        <v>115261.08333333333</v>
      </c>
      <c r="I152" s="693">
        <f>+H152*F152</f>
        <v>0</v>
      </c>
      <c r="J152" s="729">
        <f t="shared" ref="J152:J163" si="22">+I152+J151</f>
        <v>0</v>
      </c>
    </row>
    <row r="153" spans="1:10">
      <c r="A153" s="766">
        <f t="shared" si="21"/>
        <v>116</v>
      </c>
      <c r="B153" s="777" t="s">
        <v>166</v>
      </c>
      <c r="C153" s="783">
        <v>28</v>
      </c>
      <c r="D153" s="937">
        <v>0</v>
      </c>
      <c r="E153" s="937">
        <v>0</v>
      </c>
      <c r="F153" s="696">
        <f t="shared" ref="F153:F163" si="23">IF(E153=0,0,D153/E153)</f>
        <v>0</v>
      </c>
      <c r="G153" s="692"/>
      <c r="H153" s="808">
        <f>H152</f>
        <v>115261.08333333333</v>
      </c>
      <c r="I153" s="693">
        <f t="shared" ref="I153:I163" si="24">+H153*F153</f>
        <v>0</v>
      </c>
      <c r="J153" s="729">
        <f t="shared" si="22"/>
        <v>0</v>
      </c>
    </row>
    <row r="154" spans="1:10">
      <c r="A154" s="766">
        <f t="shared" si="21"/>
        <v>117</v>
      </c>
      <c r="B154" s="777" t="s">
        <v>516</v>
      </c>
      <c r="C154" s="782">
        <v>31</v>
      </c>
      <c r="D154" s="937">
        <v>0</v>
      </c>
      <c r="E154" s="937">
        <v>0</v>
      </c>
      <c r="F154" s="696">
        <f t="shared" si="23"/>
        <v>0</v>
      </c>
      <c r="G154" s="692"/>
      <c r="H154" s="808">
        <f t="shared" ref="H154:H163" si="25">H153</f>
        <v>115261.08333333333</v>
      </c>
      <c r="I154" s="693">
        <f t="shared" si="24"/>
        <v>0</v>
      </c>
      <c r="J154" s="729">
        <f t="shared" si="22"/>
        <v>0</v>
      </c>
    </row>
    <row r="155" spans="1:10">
      <c r="A155" s="766">
        <f t="shared" si="21"/>
        <v>118</v>
      </c>
      <c r="B155" s="777" t="s">
        <v>167</v>
      </c>
      <c r="C155" s="782">
        <v>30</v>
      </c>
      <c r="D155" s="937">
        <v>0</v>
      </c>
      <c r="E155" s="937">
        <v>0</v>
      </c>
      <c r="F155" s="696">
        <f t="shared" si="23"/>
        <v>0</v>
      </c>
      <c r="G155" s="692"/>
      <c r="H155" s="808">
        <f t="shared" si="25"/>
        <v>115261.08333333333</v>
      </c>
      <c r="I155" s="693">
        <f t="shared" si="24"/>
        <v>0</v>
      </c>
      <c r="J155" s="729">
        <f t="shared" si="22"/>
        <v>0</v>
      </c>
    </row>
    <row r="156" spans="1:10">
      <c r="A156" s="766">
        <f t="shared" si="21"/>
        <v>119</v>
      </c>
      <c r="B156" s="777" t="s">
        <v>168</v>
      </c>
      <c r="C156" s="782">
        <v>31</v>
      </c>
      <c r="D156" s="937">
        <v>0</v>
      </c>
      <c r="E156" s="937">
        <v>0</v>
      </c>
      <c r="F156" s="696">
        <f t="shared" si="23"/>
        <v>0</v>
      </c>
      <c r="G156" s="692"/>
      <c r="H156" s="808">
        <f t="shared" si="25"/>
        <v>115261.08333333333</v>
      </c>
      <c r="I156" s="693">
        <f t="shared" si="24"/>
        <v>0</v>
      </c>
      <c r="J156" s="729">
        <f t="shared" si="22"/>
        <v>0</v>
      </c>
    </row>
    <row r="157" spans="1:10">
      <c r="A157" s="766">
        <f t="shared" si="21"/>
        <v>120</v>
      </c>
      <c r="B157" s="777" t="s">
        <v>169</v>
      </c>
      <c r="C157" s="782">
        <v>30</v>
      </c>
      <c r="D157" s="937">
        <v>0</v>
      </c>
      <c r="E157" s="937">
        <v>0</v>
      </c>
      <c r="F157" s="696">
        <f t="shared" si="23"/>
        <v>0</v>
      </c>
      <c r="G157" s="692"/>
      <c r="H157" s="808">
        <f t="shared" si="25"/>
        <v>115261.08333333333</v>
      </c>
      <c r="I157" s="693">
        <f t="shared" si="24"/>
        <v>0</v>
      </c>
      <c r="J157" s="729">
        <f t="shared" si="22"/>
        <v>0</v>
      </c>
    </row>
    <row r="158" spans="1:10">
      <c r="A158" s="766">
        <f t="shared" si="21"/>
        <v>121</v>
      </c>
      <c r="B158" s="777" t="s">
        <v>170</v>
      </c>
      <c r="C158" s="782">
        <v>31</v>
      </c>
      <c r="D158" s="937">
        <v>0</v>
      </c>
      <c r="E158" s="937">
        <v>0</v>
      </c>
      <c r="F158" s="696">
        <f t="shared" si="23"/>
        <v>0</v>
      </c>
      <c r="G158" s="692"/>
      <c r="H158" s="808">
        <f t="shared" si="25"/>
        <v>115261.08333333333</v>
      </c>
      <c r="I158" s="693">
        <f t="shared" si="24"/>
        <v>0</v>
      </c>
      <c r="J158" s="729">
        <f t="shared" si="22"/>
        <v>0</v>
      </c>
    </row>
    <row r="159" spans="1:10">
      <c r="A159" s="766">
        <f t="shared" si="21"/>
        <v>122</v>
      </c>
      <c r="B159" s="777" t="s">
        <v>517</v>
      </c>
      <c r="C159" s="782">
        <v>31</v>
      </c>
      <c r="D159" s="937">
        <v>0</v>
      </c>
      <c r="E159" s="937">
        <v>0</v>
      </c>
      <c r="F159" s="696">
        <f t="shared" si="23"/>
        <v>0</v>
      </c>
      <c r="G159" s="692"/>
      <c r="H159" s="808">
        <f t="shared" si="25"/>
        <v>115261.08333333333</v>
      </c>
      <c r="I159" s="693">
        <f t="shared" si="24"/>
        <v>0</v>
      </c>
      <c r="J159" s="729">
        <f t="shared" si="22"/>
        <v>0</v>
      </c>
    </row>
    <row r="160" spans="1:10">
      <c r="A160" s="766">
        <f t="shared" si="21"/>
        <v>123</v>
      </c>
      <c r="B160" s="777" t="s">
        <v>171</v>
      </c>
      <c r="C160" s="782">
        <v>30</v>
      </c>
      <c r="D160" s="937">
        <v>0</v>
      </c>
      <c r="E160" s="937">
        <v>0</v>
      </c>
      <c r="F160" s="696">
        <f t="shared" si="23"/>
        <v>0</v>
      </c>
      <c r="G160" s="692"/>
      <c r="H160" s="808">
        <f t="shared" si="25"/>
        <v>115261.08333333333</v>
      </c>
      <c r="I160" s="693">
        <f t="shared" si="24"/>
        <v>0</v>
      </c>
      <c r="J160" s="729">
        <f t="shared" si="22"/>
        <v>0</v>
      </c>
    </row>
    <row r="161" spans="1:14">
      <c r="A161" s="766">
        <f t="shared" si="21"/>
        <v>124</v>
      </c>
      <c r="B161" s="777" t="s">
        <v>172</v>
      </c>
      <c r="C161" s="782">
        <v>31</v>
      </c>
      <c r="D161" s="937">
        <v>0</v>
      </c>
      <c r="E161" s="937">
        <v>0</v>
      </c>
      <c r="F161" s="696">
        <f t="shared" si="23"/>
        <v>0</v>
      </c>
      <c r="G161" s="692"/>
      <c r="H161" s="808">
        <f t="shared" si="25"/>
        <v>115261.08333333333</v>
      </c>
      <c r="I161" s="693">
        <f t="shared" si="24"/>
        <v>0</v>
      </c>
      <c r="J161" s="729">
        <f t="shared" si="22"/>
        <v>0</v>
      </c>
    </row>
    <row r="162" spans="1:14">
      <c r="A162" s="766">
        <f t="shared" si="21"/>
        <v>125</v>
      </c>
      <c r="B162" s="777" t="s">
        <v>173</v>
      </c>
      <c r="C162" s="782">
        <v>30</v>
      </c>
      <c r="D162" s="937">
        <v>0</v>
      </c>
      <c r="E162" s="937">
        <v>0</v>
      </c>
      <c r="F162" s="696">
        <f t="shared" si="23"/>
        <v>0</v>
      </c>
      <c r="G162" s="692"/>
      <c r="H162" s="808">
        <f t="shared" si="25"/>
        <v>115261.08333333333</v>
      </c>
      <c r="I162" s="693">
        <f t="shared" si="24"/>
        <v>0</v>
      </c>
      <c r="J162" s="729">
        <f t="shared" si="22"/>
        <v>0</v>
      </c>
    </row>
    <row r="163" spans="1:14">
      <c r="A163" s="766">
        <f t="shared" si="21"/>
        <v>126</v>
      </c>
      <c r="B163" s="777" t="s">
        <v>518</v>
      </c>
      <c r="C163" s="782">
        <v>31</v>
      </c>
      <c r="D163" s="937">
        <v>0</v>
      </c>
      <c r="E163" s="937">
        <v>0</v>
      </c>
      <c r="F163" s="696">
        <f t="shared" si="23"/>
        <v>0</v>
      </c>
      <c r="G163" s="692"/>
      <c r="H163" s="808">
        <f t="shared" si="25"/>
        <v>115261.08333333333</v>
      </c>
      <c r="I163" s="693">
        <f t="shared" si="24"/>
        <v>0</v>
      </c>
      <c r="J163" s="729">
        <f t="shared" si="22"/>
        <v>0</v>
      </c>
      <c r="L163" s="804"/>
    </row>
    <row r="164" spans="1:14">
      <c r="A164" s="766">
        <f t="shared" si="21"/>
        <v>127</v>
      </c>
      <c r="B164" s="784"/>
      <c r="C164" s="784" t="s">
        <v>9</v>
      </c>
      <c r="D164" s="784"/>
      <c r="E164" s="784"/>
      <c r="F164" s="785"/>
      <c r="G164" s="778"/>
      <c r="H164" s="786">
        <f>SUM(H152:H163)</f>
        <v>1383133</v>
      </c>
      <c r="I164" s="786">
        <f>SUM(I152:I163)</f>
        <v>0</v>
      </c>
      <c r="J164" s="785"/>
    </row>
    <row r="165" spans="1:14">
      <c r="B165" s="787"/>
      <c r="C165" s="787"/>
      <c r="D165" s="787"/>
      <c r="E165" s="787"/>
      <c r="F165" s="788"/>
      <c r="G165" s="788"/>
      <c r="H165" s="789"/>
      <c r="I165" s="814"/>
      <c r="J165" s="788"/>
    </row>
    <row r="166" spans="1:14">
      <c r="A166" s="766">
        <f>+A164+1</f>
        <v>128</v>
      </c>
      <c r="B166" s="766" t="s">
        <v>989</v>
      </c>
      <c r="F166" s="791" t="s">
        <v>990</v>
      </c>
      <c r="G166" s="788"/>
      <c r="I166" s="788"/>
      <c r="J166" s="783">
        <v>0</v>
      </c>
      <c r="M166" s="804"/>
      <c r="N166" s="806"/>
    </row>
    <row r="167" spans="1:14">
      <c r="A167" s="766">
        <f t="shared" ref="A167:A173" si="26">+A166+1</f>
        <v>129</v>
      </c>
      <c r="B167" s="766" t="s">
        <v>900</v>
      </c>
      <c r="F167" s="791" t="s">
        <v>918</v>
      </c>
      <c r="G167" s="788"/>
      <c r="I167" s="788"/>
      <c r="J167" s="783">
        <v>0</v>
      </c>
    </row>
    <row r="168" spans="1:14">
      <c r="A168" s="766">
        <f t="shared" si="26"/>
        <v>130</v>
      </c>
      <c r="B168" s="766" t="s">
        <v>991</v>
      </c>
      <c r="F168" s="791" t="s">
        <v>992</v>
      </c>
      <c r="G168" s="788"/>
      <c r="I168" s="788"/>
      <c r="J168" s="805">
        <f>J166+J167</f>
        <v>0</v>
      </c>
    </row>
    <row r="169" spans="1:14">
      <c r="A169" s="766">
        <f t="shared" si="26"/>
        <v>131</v>
      </c>
      <c r="B169" s="766" t="s">
        <v>993</v>
      </c>
      <c r="F169" s="776" t="s">
        <v>994</v>
      </c>
      <c r="G169" s="788"/>
      <c r="I169" s="788"/>
      <c r="J169" s="792">
        <f>J168</f>
        <v>0</v>
      </c>
      <c r="L169" s="804"/>
    </row>
    <row r="170" spans="1:14">
      <c r="A170" s="791">
        <f t="shared" si="26"/>
        <v>132</v>
      </c>
      <c r="B170" s="791" t="s">
        <v>851</v>
      </c>
      <c r="C170" s="791"/>
      <c r="D170" s="791"/>
      <c r="E170" s="791"/>
      <c r="F170" s="791" t="s">
        <v>1008</v>
      </c>
      <c r="G170" s="817"/>
      <c r="H170" s="791"/>
      <c r="I170" s="818"/>
      <c r="J170" s="793">
        <f>J163</f>
        <v>0</v>
      </c>
    </row>
    <row r="171" spans="1:14">
      <c r="A171" s="766">
        <f t="shared" si="26"/>
        <v>133</v>
      </c>
      <c r="B171" s="766" t="s">
        <v>901</v>
      </c>
      <c r="F171" s="766" t="s">
        <v>995</v>
      </c>
      <c r="G171" s="788"/>
      <c r="I171" s="775"/>
      <c r="J171" s="805">
        <f>J169+J170</f>
        <v>0</v>
      </c>
    </row>
    <row r="172" spans="1:14">
      <c r="A172" s="766">
        <f t="shared" si="26"/>
        <v>134</v>
      </c>
      <c r="B172" s="766" t="s">
        <v>854</v>
      </c>
      <c r="F172" s="766" t="s">
        <v>918</v>
      </c>
      <c r="G172" s="788"/>
      <c r="I172" s="775"/>
      <c r="J172" s="805">
        <v>0</v>
      </c>
    </row>
    <row r="173" spans="1:14">
      <c r="A173" s="766">
        <f t="shared" si="26"/>
        <v>135</v>
      </c>
      <c r="B173" s="791" t="s">
        <v>1000</v>
      </c>
      <c r="C173" s="791"/>
      <c r="D173" s="791"/>
      <c r="E173" s="791"/>
      <c r="F173" s="791" t="s">
        <v>996</v>
      </c>
      <c r="G173" s="791"/>
      <c r="H173" s="791"/>
      <c r="I173" s="791"/>
      <c r="J173" s="813">
        <f>J171-J172</f>
        <v>0</v>
      </c>
    </row>
    <row r="174" spans="1:14">
      <c r="A174" s="766">
        <v>127</v>
      </c>
      <c r="B174" s="791" t="s">
        <v>1007</v>
      </c>
      <c r="C174" s="791"/>
      <c r="D174" s="791"/>
      <c r="E174" s="791"/>
      <c r="F174" s="791"/>
      <c r="G174" s="791"/>
      <c r="H174" s="791"/>
      <c r="I174" s="791"/>
      <c r="J174" s="819">
        <v>7.9579999999999998E-2</v>
      </c>
    </row>
    <row r="175" spans="1:14">
      <c r="A175" s="766">
        <v>128</v>
      </c>
      <c r="B175" s="820" t="s">
        <v>864</v>
      </c>
      <c r="C175" s="791"/>
      <c r="D175" s="791"/>
      <c r="E175" s="791"/>
      <c r="F175" s="791"/>
      <c r="G175" s="791"/>
      <c r="H175" s="791"/>
      <c r="I175" s="791"/>
      <c r="J175" s="821">
        <f>J173*J174</f>
        <v>0</v>
      </c>
      <c r="L175" s="804"/>
      <c r="M175" s="806"/>
      <c r="N175" s="804"/>
    </row>
    <row r="176" spans="1:14">
      <c r="J176" s="811"/>
      <c r="M176" s="804"/>
      <c r="N176" s="804"/>
    </row>
    <row r="177" spans="10:12">
      <c r="J177" s="812"/>
      <c r="L177" s="812"/>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opLeftCell="A28" workbookViewId="0">
      <selection activeCell="D23" sqref="D23"/>
    </sheetView>
  </sheetViews>
  <sheetFormatPr defaultColWidth="8.69140625" defaultRowHeight="13"/>
  <cols>
    <col min="1" max="1" width="5.69140625" style="470" bestFit="1" customWidth="1"/>
    <col min="2" max="2" width="50.23046875" style="470" customWidth="1"/>
    <col min="3" max="3" width="19.53515625" style="474" bestFit="1" customWidth="1"/>
    <col min="4" max="4" width="12.07421875" style="476" customWidth="1"/>
    <col min="5" max="5" width="7.53515625" style="470" bestFit="1" customWidth="1"/>
    <col min="6" max="16384" width="8.69140625" style="470"/>
  </cols>
  <sheetData>
    <row r="1" spans="1:7">
      <c r="A1" s="974" t="s">
        <v>736</v>
      </c>
      <c r="B1" s="974"/>
      <c r="C1" s="974"/>
      <c r="D1" s="974"/>
      <c r="E1" s="974"/>
      <c r="F1" s="301"/>
      <c r="G1" s="301"/>
    </row>
    <row r="2" spans="1:7">
      <c r="A2" s="974" t="s">
        <v>737</v>
      </c>
      <c r="B2" s="974"/>
      <c r="C2" s="974"/>
      <c r="D2" s="974"/>
      <c r="E2" s="974"/>
      <c r="F2" s="301"/>
      <c r="G2" s="301"/>
    </row>
    <row r="3" spans="1:7">
      <c r="A3" s="975" t="str">
        <f>'Act Att-H'!C7</f>
        <v>Cheyenne Light, Fuel &amp; Power</v>
      </c>
      <c r="B3" s="975"/>
      <c r="C3" s="975"/>
      <c r="D3" s="975"/>
      <c r="E3" s="975"/>
      <c r="F3" s="302"/>
      <c r="G3" s="302"/>
    </row>
    <row r="4" spans="1:7" ht="12.75" customHeight="1">
      <c r="A4" s="471"/>
      <c r="C4" s="472"/>
      <c r="D4" s="473" t="s">
        <v>241</v>
      </c>
      <c r="E4" s="473"/>
    </row>
    <row r="6" spans="1:7">
      <c r="A6" s="549" t="s">
        <v>507</v>
      </c>
      <c r="B6" s="549" t="s">
        <v>191</v>
      </c>
      <c r="C6" s="559" t="s">
        <v>578</v>
      </c>
      <c r="D6" s="550" t="s">
        <v>7</v>
      </c>
    </row>
    <row r="7" spans="1:7">
      <c r="C7" s="560"/>
    </row>
    <row r="8" spans="1:7">
      <c r="A8" s="474">
        <v>1</v>
      </c>
      <c r="B8" s="475" t="s">
        <v>787</v>
      </c>
      <c r="C8" s="560"/>
    </row>
    <row r="9" spans="1:7">
      <c r="A9" s="474">
        <f>A8+1</f>
        <v>2</v>
      </c>
      <c r="B9" s="477" t="s">
        <v>735</v>
      </c>
      <c r="C9" s="557" t="s">
        <v>548</v>
      </c>
      <c r="D9" s="938">
        <f>97549+189255+42876+302854+7202+169329+82957</f>
        <v>892022</v>
      </c>
    </row>
    <row r="10" spans="1:7">
      <c r="A10" s="474">
        <f t="shared" ref="A10:A41" si="0">A9+1</f>
        <v>3</v>
      </c>
      <c r="B10" s="480" t="s">
        <v>734</v>
      </c>
      <c r="C10" s="557" t="s">
        <v>738</v>
      </c>
      <c r="D10" s="938">
        <v>0</v>
      </c>
    </row>
    <row r="11" spans="1:7">
      <c r="A11" s="474">
        <f t="shared" si="0"/>
        <v>4</v>
      </c>
      <c r="B11" s="481" t="s">
        <v>733</v>
      </c>
      <c r="C11" s="557" t="s">
        <v>739</v>
      </c>
      <c r="D11" s="938">
        <v>302854</v>
      </c>
    </row>
    <row r="12" spans="1:7">
      <c r="A12" s="474">
        <f t="shared" si="0"/>
        <v>5</v>
      </c>
      <c r="B12" s="481" t="s">
        <v>732</v>
      </c>
      <c r="C12" s="557" t="s">
        <v>740</v>
      </c>
      <c r="D12" s="938">
        <v>7202</v>
      </c>
    </row>
    <row r="13" spans="1:7">
      <c r="A13" s="474">
        <f t="shared" si="0"/>
        <v>6</v>
      </c>
      <c r="B13" s="481" t="s">
        <v>731</v>
      </c>
      <c r="C13" s="557" t="s">
        <v>741</v>
      </c>
      <c r="D13" s="938">
        <v>169329</v>
      </c>
    </row>
    <row r="14" spans="1:7">
      <c r="A14" s="474">
        <f t="shared" si="0"/>
        <v>7</v>
      </c>
      <c r="B14" s="481" t="s">
        <v>730</v>
      </c>
      <c r="C14" s="557" t="s">
        <v>742</v>
      </c>
      <c r="D14" s="938">
        <v>82957</v>
      </c>
    </row>
    <row r="15" spans="1:7">
      <c r="A15" s="474">
        <f t="shared" si="0"/>
        <v>8</v>
      </c>
      <c r="B15" s="553" t="s">
        <v>784</v>
      </c>
      <c r="C15" s="940" t="s">
        <v>1215</v>
      </c>
      <c r="D15" s="552">
        <f>D9-D10-D11-D12-D13-D14</f>
        <v>329680</v>
      </c>
    </row>
    <row r="16" spans="1:7">
      <c r="A16" s="474">
        <f t="shared" si="0"/>
        <v>9</v>
      </c>
      <c r="B16" s="477"/>
      <c r="C16" s="478"/>
      <c r="D16" s="479"/>
    </row>
    <row r="17" spans="1:11">
      <c r="A17" s="474">
        <f t="shared" si="0"/>
        <v>10</v>
      </c>
      <c r="B17" s="477" t="s">
        <v>795</v>
      </c>
      <c r="C17" s="557" t="s">
        <v>807</v>
      </c>
      <c r="D17" s="231">
        <f>'A1-RevCred'!H48</f>
        <v>0</v>
      </c>
    </row>
    <row r="18" spans="1:11">
      <c r="A18" s="474">
        <f t="shared" si="0"/>
        <v>11</v>
      </c>
      <c r="B18" s="477"/>
      <c r="C18" s="478"/>
      <c r="D18" s="479"/>
    </row>
    <row r="19" spans="1:11">
      <c r="A19" s="474">
        <f t="shared" si="0"/>
        <v>12</v>
      </c>
      <c r="B19" s="477" t="s">
        <v>797</v>
      </c>
      <c r="C19" s="926" t="s">
        <v>1216</v>
      </c>
      <c r="D19" s="561">
        <f>D15-D17</f>
        <v>329680</v>
      </c>
    </row>
    <row r="20" spans="1:11">
      <c r="A20" s="474">
        <f t="shared" si="0"/>
        <v>13</v>
      </c>
      <c r="B20" s="477"/>
      <c r="C20" s="557"/>
      <c r="D20" s="558"/>
    </row>
    <row r="21" spans="1:11">
      <c r="A21" s="474">
        <f t="shared" si="0"/>
        <v>14</v>
      </c>
      <c r="B21" s="475" t="s">
        <v>796</v>
      </c>
      <c r="C21" s="478"/>
      <c r="D21" s="479"/>
    </row>
    <row r="22" spans="1:11">
      <c r="A22" s="474">
        <f t="shared" si="0"/>
        <v>15</v>
      </c>
      <c r="B22" s="318" t="s">
        <v>791</v>
      </c>
      <c r="C22" s="557" t="s">
        <v>794</v>
      </c>
      <c r="D22" s="555">
        <f>D15</f>
        <v>329680</v>
      </c>
    </row>
    <row r="23" spans="1:11">
      <c r="A23" s="474">
        <f t="shared" si="0"/>
        <v>16</v>
      </c>
      <c r="B23" s="318" t="s">
        <v>826</v>
      </c>
      <c r="C23" s="557" t="s">
        <v>828</v>
      </c>
      <c r="D23" s="551">
        <v>265343</v>
      </c>
    </row>
    <row r="24" spans="1:11">
      <c r="A24" s="474">
        <f t="shared" si="0"/>
        <v>17</v>
      </c>
      <c r="B24" s="318" t="s">
        <v>286</v>
      </c>
      <c r="C24" s="557" t="s">
        <v>798</v>
      </c>
      <c r="D24" s="556">
        <f>D22-D23</f>
        <v>64337</v>
      </c>
    </row>
    <row r="25" spans="1:11" s="318" customFormat="1">
      <c r="A25" s="474">
        <f t="shared" si="0"/>
        <v>18</v>
      </c>
      <c r="B25" s="318" t="s">
        <v>792</v>
      </c>
      <c r="C25" s="547" t="s">
        <v>818</v>
      </c>
      <c r="D25" s="356">
        <f>'TU-TrueUp'!H53</f>
        <v>0</v>
      </c>
      <c r="I25" s="325"/>
      <c r="J25" s="341"/>
      <c r="K25" s="325"/>
    </row>
    <row r="26" spans="1:11" s="318" customFormat="1">
      <c r="A26" s="474">
        <f t="shared" si="0"/>
        <v>19</v>
      </c>
      <c r="B26" s="318" t="s">
        <v>793</v>
      </c>
      <c r="C26" s="318" t="s">
        <v>947</v>
      </c>
      <c r="D26" s="358">
        <f>D25*D24*24/12</f>
        <v>0</v>
      </c>
      <c r="I26" s="325"/>
      <c r="J26" s="341"/>
      <c r="K26" s="325"/>
    </row>
    <row r="27" spans="1:11" s="318" customFormat="1">
      <c r="A27" s="474">
        <f t="shared" si="0"/>
        <v>20</v>
      </c>
      <c r="B27" s="547" t="s">
        <v>554</v>
      </c>
      <c r="C27" s="547" t="s">
        <v>799</v>
      </c>
      <c r="D27" s="562">
        <f>(D24+D26)</f>
        <v>64337</v>
      </c>
      <c r="E27" s="319"/>
      <c r="I27" s="325"/>
      <c r="J27" s="341"/>
      <c r="K27" s="325"/>
    </row>
    <row r="28" spans="1:11" s="318" customFormat="1">
      <c r="A28" s="474">
        <f t="shared" si="0"/>
        <v>21</v>
      </c>
      <c r="B28" s="321"/>
      <c r="C28" s="547"/>
      <c r="E28" s="319"/>
      <c r="F28" s="554"/>
      <c r="I28" s="325"/>
      <c r="J28" s="341"/>
      <c r="K28" s="325"/>
    </row>
    <row r="29" spans="1:11" s="318" customFormat="1" ht="13.5" thickBot="1">
      <c r="A29" s="474">
        <f t="shared" si="0"/>
        <v>22</v>
      </c>
      <c r="B29" s="321" t="s">
        <v>790</v>
      </c>
      <c r="C29" s="547" t="s">
        <v>827</v>
      </c>
      <c r="D29" s="570">
        <f>D19+D27</f>
        <v>394017</v>
      </c>
      <c r="E29" s="319"/>
      <c r="F29" s="554"/>
      <c r="I29" s="325"/>
      <c r="J29" s="341"/>
      <c r="K29" s="325"/>
    </row>
    <row r="30" spans="1:11" s="318" customFormat="1" ht="13.5" thickTop="1">
      <c r="A30" s="474">
        <f t="shared" si="0"/>
        <v>23</v>
      </c>
      <c r="B30" s="321"/>
      <c r="C30" s="547"/>
      <c r="E30" s="319"/>
      <c r="F30" s="554"/>
      <c r="I30" s="325"/>
      <c r="J30" s="341"/>
      <c r="K30" s="325"/>
    </row>
    <row r="31" spans="1:11">
      <c r="A31" s="474">
        <f t="shared" si="0"/>
        <v>24</v>
      </c>
      <c r="B31" s="475" t="s">
        <v>197</v>
      </c>
      <c r="C31" s="89"/>
      <c r="D31" s="139"/>
      <c r="E31" s="89"/>
      <c r="F31" s="89"/>
      <c r="G31" s="89"/>
      <c r="H31" s="89"/>
      <c r="I31" s="139"/>
      <c r="J31" s="89"/>
      <c r="K31" s="88"/>
    </row>
    <row r="32" spans="1:11">
      <c r="A32" s="474">
        <f t="shared" si="0"/>
        <v>25</v>
      </c>
      <c r="B32" s="129" t="s">
        <v>255</v>
      </c>
      <c r="C32" s="128" t="s">
        <v>568</v>
      </c>
      <c r="D32" s="231">
        <f>'P3-Divisor'!G24</f>
        <v>0</v>
      </c>
      <c r="E32" s="89"/>
      <c r="F32" s="89"/>
      <c r="G32" s="88"/>
      <c r="H32" s="89"/>
      <c r="J32" s="89"/>
      <c r="K32" s="88"/>
    </row>
    <row r="33" spans="1:11">
      <c r="A33" s="474">
        <f t="shared" si="0"/>
        <v>26</v>
      </c>
      <c r="B33" s="129"/>
      <c r="C33" s="133"/>
      <c r="D33" s="133"/>
      <c r="E33" s="133"/>
      <c r="F33" s="133"/>
      <c r="G33" s="136"/>
      <c r="H33" s="133"/>
      <c r="I33" s="133"/>
      <c r="J33" s="89"/>
      <c r="K33" s="88"/>
    </row>
    <row r="34" spans="1:11">
      <c r="A34" s="474">
        <f t="shared" si="0"/>
        <v>27</v>
      </c>
      <c r="B34" s="475" t="s">
        <v>152</v>
      </c>
      <c r="C34" s="149"/>
      <c r="D34" s="149"/>
      <c r="E34" s="149"/>
      <c r="F34" s="149"/>
      <c r="G34" s="149"/>
      <c r="H34" s="149"/>
      <c r="I34" s="149"/>
      <c r="J34" s="149"/>
      <c r="K34" s="88"/>
    </row>
    <row r="35" spans="1:11">
      <c r="A35" s="474">
        <f t="shared" si="0"/>
        <v>28</v>
      </c>
      <c r="B35" s="129" t="s">
        <v>256</v>
      </c>
      <c r="C35" s="129"/>
      <c r="D35" s="717" t="e">
        <f>ROUND(D29/D32,2)</f>
        <v>#DIV/0!</v>
      </c>
      <c r="E35" s="129" t="s">
        <v>245</v>
      </c>
      <c r="F35" s="149"/>
      <c r="G35" s="149"/>
      <c r="H35" s="149"/>
      <c r="I35" s="149"/>
      <c r="J35" s="149"/>
      <c r="K35" s="88"/>
    </row>
    <row r="36" spans="1:11">
      <c r="A36" s="474">
        <f t="shared" si="0"/>
        <v>29</v>
      </c>
      <c r="B36" s="129" t="s">
        <v>257</v>
      </c>
      <c r="C36" s="129" t="s">
        <v>788</v>
      </c>
      <c r="D36" s="717" t="e">
        <f>ROUND(D35/12,2)</f>
        <v>#DIV/0!</v>
      </c>
      <c r="E36" s="129" t="s">
        <v>246</v>
      </c>
      <c r="F36" s="149"/>
      <c r="G36" s="149"/>
      <c r="H36" s="149"/>
      <c r="I36" s="149"/>
      <c r="J36" s="149"/>
      <c r="K36" s="88"/>
    </row>
    <row r="37" spans="1:11">
      <c r="A37" s="474">
        <f t="shared" si="0"/>
        <v>30</v>
      </c>
      <c r="B37" s="129" t="s">
        <v>258</v>
      </c>
      <c r="C37" s="129" t="s">
        <v>789</v>
      </c>
      <c r="D37" s="717" t="e">
        <f>ROUND(D35/52,2)</f>
        <v>#DIV/0!</v>
      </c>
      <c r="E37" s="129" t="s">
        <v>247</v>
      </c>
      <c r="F37" s="149"/>
      <c r="G37" s="149"/>
      <c r="H37" s="149"/>
      <c r="I37" s="149"/>
      <c r="J37" s="149"/>
      <c r="K37" s="88"/>
    </row>
    <row r="38" spans="1:11">
      <c r="A38" s="474">
        <f t="shared" si="0"/>
        <v>31</v>
      </c>
      <c r="B38" s="129" t="s">
        <v>259</v>
      </c>
      <c r="C38" s="129" t="s">
        <v>248</v>
      </c>
      <c r="D38" s="718" t="e">
        <f>+D37/6</f>
        <v>#DIV/0!</v>
      </c>
      <c r="E38" s="129" t="s">
        <v>249</v>
      </c>
      <c r="F38" s="149"/>
      <c r="G38" s="149"/>
      <c r="H38" s="149"/>
      <c r="I38" s="149"/>
      <c r="J38" s="149"/>
      <c r="K38" s="88"/>
    </row>
    <row r="39" spans="1:11">
      <c r="A39" s="474">
        <f t="shared" si="0"/>
        <v>32</v>
      </c>
      <c r="B39" s="129" t="s">
        <v>260</v>
      </c>
      <c r="C39" s="129" t="s">
        <v>250</v>
      </c>
      <c r="D39" s="718" t="e">
        <f>+D37/7</f>
        <v>#DIV/0!</v>
      </c>
      <c r="E39" s="129" t="s">
        <v>249</v>
      </c>
      <c r="F39" s="149"/>
      <c r="G39" s="149"/>
      <c r="H39" s="149"/>
      <c r="I39" s="149"/>
      <c r="J39" s="149"/>
      <c r="K39" s="88"/>
    </row>
    <row r="40" spans="1:11">
      <c r="A40" s="474">
        <f t="shared" si="0"/>
        <v>33</v>
      </c>
      <c r="B40" s="129" t="s">
        <v>261</v>
      </c>
      <c r="C40" s="129" t="s">
        <v>251</v>
      </c>
      <c r="D40" s="720" t="e">
        <f>+D38/16*1000</f>
        <v>#DIV/0!</v>
      </c>
      <c r="E40" s="129" t="s">
        <v>895</v>
      </c>
      <c r="F40" s="149"/>
      <c r="G40" s="149"/>
      <c r="H40" s="149"/>
      <c r="I40" s="149"/>
      <c r="J40" s="149"/>
      <c r="K40" s="88"/>
    </row>
    <row r="41" spans="1:11">
      <c r="A41" s="474">
        <f t="shared" si="0"/>
        <v>34</v>
      </c>
      <c r="B41" s="129" t="s">
        <v>262</v>
      </c>
      <c r="C41" s="129" t="s">
        <v>252</v>
      </c>
      <c r="D41" s="720" t="e">
        <f>+D39/24*1000</f>
        <v>#DIV/0!</v>
      </c>
      <c r="E41" s="129" t="s">
        <v>895</v>
      </c>
      <c r="F41" s="149"/>
      <c r="G41" s="149"/>
      <c r="H41" s="149"/>
      <c r="I41" s="149"/>
      <c r="J41" s="149"/>
      <c r="K41" s="88"/>
    </row>
    <row r="42" spans="1:11">
      <c r="A42" s="474"/>
      <c r="B42" s="129"/>
      <c r="C42" s="129"/>
      <c r="D42" s="719"/>
      <c r="E42" s="129"/>
      <c r="F42" s="149"/>
      <c r="G42" s="149"/>
      <c r="H42" s="149"/>
      <c r="I42" s="149"/>
      <c r="J42" s="149"/>
      <c r="K42" s="88"/>
    </row>
    <row r="43" spans="1:11">
      <c r="A43" s="474"/>
      <c r="B43" s="477"/>
      <c r="C43" s="548"/>
      <c r="D43" s="479"/>
    </row>
    <row r="44" spans="1:11">
      <c r="A44" s="271" t="s">
        <v>174</v>
      </c>
      <c r="B44" s="477"/>
      <c r="C44" s="478"/>
      <c r="D44" s="479"/>
    </row>
    <row r="45" spans="1:11">
      <c r="A45" s="532" t="s">
        <v>79</v>
      </c>
      <c r="B45" s="1028" t="s">
        <v>829</v>
      </c>
      <c r="C45" s="1028"/>
      <c r="D45" s="1028"/>
    </row>
    <row r="46" spans="1:11">
      <c r="A46" s="474" t="s">
        <v>80</v>
      </c>
      <c r="B46" s="1029" t="s">
        <v>830</v>
      </c>
      <c r="C46" s="1029"/>
      <c r="D46" s="1029"/>
    </row>
    <row r="47" spans="1:11">
      <c r="A47" s="474"/>
      <c r="B47" s="1026"/>
      <c r="C47" s="1026"/>
      <c r="D47" s="1026"/>
    </row>
    <row r="48" spans="1:11">
      <c r="A48" s="474"/>
      <c r="B48" s="687"/>
      <c r="C48" s="687"/>
      <c r="D48" s="688"/>
    </row>
    <row r="49" spans="1:5">
      <c r="A49" s="474"/>
      <c r="B49" s="686"/>
      <c r="C49" s="687"/>
      <c r="D49" s="688"/>
    </row>
    <row r="50" spans="1:5">
      <c r="A50" s="474"/>
      <c r="B50" s="1027"/>
      <c r="C50" s="1027"/>
      <c r="D50" s="1027"/>
    </row>
    <row r="51" spans="1:5">
      <c r="A51" s="474"/>
      <c r="B51" s="477"/>
      <c r="C51" s="478"/>
      <c r="D51" s="486"/>
      <c r="E51" s="487"/>
    </row>
    <row r="52" spans="1:5">
      <c r="A52" s="474"/>
      <c r="B52" s="477"/>
      <c r="C52" s="478"/>
      <c r="D52" s="486"/>
    </row>
    <row r="53" spans="1:5">
      <c r="A53" s="474"/>
      <c r="B53" s="477"/>
      <c r="C53" s="478"/>
      <c r="D53" s="486"/>
    </row>
    <row r="54" spans="1:5">
      <c r="A54" s="474"/>
      <c r="B54" s="477"/>
      <c r="C54" s="478"/>
      <c r="D54" s="486"/>
    </row>
    <row r="55" spans="1:5">
      <c r="A55" s="474"/>
      <c r="C55" s="478"/>
      <c r="D55" s="483"/>
    </row>
    <row r="56" spans="1:5">
      <c r="A56" s="474"/>
      <c r="B56" s="488"/>
      <c r="D56" s="483"/>
    </row>
    <row r="57" spans="1:5">
      <c r="A57" s="474"/>
      <c r="B57" s="488"/>
      <c r="D57" s="483"/>
    </row>
    <row r="58" spans="1:5">
      <c r="A58" s="474"/>
      <c r="B58" s="488"/>
      <c r="D58" s="483"/>
    </row>
    <row r="59" spans="1:5">
      <c r="A59" s="474"/>
      <c r="B59" s="488"/>
      <c r="D59" s="483"/>
    </row>
    <row r="60" spans="1:5">
      <c r="A60" s="474"/>
      <c r="B60" s="488"/>
      <c r="D60" s="483"/>
    </row>
    <row r="61" spans="1:5">
      <c r="A61" s="474"/>
      <c r="B61" s="488"/>
      <c r="D61" s="483"/>
    </row>
    <row r="62" spans="1:5">
      <c r="A62" s="474"/>
      <c r="B62" s="488"/>
      <c r="D62" s="483"/>
    </row>
    <row r="63" spans="1:5">
      <c r="A63" s="474"/>
      <c r="B63" s="488"/>
      <c r="D63" s="483"/>
    </row>
    <row r="64" spans="1:5">
      <c r="A64" s="474"/>
      <c r="B64" s="488"/>
      <c r="D64" s="483"/>
    </row>
    <row r="65" spans="1:5">
      <c r="A65" s="474"/>
      <c r="B65" s="488"/>
      <c r="D65" s="483"/>
    </row>
    <row r="66" spans="1:5">
      <c r="A66" s="474"/>
      <c r="B66" s="477"/>
      <c r="D66" s="479"/>
    </row>
    <row r="67" spans="1:5">
      <c r="A67" s="474"/>
      <c r="B67" s="477"/>
      <c r="C67" s="478"/>
      <c r="D67" s="479"/>
    </row>
    <row r="68" spans="1:5">
      <c r="A68" s="474"/>
      <c r="B68" s="477"/>
      <c r="D68" s="483"/>
    </row>
    <row r="69" spans="1:5">
      <c r="A69" s="474"/>
      <c r="B69" s="477"/>
      <c r="D69" s="483"/>
    </row>
    <row r="70" spans="1:5">
      <c r="A70" s="474"/>
      <c r="B70" s="477"/>
      <c r="D70" s="483"/>
    </row>
    <row r="71" spans="1:5">
      <c r="A71" s="478"/>
      <c r="B71" s="484"/>
      <c r="C71" s="478"/>
      <c r="D71" s="479"/>
      <c r="E71" s="489"/>
    </row>
    <row r="72" spans="1:5">
      <c r="A72" s="478"/>
      <c r="B72" s="482"/>
      <c r="C72" s="478"/>
      <c r="D72" s="485"/>
      <c r="E72" s="489"/>
    </row>
    <row r="73" spans="1:5">
      <c r="A73" s="478"/>
      <c r="B73" s="482"/>
      <c r="C73" s="478"/>
      <c r="D73" s="485"/>
      <c r="E73" s="489"/>
    </row>
    <row r="74" spans="1:5">
      <c r="A74" s="478"/>
      <c r="B74" s="482"/>
      <c r="C74" s="478"/>
      <c r="D74" s="490"/>
      <c r="E74" s="489"/>
    </row>
    <row r="75" spans="1:5">
      <c r="A75" s="478"/>
      <c r="B75" s="482"/>
      <c r="C75" s="478"/>
      <c r="D75" s="490"/>
      <c r="E75" s="489"/>
    </row>
    <row r="76" spans="1:5">
      <c r="A76" s="478"/>
      <c r="B76" s="482"/>
      <c r="C76" s="478"/>
      <c r="D76" s="490"/>
      <c r="E76" s="489"/>
    </row>
    <row r="77" spans="1:5">
      <c r="A77" s="478"/>
      <c r="B77" s="482"/>
      <c r="C77" s="478"/>
      <c r="D77" s="490"/>
      <c r="E77" s="489"/>
    </row>
    <row r="78" spans="1:5">
      <c r="A78" s="474"/>
      <c r="B78" s="477"/>
      <c r="D78" s="483"/>
    </row>
    <row r="79" spans="1:5">
      <c r="A79" s="474"/>
      <c r="B79" s="477"/>
      <c r="D79" s="483"/>
    </row>
    <row r="80" spans="1:5">
      <c r="A80" s="474"/>
      <c r="B80" s="477"/>
      <c r="D80" s="483"/>
    </row>
    <row r="150" spans="1:11" s="474" customFormat="1">
      <c r="A150" s="470"/>
      <c r="B150" s="470"/>
      <c r="D150" s="476"/>
      <c r="E150" s="470"/>
      <c r="F150" s="470"/>
      <c r="G150" s="470"/>
      <c r="H150" s="470"/>
      <c r="I150" s="470"/>
      <c r="J150" s="470"/>
      <c r="K150" s="470"/>
    </row>
    <row r="161" spans="1:11">
      <c r="A161" s="489"/>
      <c r="B161" s="489"/>
      <c r="E161" s="474"/>
      <c r="F161" s="474"/>
      <c r="G161" s="474"/>
      <c r="H161" s="474"/>
      <c r="I161" s="474"/>
      <c r="J161" s="474"/>
      <c r="K161" s="474"/>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tabSelected="1" topLeftCell="A156" zoomScaleNormal="100" workbookViewId="0">
      <selection activeCell="B164" sqref="B164"/>
    </sheetView>
  </sheetViews>
  <sheetFormatPr defaultColWidth="8.69140625" defaultRowHeight="13"/>
  <cols>
    <col min="1" max="1" width="4.23046875" style="128" customWidth="1"/>
    <col min="2" max="2" width="39.23046875" style="128" customWidth="1"/>
    <col min="3" max="3" width="36.69140625" style="128" customWidth="1"/>
    <col min="4" max="4" width="10.69140625" style="128" customWidth="1"/>
    <col min="5" max="5" width="3.84375" style="128" customWidth="1"/>
    <col min="6" max="6" width="3.53515625" style="128" customWidth="1"/>
    <col min="7" max="7" width="9.69140625" style="128" customWidth="1"/>
    <col min="8" max="8" width="3.23046875" style="128" bestFit="1" customWidth="1"/>
    <col min="9" max="9" width="10.69140625" style="128" customWidth="1"/>
    <col min="10" max="10" width="1.4609375" style="128" customWidth="1"/>
    <col min="11" max="11" width="5.07421875" style="162" customWidth="1"/>
    <col min="12" max="12" width="10.69140625" style="128" bestFit="1" customWidth="1"/>
    <col min="13" max="14" width="10.69140625" style="128" customWidth="1"/>
    <col min="15" max="15" width="9.23046875" style="128" bestFit="1" customWidth="1"/>
    <col min="16"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59" t="s">
        <v>479</v>
      </c>
      <c r="J1" s="959"/>
      <c r="K1" s="959"/>
    </row>
    <row r="2" spans="1:11">
      <c r="B2" s="129"/>
      <c r="C2" s="129"/>
      <c r="D2" s="130"/>
      <c r="E2" s="129"/>
      <c r="F2" s="129"/>
      <c r="G2" s="129"/>
      <c r="H2" s="89"/>
      <c r="I2" s="89"/>
      <c r="J2" s="958" t="s">
        <v>241</v>
      </c>
      <c r="K2" s="958"/>
    </row>
    <row r="3" spans="1:11">
      <c r="B3" s="129"/>
      <c r="D3" s="130"/>
      <c r="E3" s="129"/>
      <c r="F3" s="129"/>
      <c r="G3" s="129"/>
      <c r="H3" s="89"/>
      <c r="I3" s="89"/>
      <c r="J3" s="89"/>
      <c r="K3" s="131"/>
    </row>
    <row r="4" spans="1:11">
      <c r="B4" s="130" t="s">
        <v>0</v>
      </c>
      <c r="C4" s="98" t="s">
        <v>122</v>
      </c>
      <c r="E4" s="129"/>
      <c r="F4" s="129"/>
      <c r="G4" s="129"/>
      <c r="H4" s="89"/>
      <c r="I4" s="89"/>
      <c r="J4" s="89"/>
      <c r="K4" s="132" t="s">
        <v>1234</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8499074.0630670227</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60" t="s">
        <v>10</v>
      </c>
      <c r="G12" s="960"/>
      <c r="H12" s="89"/>
      <c r="I12" s="139"/>
      <c r="J12" s="89"/>
      <c r="K12" s="88"/>
    </row>
    <row r="13" spans="1:11">
      <c r="A13" s="98">
        <v>2</v>
      </c>
      <c r="B13" s="129" t="s">
        <v>12</v>
      </c>
      <c r="C13" s="133" t="s">
        <v>652</v>
      </c>
      <c r="D13" s="231">
        <f>'A1-RevCred'!J12</f>
        <v>90598.291885713843</v>
      </c>
      <c r="E13" s="133"/>
      <c r="F13" s="133" t="s">
        <v>11</v>
      </c>
      <c r="G13" s="142">
        <f>$I$174</f>
        <v>0.93588134221765762</v>
      </c>
      <c r="H13" s="133"/>
      <c r="I13" s="76">
        <f>+G13*D13</f>
        <v>84789.251012628985</v>
      </c>
      <c r="J13" s="89"/>
      <c r="K13" s="88"/>
    </row>
    <row r="14" spans="1:11">
      <c r="A14" s="98">
        <v>3</v>
      </c>
      <c r="B14" s="129" t="s">
        <v>110</v>
      </c>
      <c r="C14" s="133" t="s">
        <v>808</v>
      </c>
      <c r="D14" s="231">
        <f>'A1-RevCred'!F48</f>
        <v>43</v>
      </c>
      <c r="E14" s="133"/>
      <c r="F14" s="143" t="str">
        <f t="shared" ref="F14" si="0">+F13</f>
        <v>TP</v>
      </c>
      <c r="G14" s="142">
        <f>$I$174</f>
        <v>0.93588134221765762</v>
      </c>
      <c r="H14" s="133"/>
      <c r="I14" s="76">
        <f>+G14*D14</f>
        <v>40.242897715359277</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84829.493910344347</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8414244.5691566784</v>
      </c>
      <c r="J19" s="89"/>
      <c r="K19" s="88"/>
    </row>
    <row r="20" spans="1:11" ht="13.5" thickTop="1">
      <c r="A20" s="98"/>
      <c r="B20" s="129"/>
      <c r="C20" s="89"/>
      <c r="D20" s="145"/>
      <c r="E20" s="133"/>
      <c r="F20" s="133"/>
      <c r="G20" s="133"/>
      <c r="H20" s="133"/>
      <c r="I20" s="533"/>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244166.66666666666</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17">
        <f>ROUND(I19/I22,2)</f>
        <v>34.46</v>
      </c>
      <c r="E25" s="129" t="s">
        <v>245</v>
      </c>
      <c r="F25" s="149"/>
      <c r="G25" s="149"/>
      <c r="H25" s="149"/>
      <c r="I25" s="149"/>
      <c r="J25" s="149"/>
      <c r="K25" s="88"/>
    </row>
    <row r="26" spans="1:11">
      <c r="A26" s="98">
        <v>12</v>
      </c>
      <c r="B26" s="129" t="s">
        <v>257</v>
      </c>
      <c r="C26" s="129" t="s">
        <v>788</v>
      </c>
      <c r="D26" s="717">
        <f>ROUND(D25/12,2)</f>
        <v>2.87</v>
      </c>
      <c r="E26" s="129" t="s">
        <v>246</v>
      </c>
      <c r="F26" s="149"/>
      <c r="G26" s="149"/>
      <c r="H26" s="149"/>
      <c r="I26" s="149"/>
      <c r="J26" s="149"/>
      <c r="K26" s="88"/>
    </row>
    <row r="27" spans="1:11">
      <c r="A27" s="98">
        <v>13</v>
      </c>
      <c r="B27" s="129" t="s">
        <v>258</v>
      </c>
      <c r="C27" s="129" t="s">
        <v>789</v>
      </c>
      <c r="D27" s="717">
        <f>ROUND(D25/52,2)</f>
        <v>0.66</v>
      </c>
      <c r="E27" s="129" t="s">
        <v>247</v>
      </c>
      <c r="F27" s="149"/>
      <c r="G27" s="149"/>
      <c r="H27" s="149"/>
      <c r="I27" s="149"/>
      <c r="J27" s="149"/>
      <c r="K27" s="88"/>
    </row>
    <row r="28" spans="1:11">
      <c r="A28" s="98">
        <v>14</v>
      </c>
      <c r="B28" s="129" t="s">
        <v>259</v>
      </c>
      <c r="C28" s="129" t="s">
        <v>248</v>
      </c>
      <c r="D28" s="718">
        <f>+D27/6</f>
        <v>0.11</v>
      </c>
      <c r="E28" s="129" t="s">
        <v>249</v>
      </c>
      <c r="F28" s="149"/>
      <c r="G28" s="149"/>
      <c r="H28" s="149"/>
      <c r="I28" s="149"/>
      <c r="J28" s="149"/>
      <c r="K28" s="88"/>
    </row>
    <row r="29" spans="1:11">
      <c r="A29" s="98">
        <v>15</v>
      </c>
      <c r="B29" s="129" t="s">
        <v>260</v>
      </c>
      <c r="C29" s="129" t="s">
        <v>250</v>
      </c>
      <c r="D29" s="718">
        <f>+D27/7</f>
        <v>9.4285714285714292E-2</v>
      </c>
      <c r="E29" s="129" t="s">
        <v>249</v>
      </c>
      <c r="F29" s="149"/>
      <c r="G29" s="149"/>
      <c r="H29" s="149"/>
      <c r="I29" s="149"/>
      <c r="J29" s="149"/>
      <c r="K29" s="88"/>
    </row>
    <row r="30" spans="1:11">
      <c r="A30" s="98">
        <v>16</v>
      </c>
      <c r="B30" s="129" t="s">
        <v>261</v>
      </c>
      <c r="C30" s="129" t="s">
        <v>251</v>
      </c>
      <c r="D30" s="717">
        <f>+D28/16*1000</f>
        <v>6.875</v>
      </c>
      <c r="E30" s="129" t="s">
        <v>895</v>
      </c>
      <c r="F30" s="149"/>
      <c r="G30" s="149"/>
      <c r="H30" s="149"/>
      <c r="I30" s="149"/>
      <c r="J30" s="149"/>
      <c r="K30" s="88"/>
    </row>
    <row r="31" spans="1:11">
      <c r="A31" s="98">
        <v>17</v>
      </c>
      <c r="B31" s="129" t="s">
        <v>262</v>
      </c>
      <c r="C31" s="129" t="s">
        <v>252</v>
      </c>
      <c r="D31" s="717">
        <f>+D29/24*1000</f>
        <v>3.9285714285714288</v>
      </c>
      <c r="E31" s="129" t="s">
        <v>895</v>
      </c>
      <c r="F31" s="149"/>
      <c r="G31" s="149"/>
      <c r="H31" s="149"/>
      <c r="I31" s="149"/>
      <c r="J31" s="149"/>
      <c r="K31" s="88"/>
    </row>
    <row r="32" spans="1:11">
      <c r="B32" s="129"/>
      <c r="C32" s="129"/>
      <c r="D32" s="130"/>
      <c r="E32" s="129"/>
      <c r="F32" s="129"/>
      <c r="G32" s="129"/>
      <c r="H32" s="89"/>
      <c r="I32" s="959" t="str">
        <f>I1</f>
        <v>Actual Attachment H</v>
      </c>
      <c r="J32" s="959"/>
      <c r="K32" s="959"/>
    </row>
    <row r="33" spans="1:15">
      <c r="B33" s="129"/>
      <c r="C33" s="129"/>
      <c r="D33" s="130"/>
      <c r="E33" s="129"/>
      <c r="F33" s="129"/>
      <c r="G33" s="129"/>
      <c r="H33" s="89"/>
      <c r="I33" s="89"/>
      <c r="J33" s="958" t="s">
        <v>242</v>
      </c>
      <c r="K33" s="958"/>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12/31/2021</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349162798.44615388</v>
      </c>
      <c r="E45" s="133"/>
      <c r="F45" s="133" t="s">
        <v>27</v>
      </c>
      <c r="G45" s="160" t="s">
        <v>2</v>
      </c>
      <c r="H45" s="133"/>
      <c r="I45" s="76">
        <v>0</v>
      </c>
      <c r="J45" s="133"/>
      <c r="K45" s="136"/>
    </row>
    <row r="46" spans="1:15">
      <c r="A46" s="98">
        <v>2</v>
      </c>
      <c r="B46" s="129" t="s">
        <v>28</v>
      </c>
      <c r="C46" s="62" t="s">
        <v>659</v>
      </c>
      <c r="D46" s="231">
        <f>'A4-Rate Base'!D23</f>
        <v>64937297.950769231</v>
      </c>
      <c r="E46" s="133"/>
      <c r="F46" s="133" t="s">
        <v>11</v>
      </c>
      <c r="G46" s="142">
        <f>$I$174</f>
        <v>0.93588134221765762</v>
      </c>
      <c r="H46" s="133"/>
      <c r="I46" s="76">
        <f>+G46*D46</f>
        <v>60773605.566153854</v>
      </c>
      <c r="J46" s="133"/>
      <c r="K46" s="136"/>
      <c r="M46" s="162"/>
      <c r="N46" s="162"/>
      <c r="O46" s="162"/>
    </row>
    <row r="47" spans="1:15">
      <c r="A47" s="98">
        <v>3</v>
      </c>
      <c r="B47" s="129" t="s">
        <v>29</v>
      </c>
      <c r="C47" s="62" t="s">
        <v>660</v>
      </c>
      <c r="D47" s="231">
        <f>'A4-Rate Base'!E23</f>
        <v>232503537.00384617</v>
      </c>
      <c r="E47" s="133"/>
      <c r="F47" s="133" t="s">
        <v>27</v>
      </c>
      <c r="G47" s="160" t="s">
        <v>2</v>
      </c>
      <c r="H47" s="133"/>
      <c r="I47" s="76">
        <v>0</v>
      </c>
      <c r="J47" s="133"/>
      <c r="K47" s="136"/>
    </row>
    <row r="48" spans="1:15">
      <c r="A48" s="98">
        <v>4</v>
      </c>
      <c r="B48" s="129" t="s">
        <v>30</v>
      </c>
      <c r="C48" s="62" t="s">
        <v>661</v>
      </c>
      <c r="D48" s="231">
        <f>'A4-Rate Base'!F23</f>
        <v>20253628.649999999</v>
      </c>
      <c r="E48" s="133"/>
      <c r="F48" s="133" t="s">
        <v>31</v>
      </c>
      <c r="G48" s="161">
        <f>$I$191</f>
        <v>8.3698853923777461E-2</v>
      </c>
      <c r="H48" s="133"/>
      <c r="I48" s="76">
        <f>+G48*D48</f>
        <v>1695205.5058027839</v>
      </c>
      <c r="J48" s="133"/>
      <c r="K48" s="136"/>
    </row>
    <row r="49" spans="1:11">
      <c r="A49" s="98">
        <v>5</v>
      </c>
      <c r="B49" s="129" t="s">
        <v>32</v>
      </c>
      <c r="C49" s="62" t="s">
        <v>662</v>
      </c>
      <c r="D49" s="231">
        <f>'A4-Rate Base'!G23</f>
        <v>11761222.538461538</v>
      </c>
      <c r="E49" s="133"/>
      <c r="F49" s="133" t="s">
        <v>67</v>
      </c>
      <c r="G49" s="161">
        <f>$K$195</f>
        <v>8.217144652354566E-2</v>
      </c>
      <c r="H49" s="133"/>
      <c r="I49" s="76">
        <f>+G49*D49</f>
        <v>966436.66887071216</v>
      </c>
      <c r="J49" s="133"/>
      <c r="K49" s="136"/>
    </row>
    <row r="50" spans="1:11">
      <c r="A50" s="98">
        <v>6</v>
      </c>
      <c r="B50" s="129" t="s">
        <v>364</v>
      </c>
      <c r="C50" s="63" t="s">
        <v>363</v>
      </c>
      <c r="D50" s="244">
        <f>SUM(D45:D49)</f>
        <v>678618484.58923078</v>
      </c>
      <c r="E50" s="133"/>
      <c r="F50" s="133" t="s">
        <v>33</v>
      </c>
      <c r="G50" s="142">
        <f>IF(I50&gt;0,I50/D50,0)</f>
        <v>9.347704075468094E-2</v>
      </c>
      <c r="H50" s="133"/>
      <c r="I50" s="244">
        <f>SUM(I45:I49)</f>
        <v>63435247.740827344</v>
      </c>
      <c r="J50" s="133"/>
      <c r="K50" s="492"/>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67756951.212515995</v>
      </c>
      <c r="E53" s="133"/>
      <c r="F53" s="143" t="str">
        <f>+F45</f>
        <v>NA</v>
      </c>
      <c r="G53" s="161"/>
      <c r="H53" s="133"/>
      <c r="I53" s="76">
        <v>0</v>
      </c>
      <c r="J53" s="133"/>
      <c r="K53" s="136"/>
    </row>
    <row r="54" spans="1:11">
      <c r="A54" s="98">
        <v>8</v>
      </c>
      <c r="B54" s="166" t="str">
        <f>+B46</f>
        <v xml:space="preserve">  Transmission</v>
      </c>
      <c r="C54" s="62" t="s">
        <v>664</v>
      </c>
      <c r="D54" s="231">
        <f>'A4-Rate Base'!F46</f>
        <v>7897911.3803680995</v>
      </c>
      <c r="E54" s="133"/>
      <c r="F54" s="143" t="str">
        <f t="shared" ref="F54:F57" si="1">+F46</f>
        <v>TP</v>
      </c>
      <c r="G54" s="142">
        <f>$I$174</f>
        <v>0.93588134221765762</v>
      </c>
      <c r="H54" s="133"/>
      <c r="I54" s="76">
        <f>+G54*D54</f>
        <v>7391507.90337501</v>
      </c>
      <c r="J54" s="133"/>
      <c r="K54" s="136"/>
    </row>
    <row r="55" spans="1:11">
      <c r="A55" s="98">
        <v>9</v>
      </c>
      <c r="B55" s="166" t="str">
        <f>+B47</f>
        <v xml:space="preserve">  Distribution</v>
      </c>
      <c r="C55" s="62" t="s">
        <v>665</v>
      </c>
      <c r="D55" s="231">
        <f>'A4-Rate Base'!G46</f>
        <v>67282744.68339026</v>
      </c>
      <c r="E55" s="133"/>
      <c r="F55" s="143" t="str">
        <f t="shared" si="1"/>
        <v>NA</v>
      </c>
      <c r="G55" s="161"/>
      <c r="H55" s="133"/>
      <c r="I55" s="76">
        <v>0</v>
      </c>
      <c r="J55" s="133"/>
      <c r="K55" s="136"/>
    </row>
    <row r="56" spans="1:11">
      <c r="A56" s="98">
        <v>10</v>
      </c>
      <c r="B56" s="166" t="str">
        <f>+B48</f>
        <v xml:space="preserve">  General &amp; Intangible</v>
      </c>
      <c r="C56" s="62" t="s">
        <v>666</v>
      </c>
      <c r="D56" s="231">
        <f>'A4-Rate Base'!H46</f>
        <v>5383876.7954138014</v>
      </c>
      <c r="E56" s="133"/>
      <c r="F56" s="143" t="str">
        <f t="shared" si="1"/>
        <v>W/S</v>
      </c>
      <c r="G56" s="161">
        <f>$I$191</f>
        <v>8.3698853923777461E-2</v>
      </c>
      <c r="H56" s="133"/>
      <c r="I56" s="76">
        <f>+G56*D56</f>
        <v>450624.31744295487</v>
      </c>
      <c r="J56" s="133"/>
      <c r="K56" s="136"/>
    </row>
    <row r="57" spans="1:11">
      <c r="A57" s="98">
        <v>11</v>
      </c>
      <c r="B57" s="166" t="str">
        <f>+B49</f>
        <v xml:space="preserve">  Common</v>
      </c>
      <c r="C57" s="62" t="s">
        <v>667</v>
      </c>
      <c r="D57" s="231">
        <f>'A4-Rate Base'!I46</f>
        <v>1262911.076923077</v>
      </c>
      <c r="E57" s="133"/>
      <c r="F57" s="143" t="str">
        <f t="shared" si="1"/>
        <v>CE</v>
      </c>
      <c r="G57" s="161">
        <f>$K$195</f>
        <v>8.217144652354566E-2</v>
      </c>
      <c r="H57" s="133"/>
      <c r="I57" s="70">
        <f>+G57*D57</f>
        <v>103775.23002137808</v>
      </c>
      <c r="J57" s="133"/>
      <c r="K57" s="136"/>
    </row>
    <row r="58" spans="1:11">
      <c r="A58" s="98">
        <v>12</v>
      </c>
      <c r="B58" s="129" t="s">
        <v>366</v>
      </c>
      <c r="C58" s="63" t="s">
        <v>365</v>
      </c>
      <c r="D58" s="244">
        <f>SUM(D53:D57)</f>
        <v>149584395.14861122</v>
      </c>
      <c r="E58" s="133"/>
      <c r="F58" s="133"/>
      <c r="G58" s="133"/>
      <c r="H58" s="133"/>
      <c r="I58" s="244">
        <f>SUM(I53:I57)</f>
        <v>7945907.4508393425</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281405847.23363787</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57039386.570401132</v>
      </c>
      <c r="E62" s="133"/>
      <c r="F62" s="133"/>
      <c r="G62" s="160"/>
      <c r="H62" s="133"/>
      <c r="I62" s="76">
        <f>I46-I54</f>
        <v>53382097.662778847</v>
      </c>
      <c r="J62" s="133"/>
      <c r="K62" s="164"/>
    </row>
    <row r="63" spans="1:11">
      <c r="A63" s="98">
        <v>15</v>
      </c>
      <c r="B63" s="166" t="str">
        <f>+B55</f>
        <v xml:space="preserve">  Distribution</v>
      </c>
      <c r="C63" s="63" t="str">
        <f>"(Line "&amp;A47&amp;" - Line "&amp;A55&amp;")"</f>
        <v>(Line 3 - Line 9)</v>
      </c>
      <c r="D63" s="76">
        <f>D47-D55</f>
        <v>165220792.32045591</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14869751.854586197</v>
      </c>
      <c r="E64" s="133"/>
      <c r="F64" s="133"/>
      <c r="G64" s="165"/>
      <c r="H64" s="133"/>
      <c r="I64" s="76">
        <f>I48-I56</f>
        <v>1244581.1883598291</v>
      </c>
      <c r="J64" s="133"/>
      <c r="K64" s="164"/>
    </row>
    <row r="65" spans="1:11" ht="13.5" thickBot="1">
      <c r="A65" s="98">
        <v>17</v>
      </c>
      <c r="B65" s="166" t="str">
        <f>+B57</f>
        <v xml:space="preserve">  Common</v>
      </c>
      <c r="C65" s="63" t="str">
        <f>"(Line "&amp;A49&amp;" - Line "&amp;A57&amp;")"</f>
        <v>(Line 5 - Line 11)</v>
      </c>
      <c r="D65" s="77">
        <f>D49-D57</f>
        <v>10498311.46153846</v>
      </c>
      <c r="E65" s="133"/>
      <c r="F65" s="133"/>
      <c r="G65" s="165"/>
      <c r="H65" s="133"/>
      <c r="I65" s="70">
        <f>I49-I57</f>
        <v>862661.43884933414</v>
      </c>
      <c r="J65" s="133"/>
      <c r="K65" s="164"/>
    </row>
    <row r="66" spans="1:11">
      <c r="A66" s="98">
        <v>18</v>
      </c>
      <c r="B66" s="129" t="s">
        <v>368</v>
      </c>
      <c r="C66" s="63" t="s">
        <v>367</v>
      </c>
      <c r="D66" s="76">
        <f>SUM(D61:D65)</f>
        <v>529034089.44061953</v>
      </c>
      <c r="E66" s="133"/>
      <c r="F66" s="133" t="s">
        <v>34</v>
      </c>
      <c r="G66" s="142">
        <f>IF(I66&gt;0,I66/D66,0)</f>
        <v>0.10488802403765762</v>
      </c>
      <c r="H66" s="133"/>
      <c r="I66" s="244">
        <f>SUM(I61:I65)</f>
        <v>55489340.289988011</v>
      </c>
      <c r="J66" s="133"/>
      <c r="K66" s="136"/>
    </row>
    <row r="67" spans="1:11" s="2" customFormat="1">
      <c r="A67" s="64"/>
      <c r="B67" s="65"/>
      <c r="C67" s="63"/>
      <c r="D67" s="66"/>
      <c r="E67" s="62"/>
      <c r="F67" s="62"/>
      <c r="G67" s="67"/>
      <c r="H67" s="62"/>
      <c r="I67" s="76"/>
      <c r="J67" s="63"/>
      <c r="K67" s="63"/>
    </row>
    <row r="68" spans="1:11" s="2" customFormat="1">
      <c r="A68" s="64" t="s">
        <v>369</v>
      </c>
      <c r="B68" s="68" t="s">
        <v>370</v>
      </c>
      <c r="C68" s="69" t="s">
        <v>1116</v>
      </c>
      <c r="D68" s="231">
        <f>'A4-Rate Base'!H23</f>
        <v>0</v>
      </c>
      <c r="E68" s="71"/>
      <c r="F68" s="91"/>
      <c r="G68" s="855"/>
      <c r="H68" s="71"/>
      <c r="I68" s="73">
        <f>+G68*D68</f>
        <v>0</v>
      </c>
      <c r="J68" s="63"/>
      <c r="K68" s="63"/>
    </row>
    <row r="69" spans="1:11" s="2" customFormat="1">
      <c r="A69" s="64"/>
      <c r="B69" s="74"/>
      <c r="C69" s="63"/>
      <c r="D69" s="66"/>
      <c r="E69" s="63"/>
      <c r="F69" s="74"/>
      <c r="G69" s="74"/>
      <c r="H69" s="63"/>
      <c r="I69" s="66"/>
      <c r="J69" s="63"/>
      <c r="K69" s="75"/>
    </row>
    <row r="70" spans="1:11">
      <c r="A70" s="98"/>
      <c r="B70" s="129" t="s">
        <v>746</v>
      </c>
      <c r="C70" s="133"/>
      <c r="D70" s="133"/>
      <c r="E70" s="136"/>
      <c r="F70" s="136"/>
      <c r="G70" s="136"/>
      <c r="H70" s="133"/>
      <c r="I70" s="133"/>
      <c r="J70" s="133"/>
      <c r="K70" s="136"/>
    </row>
    <row r="71" spans="1:11">
      <c r="A71" s="64">
        <f>+A66+1</f>
        <v>19</v>
      </c>
      <c r="B71" s="95" t="s">
        <v>1091</v>
      </c>
      <c r="C71" s="78" t="s">
        <v>668</v>
      </c>
      <c r="D71" s="231">
        <f>'A4-Rate Base'!E70</f>
        <v>0</v>
      </c>
      <c r="E71" s="78"/>
      <c r="F71" s="162" t="s">
        <v>37</v>
      </c>
      <c r="G71" s="79">
        <f>GP</f>
        <v>9.347704075468094E-2</v>
      </c>
      <c r="H71" s="80"/>
      <c r="I71" s="66">
        <f t="shared" ref="I71:I77" si="2">D71*G71</f>
        <v>0</v>
      </c>
      <c r="J71" s="133"/>
      <c r="K71" s="164"/>
    </row>
    <row r="72" spans="1:11">
      <c r="A72" s="64">
        <f t="shared" ref="A72:A75" si="3">+A71+1</f>
        <v>20</v>
      </c>
      <c r="B72" s="95" t="s">
        <v>1093</v>
      </c>
      <c r="C72" s="78" t="s">
        <v>669</v>
      </c>
      <c r="D72" s="231">
        <f>'A4-Rate Base'!F70</f>
        <v>-65113267.791651532</v>
      </c>
      <c r="E72" s="78"/>
      <c r="F72" s="162" t="s">
        <v>37</v>
      </c>
      <c r="G72" s="79">
        <f>GP</f>
        <v>9.347704075468094E-2</v>
      </c>
      <c r="H72" s="62"/>
      <c r="I72" s="66">
        <f t="shared" si="2"/>
        <v>-6086595.5870306641</v>
      </c>
      <c r="J72" s="133"/>
      <c r="K72" s="164"/>
    </row>
    <row r="73" spans="1:11">
      <c r="A73" s="64">
        <f t="shared" si="3"/>
        <v>21</v>
      </c>
      <c r="B73" s="95" t="s">
        <v>1092</v>
      </c>
      <c r="C73" s="78" t="s">
        <v>670</v>
      </c>
      <c r="D73" s="231">
        <f>'A4-Rate Base'!G70</f>
        <v>-4103895</v>
      </c>
      <c r="E73" s="78"/>
      <c r="F73" s="162" t="s">
        <v>37</v>
      </c>
      <c r="G73" s="79">
        <f>GP</f>
        <v>9.347704075468094E-2</v>
      </c>
      <c r="H73" s="62"/>
      <c r="I73" s="66">
        <f t="shared" si="2"/>
        <v>-383619.96016793133</v>
      </c>
      <c r="J73" s="133"/>
      <c r="K73" s="164"/>
    </row>
    <row r="74" spans="1:11">
      <c r="A74" s="64">
        <f t="shared" si="3"/>
        <v>22</v>
      </c>
      <c r="B74" s="65" t="s">
        <v>136</v>
      </c>
      <c r="C74" s="78" t="s">
        <v>671</v>
      </c>
      <c r="D74" s="231">
        <f>'A4-Rate Base'!H70</f>
        <v>14802703</v>
      </c>
      <c r="E74" s="78"/>
      <c r="F74" s="162" t="s">
        <v>37</v>
      </c>
      <c r="G74" s="79">
        <f>GP</f>
        <v>9.347704075468094E-2</v>
      </c>
      <c r="H74" s="62"/>
      <c r="I74" s="66">
        <f t="shared" si="2"/>
        <v>1383712.8716104378</v>
      </c>
      <c r="J74" s="133"/>
      <c r="K74" s="164"/>
    </row>
    <row r="75" spans="1:11">
      <c r="A75" s="64">
        <f t="shared" si="3"/>
        <v>23</v>
      </c>
      <c r="B75" s="74" t="s">
        <v>997</v>
      </c>
      <c r="C75" s="82" t="s">
        <v>1024</v>
      </c>
      <c r="D75" s="682">
        <v>0</v>
      </c>
      <c r="E75" s="63"/>
      <c r="F75" s="63"/>
      <c r="G75" s="81">
        <v>0</v>
      </c>
      <c r="H75" s="62"/>
      <c r="I75" s="73">
        <f t="shared" si="2"/>
        <v>0</v>
      </c>
      <c r="J75" s="133"/>
      <c r="K75" s="164"/>
    </row>
    <row r="76" spans="1:11">
      <c r="A76" s="64" t="s">
        <v>375</v>
      </c>
      <c r="B76" s="83" t="s">
        <v>371</v>
      </c>
      <c r="C76" s="69" t="s">
        <v>1026</v>
      </c>
      <c r="D76" s="231">
        <f>'A4-Rate Base'!C70</f>
        <v>0</v>
      </c>
      <c r="E76" s="72"/>
      <c r="F76" s="91"/>
      <c r="G76" s="855"/>
      <c r="H76" s="72"/>
      <c r="I76" s="73">
        <f t="shared" si="2"/>
        <v>0</v>
      </c>
      <c r="J76" s="133"/>
      <c r="K76" s="164"/>
    </row>
    <row r="77" spans="1:11">
      <c r="A77" s="64" t="s">
        <v>376</v>
      </c>
      <c r="B77" s="83" t="s">
        <v>372</v>
      </c>
      <c r="C77" s="69" t="s">
        <v>1027</v>
      </c>
      <c r="D77" s="231">
        <f>'A4-Rate Base'!D70</f>
        <v>0</v>
      </c>
      <c r="E77" s="71"/>
      <c r="F77" s="91"/>
      <c r="G77" s="855"/>
      <c r="H77" s="71"/>
      <c r="I77" s="73">
        <f t="shared" si="2"/>
        <v>0</v>
      </c>
      <c r="J77" s="133"/>
      <c r="K77" s="164"/>
    </row>
    <row r="78" spans="1:11">
      <c r="A78" s="64" t="s">
        <v>377</v>
      </c>
      <c r="B78" s="83" t="s">
        <v>919</v>
      </c>
      <c r="C78" s="69" t="s">
        <v>933</v>
      </c>
      <c r="D78" s="231">
        <f>'A4-Rate Base'!I82</f>
        <v>0</v>
      </c>
      <c r="E78" s="71"/>
      <c r="F78" s="71"/>
      <c r="G78" s="84"/>
      <c r="H78" s="71"/>
      <c r="I78" s="73">
        <f t="shared" ref="I78" si="4">D78</f>
        <v>0</v>
      </c>
      <c r="J78" s="133"/>
      <c r="K78" s="164"/>
    </row>
    <row r="79" spans="1:11">
      <c r="A79" s="64">
        <v>24</v>
      </c>
      <c r="B79" s="166" t="s">
        <v>137</v>
      </c>
      <c r="C79" s="816" t="s">
        <v>1025</v>
      </c>
      <c r="D79" s="231">
        <f>'A3-ADIT'!F24</f>
        <v>72660.62999999999</v>
      </c>
      <c r="E79" s="133"/>
      <c r="F79" s="162" t="s">
        <v>37</v>
      </c>
      <c r="G79" s="79">
        <f>GP</f>
        <v>9.347704075468094E-2</v>
      </c>
      <c r="H79" s="133"/>
      <c r="I79" s="73">
        <f t="shared" ref="I79" si="5">D79*G79</f>
        <v>6792.1006717707915</v>
      </c>
      <c r="J79" s="133"/>
      <c r="K79" s="164"/>
    </row>
    <row r="80" spans="1:11" ht="13.5" thickBot="1">
      <c r="A80" s="98">
        <v>25</v>
      </c>
      <c r="B80" s="816" t="s">
        <v>1201</v>
      </c>
      <c r="C80" s="816" t="s">
        <v>1088</v>
      </c>
      <c r="D80" s="858">
        <f>'A3-ADIT'!I34</f>
        <v>-3077499.8281905819</v>
      </c>
      <c r="E80" s="133"/>
      <c r="F80" s="136"/>
      <c r="G80" s="136"/>
      <c r="H80" s="133"/>
      <c r="I80" s="77">
        <f>D80</f>
        <v>-3077499.8281905819</v>
      </c>
      <c r="J80" s="133"/>
      <c r="K80" s="164"/>
    </row>
    <row r="81" spans="1:11">
      <c r="A81" s="98">
        <v>26</v>
      </c>
      <c r="B81" s="129" t="s">
        <v>380</v>
      </c>
      <c r="C81" s="63" t="s">
        <v>1070</v>
      </c>
      <c r="D81" s="76">
        <f>SUM(D71:D80)</f>
        <v>-57419298.989842109</v>
      </c>
      <c r="E81" s="133"/>
      <c r="F81" s="133"/>
      <c r="G81" s="133"/>
      <c r="H81" s="133"/>
      <c r="I81" s="76">
        <f>SUM(I71:I80)</f>
        <v>-8157210.4031069688</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0.93588134221765762</v>
      </c>
      <c r="H83" s="133"/>
      <c r="I83" s="76">
        <f>+G83*D83</f>
        <v>297610.26682521513</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929</v>
      </c>
      <c r="C86" s="74" t="s">
        <v>625</v>
      </c>
      <c r="D86" s="76">
        <f>+D116/8</f>
        <v>1881494.2812500012</v>
      </c>
      <c r="E86" s="133"/>
      <c r="F86" s="133"/>
      <c r="G86" s="165"/>
      <c r="H86" s="133"/>
      <c r="I86" s="76">
        <f>+I116/8</f>
        <v>262998.39942440391</v>
      </c>
      <c r="J86" s="89"/>
      <c r="K86" s="164"/>
    </row>
    <row r="87" spans="1:11">
      <c r="A87" s="98">
        <v>29</v>
      </c>
      <c r="B87" s="129" t="s">
        <v>143</v>
      </c>
      <c r="C87" s="86" t="s">
        <v>981</v>
      </c>
      <c r="D87" s="231">
        <f>'A4-Rate Base'!F107</f>
        <v>59617.051012617972</v>
      </c>
      <c r="E87" s="133"/>
      <c r="F87" s="133" t="s">
        <v>36</v>
      </c>
      <c r="G87" s="161">
        <f>$I$183</f>
        <v>0.9226428984668763</v>
      </c>
      <c r="H87" s="133"/>
      <c r="I87" s="76">
        <f>+G87*D87</f>
        <v>55005.248744329467</v>
      </c>
      <c r="J87" s="133" t="s">
        <v>2</v>
      </c>
      <c r="K87" s="164"/>
    </row>
    <row r="88" spans="1:11" ht="13.5" thickBot="1">
      <c r="A88" s="98">
        <v>30</v>
      </c>
      <c r="B88" s="129" t="s">
        <v>138</v>
      </c>
      <c r="C88" s="80" t="s">
        <v>1089</v>
      </c>
      <c r="D88" s="231">
        <f>'A8-Prepmts'!H33</f>
        <v>104613.4372589032</v>
      </c>
      <c r="E88" s="133"/>
      <c r="F88" s="133"/>
      <c r="G88" s="161"/>
      <c r="H88" s="133"/>
      <c r="I88" s="77">
        <f>D88</f>
        <v>104613.4372589032</v>
      </c>
      <c r="J88" s="133"/>
      <c r="K88" s="164"/>
    </row>
    <row r="89" spans="1:11">
      <c r="A89" s="98">
        <v>31</v>
      </c>
      <c r="B89" s="129" t="s">
        <v>378</v>
      </c>
      <c r="C89" s="63" t="s">
        <v>379</v>
      </c>
      <c r="D89" s="244">
        <f>D86+D87+D88</f>
        <v>2045724.7695215223</v>
      </c>
      <c r="E89" s="89"/>
      <c r="F89" s="89"/>
      <c r="G89" s="89"/>
      <c r="H89" s="89"/>
      <c r="I89" s="76">
        <f>I86+I87+I88</f>
        <v>422617.08542763651</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473978515.22029895</v>
      </c>
      <c r="E91" s="133"/>
      <c r="F91" s="133"/>
      <c r="G91" s="165"/>
      <c r="H91" s="133"/>
      <c r="I91" s="87">
        <f>+I89+I83+I81+I66</f>
        <v>48052357.239133894</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59" t="str">
        <f>I1</f>
        <v>Actual Attachment H</v>
      </c>
      <c r="J93" s="959"/>
      <c r="K93" s="959"/>
    </row>
    <row r="94" spans="1:11">
      <c r="B94" s="129"/>
      <c r="C94" s="129"/>
      <c r="D94" s="130"/>
      <c r="E94" s="129"/>
      <c r="F94" s="129"/>
      <c r="G94" s="129"/>
      <c r="H94" s="89"/>
      <c r="I94" s="89"/>
      <c r="J94" s="958" t="s">
        <v>243</v>
      </c>
      <c r="K94" s="958"/>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12/31/2021</v>
      </c>
    </row>
    <row r="97" spans="1:11">
      <c r="B97" s="129"/>
      <c r="C97" s="133"/>
      <c r="D97" s="134" t="s">
        <v>3</v>
      </c>
      <c r="E97" s="133"/>
      <c r="F97" s="133"/>
      <c r="G97" s="133"/>
      <c r="H97" s="89"/>
      <c r="I97" s="89"/>
      <c r="J97" s="89"/>
      <c r="K97" s="88"/>
    </row>
    <row r="98" spans="1:11">
      <c r="B98" s="129"/>
      <c r="C98" s="133"/>
      <c r="D98" s="133"/>
      <c r="E98" s="133"/>
      <c r="F98" s="133"/>
      <c r="G98" s="133"/>
      <c r="H98" s="89"/>
      <c r="I98" s="89"/>
      <c r="J98" s="89"/>
      <c r="K98" s="88"/>
    </row>
    <row r="99" spans="1:11">
      <c r="A99" s="98"/>
      <c r="D99" s="151" t="str">
        <f>C7</f>
        <v>Cheyenne Light, Fuel &amp; Power</v>
      </c>
      <c r="J99" s="133"/>
      <c r="K99" s="136"/>
    </row>
    <row r="100" spans="1:11">
      <c r="A100" s="98"/>
      <c r="D100" s="170"/>
      <c r="J100" s="133"/>
      <c r="K100" s="136"/>
    </row>
    <row r="101" spans="1:11">
      <c r="A101" s="98"/>
      <c r="B101" s="98" t="s">
        <v>15</v>
      </c>
      <c r="C101" s="98" t="s">
        <v>16</v>
      </c>
      <c r="D101" s="98" t="s">
        <v>17</v>
      </c>
      <c r="E101" s="133" t="s">
        <v>2</v>
      </c>
      <c r="F101" s="133"/>
      <c r="G101" s="152" t="s">
        <v>18</v>
      </c>
      <c r="H101" s="133"/>
      <c r="I101" s="153" t="s">
        <v>19</v>
      </c>
      <c r="J101" s="133"/>
      <c r="K101" s="136"/>
    </row>
    <row r="102" spans="1:11">
      <c r="A102" s="98" t="s">
        <v>4</v>
      </c>
      <c r="B102" s="129"/>
      <c r="C102" s="155" t="s">
        <v>20</v>
      </c>
      <c r="D102" s="133"/>
      <c r="E102" s="133"/>
      <c r="F102" s="133"/>
      <c r="G102" s="98"/>
      <c r="H102" s="133"/>
      <c r="I102" s="156" t="s">
        <v>21</v>
      </c>
      <c r="J102" s="133"/>
      <c r="K102" s="171"/>
    </row>
    <row r="103" spans="1:11" ht="13.5" thickBot="1">
      <c r="A103" s="138" t="s">
        <v>6</v>
      </c>
      <c r="B103" s="129"/>
      <c r="C103" s="157" t="s">
        <v>22</v>
      </c>
      <c r="D103" s="156" t="s">
        <v>23</v>
      </c>
      <c r="E103" s="158"/>
      <c r="F103" s="156" t="s">
        <v>24</v>
      </c>
      <c r="H103" s="158"/>
      <c r="I103" s="98" t="s">
        <v>25</v>
      </c>
      <c r="J103" s="133"/>
      <c r="K103" s="171"/>
    </row>
    <row r="104" spans="1:11">
      <c r="A104" s="98"/>
      <c r="B104" s="129" t="s">
        <v>146</v>
      </c>
      <c r="C104" s="133"/>
      <c r="D104" s="133"/>
      <c r="E104" s="133"/>
      <c r="F104" s="133"/>
      <c r="G104" s="133"/>
      <c r="H104" s="133"/>
      <c r="I104" s="133"/>
      <c r="J104" s="133"/>
      <c r="K104" s="136"/>
    </row>
    <row r="105" spans="1:11">
      <c r="A105" s="98">
        <v>1</v>
      </c>
      <c r="B105" s="129" t="s">
        <v>38</v>
      </c>
      <c r="C105" s="133" t="s">
        <v>113</v>
      </c>
      <c r="D105" s="91">
        <v>23306437.950000018</v>
      </c>
      <c r="E105" s="133"/>
      <c r="F105" s="133" t="s">
        <v>36</v>
      </c>
      <c r="G105" s="161">
        <f>$I$183</f>
        <v>0.9226428984668763</v>
      </c>
      <c r="H105" s="133"/>
      <c r="I105" s="76">
        <f>+G105*D105</f>
        <v>21503519.463126421</v>
      </c>
      <c r="J105" s="89"/>
      <c r="K105" s="136"/>
    </row>
    <row r="106" spans="1:11">
      <c r="A106" s="98">
        <v>2</v>
      </c>
      <c r="B106" s="129" t="s">
        <v>785</v>
      </c>
      <c r="C106" s="136" t="s">
        <v>786</v>
      </c>
      <c r="D106" s="91">
        <v>329679.57999999996</v>
      </c>
      <c r="E106" s="133"/>
      <c r="F106" s="133" t="s">
        <v>36</v>
      </c>
      <c r="G106" s="161">
        <f>$I$183</f>
        <v>0.9226428984668763</v>
      </c>
      <c r="H106" s="133"/>
      <c r="I106" s="66">
        <f t="shared" ref="I106:I115" si="6">+G106*D106</f>
        <v>304176.52325654239</v>
      </c>
      <c r="J106" s="89"/>
      <c r="K106" s="136"/>
    </row>
    <row r="107" spans="1:11">
      <c r="A107" s="98" t="s">
        <v>145</v>
      </c>
      <c r="B107" s="129" t="s">
        <v>39</v>
      </c>
      <c r="C107" s="133" t="s">
        <v>114</v>
      </c>
      <c r="D107" s="91">
        <v>21970546.000000015</v>
      </c>
      <c r="E107" s="133"/>
      <c r="F107" s="133" t="s">
        <v>36</v>
      </c>
      <c r="G107" s="161">
        <f>$I$183</f>
        <v>0.9226428984668763</v>
      </c>
      <c r="H107" s="133"/>
      <c r="I107" s="66">
        <f t="shared" ref="I107" si="7">+G107*D107</f>
        <v>20270968.242339849</v>
      </c>
      <c r="J107" s="89"/>
      <c r="K107" s="136"/>
    </row>
    <row r="108" spans="1:11">
      <c r="A108" s="98">
        <v>3</v>
      </c>
      <c r="B108" s="129" t="s">
        <v>40</v>
      </c>
      <c r="C108" s="133" t="s">
        <v>115</v>
      </c>
      <c r="D108" s="91">
        <v>14884855.340000005</v>
      </c>
      <c r="E108" s="133"/>
      <c r="F108" s="133" t="s">
        <v>31</v>
      </c>
      <c r="G108" s="161">
        <f>$I$191</f>
        <v>8.3698853923777461E-2</v>
      </c>
      <c r="H108" s="133"/>
      <c r="I108" s="76">
        <f t="shared" si="6"/>
        <v>1245845.3327792194</v>
      </c>
      <c r="J108" s="133"/>
      <c r="K108" s="136" t="s">
        <v>2</v>
      </c>
    </row>
    <row r="109" spans="1:11">
      <c r="A109" s="98">
        <v>4</v>
      </c>
      <c r="B109" s="925" t="s">
        <v>1217</v>
      </c>
      <c r="C109" s="136"/>
      <c r="D109" s="136"/>
      <c r="E109" s="136"/>
      <c r="F109" s="174"/>
      <c r="G109" s="173"/>
      <c r="H109" s="136"/>
      <c r="I109" s="76"/>
      <c r="J109" s="133"/>
      <c r="K109" s="136"/>
    </row>
    <row r="110" spans="1:11">
      <c r="A110" s="98">
        <v>5</v>
      </c>
      <c r="B110" s="99" t="s">
        <v>465</v>
      </c>
      <c r="C110" s="136" t="s">
        <v>651</v>
      </c>
      <c r="D110" s="231">
        <f>'A2-A&amp;G'!D14</f>
        <v>865054.40999999992</v>
      </c>
      <c r="E110" s="133"/>
      <c r="F110" s="143" t="str">
        <f>F108</f>
        <v>W/S</v>
      </c>
      <c r="G110" s="161">
        <f>$I$191</f>
        <v>8.3698853923777461E-2</v>
      </c>
      <c r="H110" s="133"/>
      <c r="I110" s="66">
        <f t="shared" si="6"/>
        <v>72404.062698709487</v>
      </c>
      <c r="J110" s="133"/>
      <c r="K110" s="136"/>
    </row>
    <row r="111" spans="1:11">
      <c r="A111" s="98" t="s">
        <v>102</v>
      </c>
      <c r="B111" s="925" t="s">
        <v>642</v>
      </c>
      <c r="C111" s="136" t="s">
        <v>915</v>
      </c>
      <c r="D111" s="231">
        <f>'A2-A&amp;G'!D23</f>
        <v>0</v>
      </c>
      <c r="E111" s="133"/>
      <c r="F111" s="172" t="str">
        <f>+F105</f>
        <v>TE</v>
      </c>
      <c r="G111" s="161">
        <f>$I$183</f>
        <v>0.9226428984668763</v>
      </c>
      <c r="H111" s="133"/>
      <c r="I111" s="66">
        <f>+G111*D111</f>
        <v>0</v>
      </c>
      <c r="J111" s="133"/>
      <c r="K111" s="136"/>
    </row>
    <row r="112" spans="1:11">
      <c r="A112" s="98" t="s">
        <v>149</v>
      </c>
      <c r="B112" s="99" t="s">
        <v>930</v>
      </c>
      <c r="C112" s="136" t="s">
        <v>265</v>
      </c>
      <c r="D112" s="923">
        <v>607325</v>
      </c>
      <c r="E112" s="133"/>
      <c r="F112" s="143" t="s">
        <v>31</v>
      </c>
      <c r="G112" s="161">
        <f>$I$191</f>
        <v>8.3698853923777461E-2</v>
      </c>
      <c r="H112" s="133"/>
      <c r="I112" s="73">
        <f t="shared" ref="I112:I113" si="8">+G112*D112</f>
        <v>50832.406459258149</v>
      </c>
      <c r="J112" s="133"/>
      <c r="K112" s="136"/>
    </row>
    <row r="113" spans="1:15">
      <c r="A113" s="98" t="s">
        <v>150</v>
      </c>
      <c r="B113" s="99" t="s">
        <v>931</v>
      </c>
      <c r="C113" s="136" t="s">
        <v>676</v>
      </c>
      <c r="D113" s="231">
        <f>'A2-A&amp;G'!D31</f>
        <v>581384.05000000005</v>
      </c>
      <c r="E113" s="133"/>
      <c r="F113" s="143" t="str">
        <f>+F112</f>
        <v>W/S</v>
      </c>
      <c r="G113" s="161">
        <f>$I$191</f>
        <v>8.3698853923777461E-2</v>
      </c>
      <c r="H113" s="133"/>
      <c r="I113" s="73">
        <f t="shared" si="8"/>
        <v>48661.178674564137</v>
      </c>
      <c r="J113" s="133"/>
      <c r="K113" s="136"/>
    </row>
    <row r="114" spans="1:15">
      <c r="A114" s="98">
        <v>6</v>
      </c>
      <c r="B114" s="129" t="s">
        <v>32</v>
      </c>
      <c r="C114" s="742" t="s">
        <v>916</v>
      </c>
      <c r="D114" s="91">
        <v>0</v>
      </c>
      <c r="E114" s="133"/>
      <c r="F114" s="133" t="s">
        <v>67</v>
      </c>
      <c r="G114" s="161">
        <f>$K$195</f>
        <v>8.217144652354566E-2</v>
      </c>
      <c r="H114" s="133"/>
      <c r="I114" s="76">
        <f t="shared" si="6"/>
        <v>0</v>
      </c>
      <c r="J114" s="133"/>
      <c r="K114" s="136"/>
    </row>
    <row r="115" spans="1:15" ht="13.5" thickBot="1">
      <c r="A115" s="98">
        <v>7</v>
      </c>
      <c r="B115" s="129" t="s">
        <v>41</v>
      </c>
      <c r="C115" s="133" t="s">
        <v>654</v>
      </c>
      <c r="D115" s="91">
        <v>0</v>
      </c>
      <c r="E115" s="133"/>
      <c r="F115" s="133" t="s">
        <v>373</v>
      </c>
      <c r="G115" s="160">
        <v>1</v>
      </c>
      <c r="H115" s="133"/>
      <c r="I115" s="77">
        <f t="shared" si="6"/>
        <v>0</v>
      </c>
      <c r="J115" s="133"/>
      <c r="K115" s="136"/>
    </row>
    <row r="116" spans="1:15">
      <c r="A116" s="154">
        <v>8</v>
      </c>
      <c r="B116" s="925" t="s">
        <v>1218</v>
      </c>
      <c r="C116" s="136"/>
      <c r="D116" s="90">
        <f>+D105-D106-D107+D108-D110+D114+D115+D111+D112-D113</f>
        <v>15051954.250000009</v>
      </c>
      <c r="E116" s="136"/>
      <c r="F116" s="136"/>
      <c r="G116" s="136"/>
      <c r="H116" s="136"/>
      <c r="I116" s="90">
        <f>+I105-I106-I107+I108-I110+I114+I115+I111+I112-I113</f>
        <v>2103987.1953952312</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1368713</v>
      </c>
      <c r="E119" s="133"/>
      <c r="F119" s="133" t="s">
        <v>11</v>
      </c>
      <c r="G119" s="142">
        <f>$I$174</f>
        <v>0.93588134221765762</v>
      </c>
      <c r="H119" s="133"/>
      <c r="I119" s="76">
        <f>+G119*D119</f>
        <v>1280952.9595507567</v>
      </c>
      <c r="J119" s="133"/>
      <c r="K119" s="164"/>
    </row>
    <row r="120" spans="1:15">
      <c r="A120" s="98">
        <v>10</v>
      </c>
      <c r="B120" s="129" t="s">
        <v>127</v>
      </c>
      <c r="C120" s="133" t="s">
        <v>129</v>
      </c>
      <c r="D120" s="91">
        <v>222270</v>
      </c>
      <c r="E120" s="133"/>
      <c r="F120" s="133" t="s">
        <v>31</v>
      </c>
      <c r="G120" s="161">
        <f>$I$191</f>
        <v>8.3698853923777461E-2</v>
      </c>
      <c r="H120" s="133"/>
      <c r="I120" s="76">
        <f>+G120*D120</f>
        <v>18603.744261638018</v>
      </c>
      <c r="J120" s="133"/>
      <c r="K120" s="164"/>
    </row>
    <row r="121" spans="1:15">
      <c r="A121" s="98">
        <v>11</v>
      </c>
      <c r="B121" s="166" t="str">
        <f>+B114</f>
        <v xml:space="preserve">  Common</v>
      </c>
      <c r="C121" s="133" t="s">
        <v>387</v>
      </c>
      <c r="D121" s="91">
        <f>0</f>
        <v>0</v>
      </c>
      <c r="E121" s="133"/>
      <c r="F121" s="133" t="s">
        <v>67</v>
      </c>
      <c r="G121" s="161">
        <f>$K$195</f>
        <v>8.217144652354566E-2</v>
      </c>
      <c r="H121" s="133"/>
      <c r="I121" s="76">
        <f>+G121*D121</f>
        <v>0</v>
      </c>
      <c r="J121" s="133"/>
      <c r="K121" s="164"/>
    </row>
    <row r="122" spans="1:15" s="2" customFormat="1" ht="13.5" thickBot="1">
      <c r="A122" s="92" t="s">
        <v>383</v>
      </c>
      <c r="B122" s="93" t="s">
        <v>389</v>
      </c>
      <c r="C122" s="94" t="s">
        <v>481</v>
      </c>
      <c r="D122" s="91">
        <v>0</v>
      </c>
      <c r="E122" s="66"/>
      <c r="F122" s="91"/>
      <c r="G122" s="855"/>
      <c r="H122" s="66"/>
      <c r="I122" s="85">
        <f>+G122*D122</f>
        <v>0</v>
      </c>
      <c r="J122" s="63"/>
      <c r="K122" s="75"/>
      <c r="L122" s="128"/>
    </row>
    <row r="123" spans="1:15">
      <c r="A123" s="98">
        <v>12</v>
      </c>
      <c r="B123" s="129" t="s">
        <v>390</v>
      </c>
      <c r="C123" s="78" t="s">
        <v>391</v>
      </c>
      <c r="D123" s="90">
        <f>SUM(D119:D122)</f>
        <v>1590983</v>
      </c>
      <c r="E123" s="133"/>
      <c r="F123" s="133"/>
      <c r="G123" s="133"/>
      <c r="H123" s="133"/>
      <c r="I123" s="76">
        <f>SUM(I119:I122)</f>
        <v>1299556.7038123948</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986515.45999999926</v>
      </c>
      <c r="E127" s="133"/>
      <c r="F127" s="133" t="s">
        <v>31</v>
      </c>
      <c r="G127" s="161">
        <f>$I$191</f>
        <v>8.3698853923777461E-2</v>
      </c>
      <c r="H127" s="133"/>
      <c r="I127" s="76">
        <f>+G127*D127</f>
        <v>82570.213380088069</v>
      </c>
      <c r="J127" s="133"/>
      <c r="K127" s="164"/>
    </row>
    <row r="128" spans="1:15">
      <c r="A128" s="98">
        <v>14</v>
      </c>
      <c r="B128" s="129" t="s">
        <v>44</v>
      </c>
      <c r="C128" s="143" t="str">
        <f>+C127</f>
        <v>263.i</v>
      </c>
      <c r="D128" s="91">
        <v>0</v>
      </c>
      <c r="E128" s="133"/>
      <c r="F128" s="143" t="str">
        <f>+F127</f>
        <v>W/S</v>
      </c>
      <c r="G128" s="161">
        <f>$I$191</f>
        <v>8.3698853923777461E-2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2470116</v>
      </c>
      <c r="E130" s="133"/>
      <c r="F130" s="133" t="s">
        <v>37</v>
      </c>
      <c r="G130" s="161">
        <f>+$G$50</f>
        <v>9.347704075468094E-2</v>
      </c>
      <c r="H130" s="133"/>
      <c r="I130" s="76">
        <f>+G130*D130</f>
        <v>230899.13400078946</v>
      </c>
      <c r="J130" s="133"/>
      <c r="K130" s="164"/>
    </row>
    <row r="131" spans="1:12">
      <c r="A131" s="98">
        <v>17</v>
      </c>
      <c r="B131" s="888" t="s">
        <v>47</v>
      </c>
      <c r="C131" s="136" t="s">
        <v>106</v>
      </c>
      <c r="D131" s="91">
        <f>8312+1764795</f>
        <v>1773107</v>
      </c>
      <c r="E131" s="133"/>
      <c r="F131" s="174" t="s">
        <v>27</v>
      </c>
      <c r="G131" s="175">
        <v>0</v>
      </c>
      <c r="H131" s="133"/>
      <c r="I131" s="76">
        <v>0</v>
      </c>
      <c r="J131" s="133"/>
      <c r="K131" s="164"/>
    </row>
    <row r="132" spans="1:12">
      <c r="A132" s="98">
        <v>18</v>
      </c>
      <c r="B132" s="888" t="s">
        <v>1119</v>
      </c>
      <c r="C132" s="174" t="str">
        <f>+C131</f>
        <v>263.i</v>
      </c>
      <c r="D132" s="91">
        <v>0</v>
      </c>
      <c r="E132" s="133"/>
      <c r="F132" s="91"/>
      <c r="G132" s="855"/>
      <c r="H132" s="133"/>
      <c r="I132" s="76">
        <f>+G132*D132</f>
        <v>0</v>
      </c>
      <c r="J132" s="133"/>
      <c r="K132" s="164"/>
    </row>
    <row r="133" spans="1:12" ht="13.5" thickBot="1">
      <c r="A133" s="98">
        <v>19</v>
      </c>
      <c r="B133" s="888" t="s">
        <v>1130</v>
      </c>
      <c r="C133" s="136"/>
      <c r="D133" s="232"/>
      <c r="E133" s="136"/>
      <c r="F133" s="136"/>
      <c r="G133" s="173"/>
      <c r="H133" s="136"/>
      <c r="I133" s="76"/>
      <c r="J133" s="133"/>
      <c r="K133" s="164"/>
    </row>
    <row r="134" spans="1:12">
      <c r="A134" s="98">
        <v>20</v>
      </c>
      <c r="B134" s="129" t="s">
        <v>393</v>
      </c>
      <c r="C134" s="78" t="s">
        <v>392</v>
      </c>
      <c r="D134" s="90">
        <f>SUM(D127:D133)</f>
        <v>5229738.459999999</v>
      </c>
      <c r="E134" s="133"/>
      <c r="F134" s="133"/>
      <c r="G134" s="146"/>
      <c r="H134" s="133"/>
      <c r="I134" s="90">
        <f>SUM(I127:I133)</f>
        <v>313469.34738087753</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0.16854861318043252</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4">
        <f>IF(D137&gt;0,1/(1-D137),0)</f>
        <v>1.2658227848101264</v>
      </c>
      <c r="E141" s="133"/>
      <c r="G141" s="176"/>
      <c r="H141" s="133"/>
      <c r="J141" s="133"/>
    </row>
    <row r="142" spans="1:12">
      <c r="A142" s="98">
        <v>24</v>
      </c>
      <c r="B142" s="129" t="s">
        <v>944</v>
      </c>
      <c r="C142" s="133" t="s">
        <v>386</v>
      </c>
      <c r="D142" s="91">
        <v>5246</v>
      </c>
      <c r="E142" s="133"/>
      <c r="G142" s="176"/>
      <c r="H142" s="133"/>
      <c r="J142" s="133"/>
    </row>
    <row r="143" spans="1:12" ht="15.5">
      <c r="A143" s="98" t="s">
        <v>384</v>
      </c>
      <c r="B143" s="95" t="s">
        <v>1199</v>
      </c>
      <c r="C143" s="816" t="s">
        <v>1138</v>
      </c>
      <c r="D143" s="231">
        <f>'A4-Rate Base'!G113</f>
        <v>110069.72413999999</v>
      </c>
      <c r="E143" s="133"/>
      <c r="G143" s="176"/>
      <c r="H143" s="133"/>
      <c r="J143" s="133"/>
      <c r="L143"/>
    </row>
    <row r="144" spans="1:12" ht="15.5">
      <c r="A144" s="98" t="s">
        <v>831</v>
      </c>
      <c r="B144" s="95" t="s">
        <v>1200</v>
      </c>
      <c r="C144" s="78" t="s">
        <v>1170</v>
      </c>
      <c r="D144" s="231">
        <f>'A9-PermDiffs'!G17</f>
        <v>-601.98894105306272</v>
      </c>
      <c r="E144" s="133"/>
      <c r="G144" s="176"/>
      <c r="H144" s="133"/>
      <c r="J144" s="133"/>
      <c r="L144"/>
    </row>
    <row r="145" spans="1:12" ht="15.5">
      <c r="A145" s="98" t="s">
        <v>385</v>
      </c>
      <c r="B145" s="95" t="s">
        <v>382</v>
      </c>
      <c r="C145" s="78" t="s">
        <v>949</v>
      </c>
      <c r="D145" s="76">
        <f>D144*D137</f>
        <v>-126.41767762114316</v>
      </c>
      <c r="E145" s="133"/>
      <c r="G145" s="176"/>
      <c r="H145" s="133"/>
      <c r="J145" s="133"/>
      <c r="L145"/>
    </row>
    <row r="146" spans="1:12" ht="15.5">
      <c r="A146" s="98">
        <v>25</v>
      </c>
      <c r="B146" s="177" t="s">
        <v>396</v>
      </c>
      <c r="C146" s="179" t="s">
        <v>394</v>
      </c>
      <c r="D146" s="76">
        <f>D138*D153</f>
        <v>7002917.2927094353</v>
      </c>
      <c r="E146" s="133"/>
      <c r="F146" s="133"/>
      <c r="G146" s="146"/>
      <c r="H146" s="133"/>
      <c r="I146" s="76">
        <f>D138*I153</f>
        <v>709961.89206799446</v>
      </c>
      <c r="J146" s="133"/>
      <c r="K146" s="180" t="s">
        <v>2</v>
      </c>
      <c r="L146"/>
    </row>
    <row r="147" spans="1:12" ht="15.5">
      <c r="A147" s="98">
        <v>26</v>
      </c>
      <c r="B147" s="128" t="s">
        <v>397</v>
      </c>
      <c r="C147" s="179" t="s">
        <v>395</v>
      </c>
      <c r="D147" s="76">
        <f>D141*D142</f>
        <v>6640.5063291139231</v>
      </c>
      <c r="E147" s="133"/>
      <c r="F147" s="162" t="s">
        <v>37</v>
      </c>
      <c r="G147" s="79">
        <f>GP</f>
        <v>9.347704075468094E-2</v>
      </c>
      <c r="H147" s="133"/>
      <c r="I147" s="76">
        <f>G147*D147</f>
        <v>620.73488075829891</v>
      </c>
      <c r="J147" s="133"/>
      <c r="K147" s="180"/>
      <c r="L147"/>
    </row>
    <row r="148" spans="1:12" ht="15.5">
      <c r="A148" s="98" t="s">
        <v>398</v>
      </c>
      <c r="B148" s="82" t="s">
        <v>400</v>
      </c>
      <c r="C148" s="96" t="s">
        <v>402</v>
      </c>
      <c r="D148" s="76">
        <f>D141*D143</f>
        <v>139328.76473417718</v>
      </c>
      <c r="E148" s="133"/>
      <c r="G148" s="81"/>
      <c r="H148" s="133"/>
      <c r="I148" s="76">
        <f>D148</f>
        <v>139328.76473417718</v>
      </c>
      <c r="J148" s="133"/>
      <c r="K148" s="180"/>
      <c r="L148"/>
    </row>
    <row r="149" spans="1:12" ht="16" thickBot="1">
      <c r="A149" s="98" t="s">
        <v>399</v>
      </c>
      <c r="B149" s="82" t="s">
        <v>401</v>
      </c>
      <c r="C149" s="96" t="s">
        <v>403</v>
      </c>
      <c r="D149" s="76">
        <f>D141*D145</f>
        <v>-160.02237673562422</v>
      </c>
      <c r="E149" s="133"/>
      <c r="G149" s="81"/>
      <c r="H149" s="133"/>
      <c r="I149" s="76">
        <f>D149</f>
        <v>-160.02237673562422</v>
      </c>
      <c r="J149" s="133"/>
      <c r="K149" s="180"/>
      <c r="L149"/>
    </row>
    <row r="150" spans="1:12" ht="15.5">
      <c r="A150" s="98">
        <v>27</v>
      </c>
      <c r="B150" s="177" t="s">
        <v>92</v>
      </c>
      <c r="C150" s="82" t="s">
        <v>945</v>
      </c>
      <c r="D150" s="90">
        <f>D146+D149-D147-D148</f>
        <v>6856787.9992694091</v>
      </c>
      <c r="E150" s="133"/>
      <c r="F150" s="133" t="s">
        <v>2</v>
      </c>
      <c r="G150" s="146" t="s">
        <v>2</v>
      </c>
      <c r="H150" s="133"/>
      <c r="I150" s="90">
        <f>I146+I149-I147-I148</f>
        <v>569852.37007632339</v>
      </c>
      <c r="J150" s="133"/>
      <c r="K150" s="136"/>
      <c r="L150"/>
    </row>
    <row r="151" spans="1:12" ht="15.5">
      <c r="A151" s="98" t="s">
        <v>2</v>
      </c>
      <c r="C151" s="181"/>
      <c r="D151" s="133"/>
      <c r="E151" s="133"/>
      <c r="F151" s="133"/>
      <c r="G151" s="146"/>
      <c r="H151" s="133"/>
      <c r="I151" s="133"/>
      <c r="J151" s="133"/>
      <c r="K151" s="136"/>
      <c r="L151"/>
    </row>
    <row r="152" spans="1:12" ht="15.5">
      <c r="B152" s="129" t="s">
        <v>50</v>
      </c>
      <c r="C152" s="165"/>
      <c r="J152" s="133"/>
      <c r="L152"/>
    </row>
    <row r="153" spans="1:12">
      <c r="A153" s="98">
        <v>28</v>
      </c>
      <c r="B153" s="177" t="s">
        <v>701</v>
      </c>
      <c r="C153" s="941" t="s">
        <v>1084</v>
      </c>
      <c r="D153" s="231">
        <f>+$I215*D91+I218</f>
        <v>41548353.086790226</v>
      </c>
      <c r="E153" s="133"/>
      <c r="F153" s="133"/>
      <c r="G153" s="176"/>
      <c r="H153" s="133"/>
      <c r="I153" s="76">
        <f>+$I215*I91+I218</f>
        <v>4212208.4464021968</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70277816.796059638</v>
      </c>
      <c r="E155" s="136"/>
      <c r="F155" s="136"/>
      <c r="G155" s="136"/>
      <c r="H155" s="136"/>
      <c r="I155" s="97">
        <f>+I116+I123+I134+I150+I153</f>
        <v>8499074.0630670227</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58"/>
      <c r="G157" s="958"/>
      <c r="H157" s="958"/>
      <c r="I157" s="958"/>
      <c r="J157" s="958"/>
      <c r="K157" s="958"/>
    </row>
    <row r="158" spans="1:12">
      <c r="B158" s="129"/>
      <c r="C158" s="129"/>
      <c r="D158" s="130"/>
      <c r="E158" s="129"/>
      <c r="F158" s="129"/>
      <c r="G158" s="129"/>
      <c r="H158" s="89"/>
      <c r="I158" s="959" t="str">
        <f>I1</f>
        <v>Actual Attachment H</v>
      </c>
      <c r="J158" s="959"/>
      <c r="K158" s="959"/>
    </row>
    <row r="159" spans="1:12">
      <c r="B159" s="129"/>
      <c r="C159" s="129"/>
      <c r="D159" s="130"/>
      <c r="E159" s="129"/>
      <c r="F159" s="129"/>
      <c r="G159" s="129"/>
      <c r="H159" s="89"/>
      <c r="I159" s="89"/>
      <c r="J159" s="958" t="s">
        <v>244</v>
      </c>
      <c r="K159" s="958"/>
    </row>
    <row r="160" spans="1:12">
      <c r="B160" s="129"/>
      <c r="C160" s="129"/>
      <c r="D160" s="130"/>
      <c r="E160" s="129"/>
      <c r="F160" s="129"/>
      <c r="G160" s="129"/>
      <c r="H160" s="89"/>
      <c r="I160" s="89"/>
      <c r="J160" s="131"/>
      <c r="K160" s="131"/>
    </row>
    <row r="161" spans="1:20">
      <c r="B161" s="130" t="s">
        <v>0</v>
      </c>
      <c r="C161" s="129"/>
      <c r="D161" s="98" t="s">
        <v>1</v>
      </c>
      <c r="E161" s="129"/>
      <c r="F161" s="129"/>
      <c r="G161" s="961" t="str">
        <f>K4</f>
        <v>Actuals - For the 12 months ended 12/31/2021</v>
      </c>
      <c r="H161" s="961"/>
      <c r="I161" s="961"/>
      <c r="J161" s="961"/>
      <c r="K161" s="961"/>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64937297.950769231</v>
      </c>
      <c r="J169" s="136"/>
      <c r="K169" s="136"/>
    </row>
    <row r="170" spans="1:20">
      <c r="A170" s="98">
        <v>2</v>
      </c>
      <c r="B170" s="88" t="s">
        <v>408</v>
      </c>
      <c r="C170" s="162" t="s">
        <v>467</v>
      </c>
      <c r="D170" s="184"/>
      <c r="E170" s="162"/>
      <c r="F170" s="162"/>
      <c r="G170" s="162"/>
      <c r="H170" s="162"/>
      <c r="I170" s="943">
        <v>0</v>
      </c>
      <c r="J170" s="136"/>
      <c r="K170" s="136"/>
    </row>
    <row r="171" spans="1:20" ht="13.5" thickBot="1">
      <c r="A171" s="98">
        <v>3</v>
      </c>
      <c r="B171" s="185" t="s">
        <v>409</v>
      </c>
      <c r="C171" s="185" t="s">
        <v>361</v>
      </c>
      <c r="D171" s="186"/>
      <c r="E171" s="136"/>
      <c r="F171" s="136"/>
      <c r="G171" s="187"/>
      <c r="H171" s="136"/>
      <c r="I171" s="188">
        <f>3303300.10461538+860392.28</f>
        <v>4163692.3846153803</v>
      </c>
      <c r="J171" s="136"/>
      <c r="K171" s="136"/>
    </row>
    <row r="172" spans="1:20">
      <c r="A172" s="98">
        <v>4</v>
      </c>
      <c r="B172" s="88" t="s">
        <v>410</v>
      </c>
      <c r="C172" s="88" t="s">
        <v>411</v>
      </c>
      <c r="D172" s="186"/>
      <c r="E172" s="136"/>
      <c r="F172" s="136"/>
      <c r="G172" s="187"/>
      <c r="H172" s="136"/>
      <c r="I172" s="174">
        <f>I169-I170-I171</f>
        <v>60773605.566153854</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0.93588134221765762</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2"/>
      <c r="O176" s="962"/>
      <c r="P176" s="962"/>
      <c r="Q176" s="962"/>
      <c r="R176" s="962"/>
      <c r="S176" s="962"/>
      <c r="T176" s="184"/>
    </row>
    <row r="177" spans="1:20">
      <c r="A177" s="98">
        <v>6</v>
      </c>
      <c r="B177" s="162" t="s">
        <v>414</v>
      </c>
      <c r="C177" s="162" t="s">
        <v>424</v>
      </c>
      <c r="D177" s="196"/>
      <c r="E177" s="88"/>
      <c r="F177" s="88"/>
      <c r="G177" s="154"/>
      <c r="H177" s="88"/>
      <c r="I177" s="231">
        <f>D105</f>
        <v>23306437.950000018</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329679.57999999996</v>
      </c>
      <c r="J178" s="136"/>
      <c r="K178" s="136"/>
      <c r="N178" s="198"/>
      <c r="O178" s="198"/>
      <c r="P178" s="186"/>
      <c r="Q178" s="195"/>
      <c r="R178" s="184"/>
      <c r="S178" s="184"/>
      <c r="T178" s="184"/>
    </row>
    <row r="179" spans="1:20">
      <c r="A179" s="98">
        <v>8</v>
      </c>
      <c r="B179" s="88" t="s">
        <v>416</v>
      </c>
      <c r="C179" s="189" t="s">
        <v>415</v>
      </c>
      <c r="D179" s="190"/>
      <c r="E179" s="191"/>
      <c r="F179" s="191"/>
      <c r="G179" s="192"/>
      <c r="H179" s="191"/>
      <c r="I179" s="174">
        <f>+I177-I178</f>
        <v>22976758.37000002</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0.98585457028194234</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0.93588134221765762</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0.9226428984668763</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3244778</v>
      </c>
      <c r="E187" s="210">
        <v>0</v>
      </c>
      <c r="F187" s="210"/>
      <c r="G187" s="143">
        <f>D187*E187</f>
        <v>0</v>
      </c>
      <c r="H187" s="133"/>
      <c r="I187" s="133"/>
      <c r="J187" s="133"/>
      <c r="K187" s="136"/>
      <c r="N187" s="184"/>
      <c r="O187" s="184"/>
      <c r="P187" s="184"/>
      <c r="Q187" s="184"/>
      <c r="R187" s="184"/>
      <c r="S187" s="184"/>
      <c r="T187" s="184"/>
    </row>
    <row r="188" spans="1:20">
      <c r="A188" s="98">
        <v>13</v>
      </c>
      <c r="B188" s="129" t="s">
        <v>28</v>
      </c>
      <c r="C188" s="133" t="s">
        <v>117</v>
      </c>
      <c r="D188" s="144">
        <v>539373</v>
      </c>
      <c r="E188" s="684">
        <f>$I$174</f>
        <v>0.93588134221765762</v>
      </c>
      <c r="F188" s="210"/>
      <c r="G188" s="143">
        <f>D188*E188</f>
        <v>504789.12719596463</v>
      </c>
      <c r="H188" s="133"/>
      <c r="I188" s="133"/>
      <c r="J188" s="133"/>
      <c r="K188" s="136"/>
      <c r="N188" s="184"/>
      <c r="O188" s="184"/>
      <c r="P188" s="184"/>
      <c r="Q188" s="184"/>
      <c r="R188" s="184"/>
      <c r="S188" s="184"/>
      <c r="T188" s="184"/>
    </row>
    <row r="189" spans="1:20">
      <c r="A189" s="98">
        <v>14</v>
      </c>
      <c r="B189" s="129" t="s">
        <v>29</v>
      </c>
      <c r="C189" s="133" t="s">
        <v>118</v>
      </c>
      <c r="D189" s="144">
        <v>1712258</v>
      </c>
      <c r="E189" s="210">
        <v>0</v>
      </c>
      <c r="F189" s="210"/>
      <c r="G189" s="143">
        <f>D189*E189</f>
        <v>0</v>
      </c>
      <c r="H189" s="133"/>
      <c r="I189" s="212" t="s">
        <v>58</v>
      </c>
      <c r="J189" s="133"/>
      <c r="K189" s="136"/>
    </row>
    <row r="190" spans="1:20" ht="13.5" thickBot="1">
      <c r="A190" s="98">
        <v>15</v>
      </c>
      <c r="B190" s="129" t="s">
        <v>59</v>
      </c>
      <c r="C190" s="133" t="s">
        <v>121</v>
      </c>
      <c r="D190" s="188">
        <f>408742+113550+12315</f>
        <v>534607</v>
      </c>
      <c r="E190" s="210">
        <v>0</v>
      </c>
      <c r="F190" s="210"/>
      <c r="G190" s="213">
        <f>D190*E190</f>
        <v>0</v>
      </c>
      <c r="H190" s="133"/>
      <c r="I190" s="138" t="s">
        <v>60</v>
      </c>
      <c r="J190" s="133"/>
      <c r="K190" s="136"/>
    </row>
    <row r="191" spans="1:20">
      <c r="A191" s="98">
        <v>16</v>
      </c>
      <c r="B191" s="129" t="s">
        <v>427</v>
      </c>
      <c r="C191" s="133" t="s">
        <v>426</v>
      </c>
      <c r="D191" s="143">
        <f>SUM(D187:D190)</f>
        <v>6031016</v>
      </c>
      <c r="E191" s="133"/>
      <c r="F191" s="133"/>
      <c r="G191" s="143">
        <f>SUM(G187:G190)</f>
        <v>504789.12719596463</v>
      </c>
      <c r="H191" s="98" t="s">
        <v>61</v>
      </c>
      <c r="I191" s="161">
        <f>IF(G191&gt;0,G191/D191,0)</f>
        <v>8.3698853923777461E-2</v>
      </c>
      <c r="J191" s="134" t="s">
        <v>61</v>
      </c>
      <c r="K191" s="180" t="s">
        <v>100</v>
      </c>
    </row>
    <row r="192" spans="1:20" ht="9" customHeight="1">
      <c r="A192" s="98"/>
      <c r="B192" s="129"/>
      <c r="C192" s="133"/>
      <c r="D192" s="133"/>
      <c r="E192" s="133"/>
      <c r="F192" s="133"/>
      <c r="G192" s="133"/>
      <c r="H192" s="133"/>
      <c r="I192" s="133"/>
      <c r="J192" s="133"/>
      <c r="K192" s="136"/>
    </row>
    <row r="193" spans="1:11">
      <c r="A193" s="98"/>
      <c r="B193" s="129" t="s">
        <v>153</v>
      </c>
      <c r="C193" s="133"/>
      <c r="D193" s="155" t="s">
        <v>56</v>
      </c>
      <c r="E193" s="133"/>
      <c r="F193" s="133"/>
      <c r="G193" s="134" t="s">
        <v>62</v>
      </c>
      <c r="H193" s="176" t="s">
        <v>2</v>
      </c>
      <c r="I193" s="163" t="str">
        <f>+I189</f>
        <v>W&amp;S Allocator</v>
      </c>
      <c r="J193" s="133"/>
      <c r="K193" s="136"/>
    </row>
    <row r="194" spans="1:11">
      <c r="A194" s="98">
        <v>17</v>
      </c>
      <c r="B194" s="129" t="s">
        <v>63</v>
      </c>
      <c r="C194" s="133" t="s">
        <v>64</v>
      </c>
      <c r="D194" s="144">
        <v>666477514.92999983</v>
      </c>
      <c r="E194" s="133"/>
      <c r="G194" s="98" t="s">
        <v>65</v>
      </c>
      <c r="H194" s="176"/>
      <c r="I194" s="98" t="s">
        <v>66</v>
      </c>
      <c r="J194" s="133"/>
      <c r="K194" s="154" t="s">
        <v>67</v>
      </c>
    </row>
    <row r="195" spans="1:11">
      <c r="A195" s="98">
        <v>18</v>
      </c>
      <c r="B195" s="129" t="s">
        <v>68</v>
      </c>
      <c r="C195" s="133" t="s">
        <v>107</v>
      </c>
      <c r="D195" s="144"/>
      <c r="E195" s="133"/>
      <c r="G195" s="142">
        <f>IF(D197&gt;0,D194/D197,0)</f>
        <v>0.98175115513979705</v>
      </c>
      <c r="H195" s="134" t="s">
        <v>69</v>
      </c>
      <c r="I195" s="142">
        <f>I191</f>
        <v>8.3698853923777461E-2</v>
      </c>
      <c r="J195" s="176" t="s">
        <v>61</v>
      </c>
      <c r="K195" s="214">
        <f>I195*G195</f>
        <v>8.217144652354566E-2</v>
      </c>
    </row>
    <row r="196" spans="1:11" ht="13.5" thickBot="1">
      <c r="A196" s="98">
        <v>19</v>
      </c>
      <c r="B196" s="215" t="s">
        <v>59</v>
      </c>
      <c r="C196" s="208" t="s">
        <v>743</v>
      </c>
      <c r="D196" s="188">
        <v>12388520.969999997</v>
      </c>
      <c r="E196" s="133"/>
      <c r="F196" s="133"/>
      <c r="G196" s="133" t="s">
        <v>2</v>
      </c>
      <c r="H196" s="133"/>
      <c r="I196" s="133"/>
      <c r="J196" s="133"/>
      <c r="K196" s="136"/>
    </row>
    <row r="197" spans="1:11">
      <c r="A197" s="98">
        <v>20</v>
      </c>
      <c r="B197" s="129" t="s">
        <v>427</v>
      </c>
      <c r="C197" s="133" t="s">
        <v>428</v>
      </c>
      <c r="D197" s="143">
        <f>D194+D195+D196</f>
        <v>678866035.89999986</v>
      </c>
      <c r="E197" s="133"/>
      <c r="F197" s="133"/>
      <c r="G197" s="133"/>
      <c r="H197" s="133"/>
      <c r="I197" s="133"/>
      <c r="J197" s="133"/>
      <c r="K197" s="136"/>
    </row>
    <row r="198" spans="1:11" ht="9" customHeight="1">
      <c r="A198" s="98"/>
      <c r="B198" s="129"/>
      <c r="C198" s="133"/>
      <c r="E198" s="133"/>
      <c r="F198" s="133"/>
      <c r="G198" s="133"/>
      <c r="H198" s="133"/>
      <c r="I198" s="133"/>
      <c r="J198" s="133"/>
      <c r="K198" s="136"/>
    </row>
    <row r="199" spans="1:11" ht="13.5" thickBot="1">
      <c r="A199" s="98"/>
      <c r="B199" s="129" t="s">
        <v>70</v>
      </c>
      <c r="C199" s="133"/>
      <c r="D199" s="133"/>
      <c r="E199" s="133"/>
      <c r="F199" s="133"/>
      <c r="G199" s="133"/>
      <c r="H199" s="133"/>
      <c r="I199" s="209" t="s">
        <v>56</v>
      </c>
      <c r="J199" s="133"/>
      <c r="K199" s="136"/>
    </row>
    <row r="200" spans="1:11">
      <c r="A200" s="98">
        <v>21</v>
      </c>
      <c r="B200" s="133" t="s">
        <v>431</v>
      </c>
      <c r="C200" s="136" t="s">
        <v>744</v>
      </c>
      <c r="D200" s="133"/>
      <c r="E200" s="133"/>
      <c r="F200" s="133"/>
      <c r="G200" s="133"/>
      <c r="H200" s="133"/>
      <c r="I200" s="216">
        <f>11058914+87256+32253-78740+3162722</f>
        <v>14262405</v>
      </c>
      <c r="J200" s="133"/>
      <c r="K200" s="136"/>
    </row>
    <row r="201" spans="1:11" ht="9" customHeight="1">
      <c r="A201" s="98"/>
      <c r="B201" s="133"/>
      <c r="C201" s="136"/>
      <c r="D201" s="133"/>
      <c r="E201" s="133"/>
      <c r="F201" s="133"/>
      <c r="G201" s="133"/>
      <c r="H201" s="133"/>
      <c r="I201" s="133"/>
      <c r="J201" s="133"/>
      <c r="K201" s="136"/>
    </row>
    <row r="202" spans="1:11">
      <c r="A202" s="98">
        <v>22</v>
      </c>
      <c r="B202" s="133" t="s">
        <v>430</v>
      </c>
      <c r="C202" s="136" t="s">
        <v>429</v>
      </c>
      <c r="D202" s="133"/>
      <c r="E202" s="133"/>
      <c r="F202" s="133"/>
      <c r="G202" s="133"/>
      <c r="H202" s="136"/>
      <c r="I202" s="217">
        <v>0</v>
      </c>
      <c r="J202" s="133"/>
      <c r="K202" s="136"/>
    </row>
    <row r="203" spans="1:11" ht="9" customHeight="1">
      <c r="A203" s="98"/>
      <c r="B203" s="129"/>
      <c r="C203" s="133"/>
      <c r="D203" s="133"/>
      <c r="E203" s="133"/>
      <c r="F203" s="133"/>
      <c r="G203" s="133"/>
      <c r="H203" s="133"/>
      <c r="I203" s="133"/>
      <c r="J203" s="133"/>
      <c r="K203" s="136"/>
    </row>
    <row r="204" spans="1:11">
      <c r="A204" s="98"/>
      <c r="B204" s="218" t="s">
        <v>432</v>
      </c>
      <c r="C204" s="133"/>
      <c r="D204" s="133"/>
      <c r="E204" s="133"/>
      <c r="F204" s="133"/>
      <c r="G204" s="133"/>
      <c r="H204" s="133"/>
      <c r="I204" s="133"/>
      <c r="J204" s="133"/>
      <c r="K204" s="136"/>
    </row>
    <row r="205" spans="1:11">
      <c r="A205" s="98">
        <v>23</v>
      </c>
      <c r="B205" s="133" t="s">
        <v>435</v>
      </c>
      <c r="C205" s="133" t="s">
        <v>433</v>
      </c>
      <c r="D205" s="89"/>
      <c r="E205" s="133"/>
      <c r="F205" s="133"/>
      <c r="G205" s="133"/>
      <c r="H205" s="133"/>
      <c r="I205" s="144">
        <v>249623353</v>
      </c>
      <c r="J205" s="133"/>
      <c r="K205" s="136"/>
    </row>
    <row r="206" spans="1:11">
      <c r="A206" s="98">
        <v>24</v>
      </c>
      <c r="B206" s="133" t="s">
        <v>436</v>
      </c>
      <c r="C206" s="133" t="s">
        <v>434</v>
      </c>
      <c r="D206" s="133"/>
      <c r="E206" s="133"/>
      <c r="F206" s="133"/>
      <c r="G206" s="133"/>
      <c r="H206" s="133"/>
      <c r="I206" s="174">
        <f>+D213</f>
        <v>0</v>
      </c>
      <c r="J206" s="133"/>
      <c r="K206" s="136"/>
    </row>
    <row r="207" spans="1:11">
      <c r="A207" s="98">
        <v>25</v>
      </c>
      <c r="B207" s="196" t="s">
        <v>437</v>
      </c>
      <c r="C207" s="196" t="s">
        <v>951</v>
      </c>
      <c r="D207" s="133"/>
      <c r="E207" s="133"/>
      <c r="F207" s="133"/>
      <c r="G207" s="133"/>
      <c r="H207" s="133"/>
      <c r="I207" s="749">
        <v>0</v>
      </c>
      <c r="J207" s="133"/>
      <c r="K207" s="136"/>
    </row>
    <row r="208" spans="1:11" ht="13.5" thickBot="1">
      <c r="A208" s="98">
        <v>26</v>
      </c>
      <c r="B208" s="185" t="s">
        <v>952</v>
      </c>
      <c r="C208" s="185" t="s">
        <v>953</v>
      </c>
      <c r="D208" s="133"/>
      <c r="E208" s="133"/>
      <c r="F208" s="133"/>
      <c r="G208" s="133"/>
      <c r="H208" s="133"/>
      <c r="I208" s="749">
        <v>0</v>
      </c>
      <c r="J208" s="133"/>
      <c r="K208" s="136"/>
    </row>
    <row r="209" spans="1:11">
      <c r="A209" s="98">
        <v>27</v>
      </c>
      <c r="B209" s="88" t="s">
        <v>71</v>
      </c>
      <c r="C209" s="189" t="s">
        <v>954</v>
      </c>
      <c r="D209" s="143"/>
      <c r="E209" s="89"/>
      <c r="F209" s="89"/>
      <c r="G209" s="89"/>
      <c r="H209" s="89"/>
      <c r="I209" s="237">
        <f>I205-I206-I207-I208</f>
        <v>249623353</v>
      </c>
      <c r="J209" s="133"/>
      <c r="K209" s="136"/>
    </row>
    <row r="210" spans="1:11">
      <c r="A210" s="98"/>
      <c r="B210" s="129"/>
      <c r="C210" s="133"/>
      <c r="D210" s="133"/>
      <c r="E210" s="133"/>
      <c r="F210" s="133"/>
      <c r="G210" s="134" t="s">
        <v>72</v>
      </c>
      <c r="H210" s="133"/>
      <c r="I210" s="133"/>
      <c r="J210" s="133"/>
      <c r="K210" s="136"/>
    </row>
    <row r="211" spans="1:11" ht="13.5" thickBot="1">
      <c r="A211" s="98"/>
      <c r="B211" s="129"/>
      <c r="C211" s="133"/>
      <c r="D211" s="138" t="s">
        <v>56</v>
      </c>
      <c r="E211" s="138" t="s">
        <v>73</v>
      </c>
      <c r="F211" s="133"/>
      <c r="G211" s="138" t="s">
        <v>472</v>
      </c>
      <c r="H211" s="133"/>
      <c r="I211" s="138" t="s">
        <v>74</v>
      </c>
      <c r="J211" s="133"/>
      <c r="K211" s="136"/>
    </row>
    <row r="212" spans="1:11">
      <c r="A212" s="98">
        <v>28</v>
      </c>
      <c r="B212" s="129" t="s">
        <v>440</v>
      </c>
      <c r="C212" s="129" t="s">
        <v>438</v>
      </c>
      <c r="D212" s="144">
        <v>195000000</v>
      </c>
      <c r="E212" s="219">
        <f>IF($D$215&gt;0,D212/$D$215,0)</f>
        <v>0.43857345477757664</v>
      </c>
      <c r="F212" s="220"/>
      <c r="G212" s="221">
        <f>IF(D212&gt;0,I200/D212,0)</f>
        <v>7.3140538461538465E-2</v>
      </c>
      <c r="I212" s="221">
        <f>G212*E212</f>
        <v>3.2077498637369146E-2</v>
      </c>
      <c r="J212" s="222" t="s">
        <v>75</v>
      </c>
    </row>
    <row r="213" spans="1:11">
      <c r="A213" s="98">
        <v>29</v>
      </c>
      <c r="B213" s="129" t="s">
        <v>441</v>
      </c>
      <c r="C213" s="129" t="s">
        <v>439</v>
      </c>
      <c r="D213" s="144">
        <v>0</v>
      </c>
      <c r="E213" s="219">
        <f>IF($D$215&gt;0,D213/$D$215,0)</f>
        <v>0</v>
      </c>
      <c r="F213" s="220"/>
      <c r="G213" s="221">
        <f>IF(D213&gt;0,I202/D213,0)</f>
        <v>0</v>
      </c>
      <c r="I213" s="221">
        <f>G213*E213</f>
        <v>0</v>
      </c>
      <c r="J213" s="133"/>
    </row>
    <row r="214" spans="1:11" ht="13.5" thickBot="1">
      <c r="A214" s="98">
        <v>30</v>
      </c>
      <c r="B214" s="185" t="s">
        <v>442</v>
      </c>
      <c r="C214" s="185" t="s">
        <v>955</v>
      </c>
      <c r="D214" s="213">
        <f>I209</f>
        <v>249623353</v>
      </c>
      <c r="E214" s="219">
        <f>IF($D$215&gt;0,D214/$D$215,0)</f>
        <v>0.5614265452224233</v>
      </c>
      <c r="F214" s="220"/>
      <c r="G214" s="891">
        <v>9.9000000000000005E-2</v>
      </c>
      <c r="I214" s="223">
        <f>G214*E214</f>
        <v>5.5581227977019906E-2</v>
      </c>
      <c r="J214" s="133"/>
    </row>
    <row r="215" spans="1:11">
      <c r="A215" s="98">
        <v>31</v>
      </c>
      <c r="B215" s="88" t="s">
        <v>388</v>
      </c>
      <c r="C215" s="189" t="s">
        <v>956</v>
      </c>
      <c r="D215" s="143">
        <f>D214+D213+D212</f>
        <v>444623353</v>
      </c>
      <c r="E215" s="133" t="s">
        <v>2</v>
      </c>
      <c r="F215" s="133"/>
      <c r="G215" s="133"/>
      <c r="H215" s="133"/>
      <c r="I215" s="221">
        <f>SUM(I212:I214)</f>
        <v>8.765872661438906E-2</v>
      </c>
      <c r="J215" s="222" t="s">
        <v>76</v>
      </c>
    </row>
    <row r="216" spans="1:11" ht="9" customHeight="1">
      <c r="E216" s="133"/>
      <c r="F216" s="133"/>
      <c r="G216" s="133"/>
      <c r="H216" s="133"/>
    </row>
    <row r="217" spans="1:11">
      <c r="A217" s="963"/>
      <c r="B217" s="963"/>
      <c r="C217" s="963"/>
      <c r="D217" s="133"/>
      <c r="E217" s="133"/>
      <c r="F217" s="165"/>
      <c r="G217" s="964"/>
      <c r="H217" s="964"/>
      <c r="I217" s="964"/>
      <c r="J217" s="964"/>
      <c r="K217" s="964"/>
    </row>
    <row r="218" spans="1:11">
      <c r="A218" s="98">
        <v>32</v>
      </c>
      <c r="B218" s="129" t="s">
        <v>702</v>
      </c>
      <c r="C218" s="129" t="s">
        <v>706</v>
      </c>
      <c r="D218" s="130"/>
      <c r="E218" s="129"/>
      <c r="F218" s="129"/>
      <c r="G218" s="398"/>
      <c r="H218" s="450"/>
      <c r="I218" s="217">
        <v>0</v>
      </c>
      <c r="J218" s="450"/>
      <c r="K218" s="450"/>
    </row>
    <row r="219" spans="1:11">
      <c r="B219" s="129"/>
      <c r="C219" s="129"/>
      <c r="D219" s="130"/>
      <c r="E219" s="129"/>
      <c r="F219" s="129"/>
      <c r="G219" s="958"/>
      <c r="H219" s="958"/>
      <c r="I219" s="958"/>
      <c r="J219" s="958"/>
      <c r="K219" s="958"/>
    </row>
    <row r="220" spans="1:11">
      <c r="B220" s="129"/>
      <c r="C220" s="129"/>
      <c r="D220" s="130"/>
      <c r="E220" s="129"/>
      <c r="F220" s="129"/>
      <c r="G220" s="129"/>
      <c r="H220" s="89"/>
      <c r="I220" s="959" t="str">
        <f>I1</f>
        <v>Actual Attachment H</v>
      </c>
      <c r="J220" s="959"/>
      <c r="K220" s="959"/>
    </row>
    <row r="221" spans="1:11">
      <c r="B221" s="129"/>
      <c r="C221" s="129"/>
      <c r="D221" s="130"/>
      <c r="E221" s="129"/>
      <c r="F221" s="129"/>
      <c r="G221" s="129"/>
      <c r="H221" s="89"/>
      <c r="I221" s="89"/>
      <c r="J221" s="958" t="s">
        <v>359</v>
      </c>
      <c r="K221" s="958"/>
    </row>
    <row r="222" spans="1:11">
      <c r="B222" s="129"/>
      <c r="C222" s="129"/>
      <c r="D222" s="130"/>
      <c r="E222" s="129"/>
      <c r="F222" s="129"/>
      <c r="G222" s="129"/>
      <c r="H222" s="89"/>
      <c r="I222" s="89"/>
      <c r="J222" s="89"/>
      <c r="K222" s="131"/>
    </row>
    <row r="223" spans="1:11">
      <c r="B223" s="130" t="s">
        <v>0</v>
      </c>
      <c r="C223" s="129"/>
      <c r="D223" s="98" t="s">
        <v>1</v>
      </c>
      <c r="E223" s="129"/>
      <c r="F223" s="129"/>
      <c r="G223" s="129"/>
      <c r="H223" s="89"/>
      <c r="I223" s="89"/>
      <c r="J223" s="89"/>
      <c r="K223" s="150" t="str">
        <f>K4</f>
        <v>Actuals - For the 12 months ended 12/31/2021</v>
      </c>
    </row>
    <row r="224" spans="1:11">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66" t="s">
        <v>1023</v>
      </c>
      <c r="C233" s="966"/>
      <c r="D233" s="966"/>
      <c r="E233" s="966"/>
      <c r="F233" s="966"/>
      <c r="G233" s="966"/>
      <c r="H233" s="966"/>
      <c r="I233" s="966"/>
      <c r="J233" s="966"/>
      <c r="K233" s="966"/>
    </row>
    <row r="234" spans="1:11" ht="26.25" customHeight="1">
      <c r="A234" s="100" t="s">
        <v>81</v>
      </c>
      <c r="B234" s="949" t="s">
        <v>1203</v>
      </c>
      <c r="C234" s="949"/>
      <c r="D234" s="949"/>
      <c r="E234" s="949"/>
      <c r="F234" s="949"/>
      <c r="G234" s="949"/>
      <c r="H234" s="949"/>
      <c r="I234" s="949"/>
      <c r="J234" s="949"/>
      <c r="K234" s="949"/>
    </row>
    <row r="235" spans="1:11" ht="27" customHeight="1">
      <c r="A235" s="100" t="s">
        <v>82</v>
      </c>
      <c r="B235" s="948" t="s">
        <v>1125</v>
      </c>
      <c r="C235" s="948"/>
      <c r="D235" s="948"/>
      <c r="E235" s="948"/>
      <c r="F235" s="948"/>
      <c r="G235" s="948"/>
      <c r="H235" s="948"/>
      <c r="I235" s="948"/>
      <c r="J235" s="104"/>
      <c r="K235" s="104"/>
    </row>
    <row r="236" spans="1:11">
      <c r="A236" s="100" t="s">
        <v>83</v>
      </c>
      <c r="B236" s="949" t="s">
        <v>920</v>
      </c>
      <c r="C236" s="949"/>
      <c r="D236" s="949"/>
      <c r="E236" s="949"/>
      <c r="F236" s="949"/>
      <c r="G236" s="949"/>
      <c r="H236" s="949"/>
      <c r="I236" s="949"/>
      <c r="J236" s="949"/>
      <c r="K236" s="949"/>
    </row>
    <row r="237" spans="1:11" ht="28.5" customHeight="1">
      <c r="A237" s="100" t="s">
        <v>84</v>
      </c>
      <c r="B237" s="956" t="s">
        <v>921</v>
      </c>
      <c r="C237" s="956"/>
      <c r="D237" s="956"/>
      <c r="E237" s="956"/>
      <c r="F237" s="956"/>
      <c r="G237" s="956"/>
      <c r="H237" s="956"/>
      <c r="I237" s="956"/>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48" t="s">
        <v>923</v>
      </c>
      <c r="C239" s="948"/>
      <c r="D239" s="948"/>
      <c r="E239" s="948"/>
      <c r="F239" s="948"/>
      <c r="G239" s="948"/>
      <c r="H239" s="948"/>
      <c r="I239" s="948"/>
      <c r="J239" s="108"/>
      <c r="K239" s="104"/>
    </row>
    <row r="240" spans="1:11" ht="32.25" customHeight="1">
      <c r="A240" s="100" t="s">
        <v>86</v>
      </c>
      <c r="B240" s="948" t="s">
        <v>924</v>
      </c>
      <c r="C240" s="948"/>
      <c r="D240" s="948"/>
      <c r="E240" s="948"/>
      <c r="F240" s="948"/>
      <c r="G240" s="948"/>
      <c r="H240" s="948"/>
      <c r="I240" s="948"/>
      <c r="J240" s="104"/>
      <c r="K240" s="104"/>
    </row>
    <row r="241" spans="1:11" ht="27.75" customHeight="1">
      <c r="A241" s="100" t="s">
        <v>87</v>
      </c>
      <c r="B241" s="948" t="s">
        <v>1104</v>
      </c>
      <c r="C241" s="948"/>
      <c r="D241" s="948"/>
      <c r="E241" s="948"/>
      <c r="F241" s="948"/>
      <c r="G241" s="948"/>
      <c r="H241" s="948"/>
      <c r="I241" s="948"/>
      <c r="J241" s="104"/>
      <c r="K241" s="104"/>
    </row>
    <row r="242" spans="1:11" ht="54" customHeight="1">
      <c r="A242" s="100" t="s">
        <v>88</v>
      </c>
      <c r="B242" s="949" t="s">
        <v>925</v>
      </c>
      <c r="C242" s="949"/>
      <c r="D242" s="949"/>
      <c r="E242" s="949"/>
      <c r="F242" s="949"/>
      <c r="G242" s="949"/>
      <c r="H242" s="949"/>
      <c r="I242" s="949"/>
      <c r="J242" s="949"/>
      <c r="K242" s="949"/>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55" t="s">
        <v>124</v>
      </c>
      <c r="C246" s="955"/>
      <c r="D246" s="955"/>
      <c r="E246" s="955"/>
      <c r="F246" s="955"/>
      <c r="G246" s="955"/>
      <c r="H246" s="955"/>
      <c r="I246" s="955"/>
      <c r="J246" s="104"/>
      <c r="K246" s="104"/>
    </row>
    <row r="247" spans="1:11" ht="27" customHeight="1">
      <c r="A247" s="100" t="s">
        <v>360</v>
      </c>
      <c r="B247" s="948" t="s">
        <v>453</v>
      </c>
      <c r="C247" s="948"/>
      <c r="D247" s="948"/>
      <c r="E247" s="948"/>
      <c r="F247" s="948"/>
      <c r="G247" s="948"/>
      <c r="H247" s="948"/>
      <c r="I247" s="948"/>
      <c r="J247" s="109"/>
      <c r="K247" s="104"/>
    </row>
    <row r="248" spans="1:11" ht="25.5" customHeight="1">
      <c r="A248" s="100" t="s">
        <v>454</v>
      </c>
      <c r="B248" s="953" t="s">
        <v>1074</v>
      </c>
      <c r="C248" s="953"/>
      <c r="D248" s="953"/>
      <c r="E248" s="953"/>
      <c r="F248" s="953"/>
      <c r="G248" s="953"/>
      <c r="H248" s="953"/>
      <c r="I248" s="953"/>
      <c r="J248" s="953"/>
      <c r="K248" s="953"/>
    </row>
    <row r="249" spans="1:11">
      <c r="A249" s="100" t="s">
        <v>455</v>
      </c>
      <c r="B249" s="956" t="s">
        <v>469</v>
      </c>
      <c r="C249" s="956"/>
      <c r="D249" s="956"/>
      <c r="E249" s="956"/>
      <c r="F249" s="956"/>
      <c r="G249" s="956"/>
      <c r="H249" s="956"/>
      <c r="I249" s="956"/>
      <c r="J249" s="107"/>
      <c r="K249" s="107"/>
    </row>
    <row r="250" spans="1:11">
      <c r="A250" s="100" t="s">
        <v>456</v>
      </c>
      <c r="B250" s="965" t="s">
        <v>1083</v>
      </c>
      <c r="C250" s="965"/>
      <c r="D250" s="965"/>
      <c r="E250" s="965"/>
      <c r="F250" s="965"/>
      <c r="G250" s="965"/>
      <c r="H250" s="965"/>
      <c r="I250" s="965"/>
      <c r="J250" s="965"/>
      <c r="K250" s="965"/>
    </row>
    <row r="251" spans="1:11">
      <c r="A251" s="100" t="s">
        <v>457</v>
      </c>
      <c r="B251" s="967" t="s">
        <v>462</v>
      </c>
      <c r="C251" s="967"/>
      <c r="D251" s="967"/>
      <c r="E251" s="967"/>
      <c r="F251" s="967"/>
      <c r="G251" s="967"/>
      <c r="H251" s="967"/>
      <c r="I251" s="967"/>
      <c r="J251" s="104"/>
      <c r="K251" s="104"/>
    </row>
    <row r="252" spans="1:11" ht="15.75" customHeight="1">
      <c r="A252" s="100" t="s">
        <v>89</v>
      </c>
      <c r="B252" s="957" t="s">
        <v>934</v>
      </c>
      <c r="C252" s="957"/>
      <c r="D252" s="957"/>
      <c r="E252" s="957"/>
      <c r="F252" s="957"/>
      <c r="G252" s="957"/>
      <c r="H252" s="957"/>
      <c r="I252" s="957"/>
      <c r="J252" s="890"/>
      <c r="K252" s="890"/>
    </row>
    <row r="253" spans="1:11" ht="29.25" customHeight="1">
      <c r="A253" s="100" t="s">
        <v>458</v>
      </c>
      <c r="B253" s="954" t="s">
        <v>926</v>
      </c>
      <c r="C253" s="954"/>
      <c r="D253" s="954"/>
      <c r="E253" s="954"/>
      <c r="F253" s="954"/>
      <c r="G253" s="954"/>
      <c r="H253" s="954"/>
      <c r="I253" s="954"/>
      <c r="J253" s="104"/>
      <c r="K253" s="104"/>
    </row>
    <row r="254" spans="1:11" ht="26.25" customHeight="1">
      <c r="A254" s="102" t="s">
        <v>459</v>
      </c>
      <c r="B254" s="950" t="s">
        <v>781</v>
      </c>
      <c r="C254" s="950"/>
      <c r="D254" s="950"/>
      <c r="E254" s="950"/>
      <c r="F254" s="950"/>
      <c r="G254" s="950"/>
      <c r="H254" s="950"/>
      <c r="I254" s="950"/>
      <c r="J254" s="112"/>
      <c r="K254" s="112"/>
    </row>
    <row r="255" spans="1:11" ht="27.75" customHeight="1">
      <c r="A255" s="102" t="s">
        <v>460</v>
      </c>
      <c r="B255" s="951" t="s">
        <v>1136</v>
      </c>
      <c r="C255" s="951"/>
      <c r="D255" s="951"/>
      <c r="E255" s="951"/>
      <c r="F255" s="951"/>
      <c r="G255" s="951"/>
      <c r="H255" s="951"/>
      <c r="I255" s="951"/>
      <c r="J255" s="113"/>
      <c r="K255" s="113"/>
    </row>
    <row r="256" spans="1:11" ht="27.75" customHeight="1">
      <c r="A256" s="229" t="s">
        <v>461</v>
      </c>
      <c r="B256" s="950" t="s">
        <v>745</v>
      </c>
      <c r="C256" s="950"/>
      <c r="D256" s="950"/>
      <c r="E256" s="950"/>
      <c r="F256" s="950"/>
      <c r="G256" s="950"/>
      <c r="H256" s="950"/>
      <c r="I256" s="950"/>
      <c r="J256" s="113"/>
      <c r="K256" s="113"/>
    </row>
    <row r="257" spans="1:11" ht="12.75" customHeight="1">
      <c r="A257" s="229" t="s">
        <v>655</v>
      </c>
      <c r="B257" s="950" t="s">
        <v>656</v>
      </c>
      <c r="C257" s="950"/>
      <c r="D257" s="950"/>
      <c r="E257" s="950"/>
      <c r="F257" s="950"/>
      <c r="G257" s="950"/>
      <c r="H257" s="950"/>
      <c r="I257" s="950"/>
      <c r="J257" s="113"/>
      <c r="K257" s="113"/>
    </row>
    <row r="258" spans="1:11" ht="27.75" customHeight="1">
      <c r="A258" s="229" t="s">
        <v>748</v>
      </c>
      <c r="B258" s="950" t="s">
        <v>927</v>
      </c>
      <c r="C258" s="950"/>
      <c r="D258" s="950"/>
      <c r="E258" s="950"/>
      <c r="F258" s="950"/>
      <c r="G258" s="950"/>
      <c r="H258" s="950"/>
      <c r="I258" s="950"/>
      <c r="J258" s="113"/>
      <c r="K258" s="113"/>
    </row>
    <row r="259" spans="1:11" ht="56.25" customHeight="1">
      <c r="A259" s="229" t="s">
        <v>749</v>
      </c>
      <c r="B259" s="950" t="s">
        <v>928</v>
      </c>
      <c r="C259" s="950"/>
      <c r="D259" s="950"/>
      <c r="E259" s="950"/>
      <c r="F259" s="950"/>
      <c r="G259" s="950"/>
      <c r="H259" s="950"/>
      <c r="I259" s="950"/>
      <c r="J259" s="113"/>
      <c r="K259" s="113"/>
    </row>
    <row r="260" spans="1:11">
      <c r="A260" s="229" t="s">
        <v>1028</v>
      </c>
      <c r="B260" s="950" t="s">
        <v>1029</v>
      </c>
      <c r="C260" s="950"/>
      <c r="D260" s="950"/>
      <c r="E260" s="950"/>
      <c r="F260" s="950"/>
      <c r="G260" s="950"/>
      <c r="H260" s="950"/>
      <c r="I260" s="950"/>
      <c r="J260" s="113"/>
      <c r="K260" s="113"/>
    </row>
    <row r="261" spans="1:11" ht="108.75" customHeight="1">
      <c r="A261" s="229" t="s">
        <v>1118</v>
      </c>
      <c r="B261" s="951" t="s">
        <v>1198</v>
      </c>
      <c r="C261" s="951"/>
      <c r="D261" s="951"/>
      <c r="E261" s="951"/>
      <c r="F261" s="951"/>
      <c r="G261" s="951"/>
      <c r="H261" s="951"/>
      <c r="I261" s="951"/>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52"/>
      <c r="C265" s="952"/>
      <c r="D265" s="952"/>
      <c r="E265" s="952"/>
      <c r="F265" s="952"/>
      <c r="G265" s="952"/>
      <c r="H265" s="952"/>
      <c r="I265" s="952"/>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47"/>
      <c r="C273" s="947"/>
      <c r="D273" s="947"/>
      <c r="E273" s="947"/>
      <c r="F273" s="947"/>
      <c r="G273" s="947"/>
      <c r="H273" s="947"/>
      <c r="I273" s="947"/>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zoomScale="85" zoomScaleNormal="85" workbookViewId="0">
      <selection activeCell="H14" sqref="H14"/>
    </sheetView>
  </sheetViews>
  <sheetFormatPr defaultColWidth="8.69140625" defaultRowHeight="13"/>
  <cols>
    <col min="1" max="1" width="4.69140625" style="2" bestFit="1" customWidth="1"/>
    <col min="2" max="2" width="8.23046875" style="2" customWidth="1"/>
    <col min="3" max="3" width="24.07421875" style="2" customWidth="1"/>
    <col min="4" max="4" width="7.53515625" style="2" bestFit="1" customWidth="1"/>
    <col min="5" max="5" width="9.53515625" style="2" bestFit="1" customWidth="1"/>
    <col min="6" max="12" width="9" style="2" customWidth="1"/>
    <col min="13" max="13" width="8.07421875" style="2" customWidth="1"/>
    <col min="14" max="14" width="9.23046875" style="2" bestFit="1" customWidth="1"/>
    <col min="15" max="15" width="12.4609375" style="2" customWidth="1"/>
    <col min="16" max="16" width="12.53515625" style="2" customWidth="1"/>
    <col min="17" max="16384" width="8.69140625" style="2"/>
  </cols>
  <sheetData>
    <row r="1" spans="1:14">
      <c r="A1" s="968" t="s">
        <v>531</v>
      </c>
      <c r="B1" s="968"/>
      <c r="C1" s="968"/>
      <c r="D1" s="968"/>
      <c r="E1" s="968"/>
      <c r="F1" s="968"/>
      <c r="G1" s="968"/>
      <c r="H1" s="968"/>
      <c r="I1" s="968"/>
      <c r="J1" s="968"/>
      <c r="K1" s="968"/>
      <c r="L1" s="968"/>
      <c r="M1" s="968"/>
      <c r="N1" s="968"/>
    </row>
    <row r="2" spans="1:14">
      <c r="A2" s="969" t="s">
        <v>222</v>
      </c>
      <c r="B2" s="969"/>
      <c r="C2" s="969"/>
      <c r="D2" s="969"/>
      <c r="E2" s="969"/>
      <c r="F2" s="969"/>
      <c r="G2" s="969"/>
      <c r="H2" s="969"/>
      <c r="I2" s="969"/>
      <c r="J2" s="969"/>
      <c r="K2" s="969"/>
      <c r="L2" s="969"/>
      <c r="M2" s="969"/>
      <c r="N2" s="969"/>
    </row>
    <row r="3" spans="1:14">
      <c r="A3" s="969" t="str">
        <f>'Act Att-H'!C7</f>
        <v>Cheyenne Light, Fuel &amp; Power</v>
      </c>
      <c r="B3" s="969"/>
      <c r="C3" s="969"/>
      <c r="D3" s="969"/>
      <c r="E3" s="969"/>
      <c r="F3" s="969"/>
      <c r="G3" s="969"/>
      <c r="H3" s="969"/>
      <c r="I3" s="969"/>
      <c r="J3" s="969"/>
      <c r="K3" s="969"/>
      <c r="L3" s="969"/>
      <c r="M3" s="969"/>
      <c r="N3" s="969"/>
    </row>
    <row r="4" spans="1:14">
      <c r="B4" s="563"/>
      <c r="C4" s="563"/>
      <c r="D4" s="563"/>
      <c r="E4" s="563"/>
      <c r="F4" s="563"/>
      <c r="G4" s="563"/>
      <c r="H4" s="563"/>
      <c r="I4" s="563"/>
      <c r="J4" s="563"/>
      <c r="K4" s="563"/>
      <c r="M4" s="2" t="s">
        <v>673</v>
      </c>
    </row>
    <row r="5" spans="1:14">
      <c r="A5" s="171" t="s">
        <v>154</v>
      </c>
      <c r="B5" s="573" t="s">
        <v>475</v>
      </c>
      <c r="C5" s="88"/>
      <c r="D5" s="162"/>
      <c r="E5" s="88"/>
      <c r="F5" s="88"/>
      <c r="G5" s="574"/>
      <c r="H5" s="88"/>
      <c r="I5" s="575"/>
      <c r="J5" s="162"/>
      <c r="K5" s="576"/>
    </row>
    <row r="6" spans="1:14">
      <c r="B6" s="577"/>
      <c r="C6" s="578"/>
      <c r="D6" s="579"/>
      <c r="E6" s="578"/>
      <c r="F6" s="578"/>
      <c r="G6" s="578"/>
      <c r="H6" s="578"/>
      <c r="I6" s="578"/>
      <c r="J6" s="578"/>
    </row>
    <row r="7" spans="1:14">
      <c r="A7" s="580">
        <v>1</v>
      </c>
      <c r="B7" s="581" t="s">
        <v>221</v>
      </c>
      <c r="C7" s="581" t="s">
        <v>191</v>
      </c>
      <c r="D7" s="582"/>
      <c r="E7" s="581" t="s">
        <v>9</v>
      </c>
      <c r="F7" s="581" t="s">
        <v>216</v>
      </c>
      <c r="G7" s="581" t="s">
        <v>240</v>
      </c>
      <c r="H7" s="971" t="s">
        <v>10</v>
      </c>
      <c r="I7" s="971"/>
      <c r="J7" s="581" t="s">
        <v>9</v>
      </c>
    </row>
    <row r="8" spans="1:14">
      <c r="A8" s="580">
        <f>A7+1</f>
        <v>2</v>
      </c>
      <c r="B8" s="303"/>
      <c r="C8" s="303"/>
      <c r="E8" s="584" t="s">
        <v>157</v>
      </c>
      <c r="F8" s="585" t="s">
        <v>158</v>
      </c>
      <c r="G8" s="585" t="s">
        <v>159</v>
      </c>
      <c r="H8" s="970" t="s">
        <v>160</v>
      </c>
      <c r="I8" s="970"/>
      <c r="J8" s="585" t="s">
        <v>705</v>
      </c>
    </row>
    <row r="9" spans="1:14">
      <c r="A9" s="580">
        <f t="shared" ref="A9:A57" si="0">A8+1</f>
        <v>3</v>
      </c>
      <c r="B9" s="586" t="s">
        <v>217</v>
      </c>
      <c r="C9" s="587"/>
      <c r="E9" s="303"/>
      <c r="F9" s="587"/>
      <c r="G9" s="587"/>
      <c r="H9" s="588"/>
    </row>
    <row r="10" spans="1:14">
      <c r="A10" s="580">
        <f t="shared" si="0"/>
        <v>4</v>
      </c>
      <c r="B10" s="589">
        <v>45400</v>
      </c>
      <c r="C10" s="587" t="s">
        <v>218</v>
      </c>
      <c r="E10" s="277">
        <v>0</v>
      </c>
      <c r="F10" s="287">
        <v>0</v>
      </c>
      <c r="G10" s="287">
        <f>SUM(E10:F10)</f>
        <v>0</v>
      </c>
      <c r="H10" s="746" t="s">
        <v>11</v>
      </c>
      <c r="I10" s="214">
        <f>'Act Att-H'!I174</f>
        <v>0.93588134221765762</v>
      </c>
      <c r="J10" s="287">
        <f>G10*I10</f>
        <v>0</v>
      </c>
      <c r="K10" s="563"/>
    </row>
    <row r="11" spans="1:14">
      <c r="A11" s="580">
        <f t="shared" si="0"/>
        <v>5</v>
      </c>
      <c r="B11" s="589">
        <v>45400</v>
      </c>
      <c r="C11" s="587" t="s">
        <v>219</v>
      </c>
      <c r="E11" s="590">
        <v>1102551.99</v>
      </c>
      <c r="F11" s="587">
        <v>0</v>
      </c>
      <c r="G11" s="587">
        <f>SUM(E11:F11)</f>
        <v>1102551.99</v>
      </c>
      <c r="H11" s="33" t="s">
        <v>67</v>
      </c>
      <c r="I11" s="214">
        <f>'Act Att-H'!K195</f>
        <v>8.217144652354566E-2</v>
      </c>
      <c r="J11" s="287">
        <f>G11*I11</f>
        <v>90598.291885713843</v>
      </c>
    </row>
    <row r="12" spans="1:14">
      <c r="A12" s="580">
        <f t="shared" si="0"/>
        <v>6</v>
      </c>
      <c r="B12" s="591" t="s">
        <v>220</v>
      </c>
      <c r="C12" s="591"/>
      <c r="D12" s="592"/>
      <c r="E12" s="552">
        <f>SUM(E10:E11)</f>
        <v>1102551.99</v>
      </c>
      <c r="F12" s="552">
        <f>SUM(F10:F11)</f>
        <v>0</v>
      </c>
      <c r="G12" s="552">
        <f>SUM(G10:G11)</f>
        <v>1102551.99</v>
      </c>
      <c r="H12" s="592"/>
      <c r="I12" s="747"/>
      <c r="J12" s="748">
        <f>SUM(J10:J11)</f>
        <v>90598.291885713843</v>
      </c>
    </row>
    <row r="13" spans="1:14">
      <c r="A13" s="580">
        <f t="shared" si="0"/>
        <v>7</v>
      </c>
      <c r="B13" s="593"/>
      <c r="C13" s="594"/>
      <c r="D13" s="594"/>
      <c r="E13" s="162"/>
      <c r="F13" s="162"/>
      <c r="G13" s="588"/>
      <c r="H13" s="583"/>
    </row>
    <row r="14" spans="1:14">
      <c r="A14" s="580">
        <f t="shared" si="0"/>
        <v>8</v>
      </c>
    </row>
    <row r="15" spans="1:14">
      <c r="A15" s="580">
        <f t="shared" si="0"/>
        <v>9</v>
      </c>
      <c r="B15" s="573" t="s">
        <v>805</v>
      </c>
      <c r="C15" s="88"/>
      <c r="D15" s="88"/>
      <c r="E15" s="88"/>
      <c r="F15" s="88"/>
      <c r="G15" s="88"/>
      <c r="H15" s="88"/>
      <c r="I15" s="575"/>
      <c r="J15" s="162"/>
      <c r="K15" s="595"/>
    </row>
    <row r="16" spans="1:14" s="289" customFormat="1">
      <c r="A16" s="580">
        <f t="shared" si="0"/>
        <v>10</v>
      </c>
      <c r="F16" s="540"/>
      <c r="G16" s="540"/>
      <c r="H16" s="540" t="s">
        <v>234</v>
      </c>
      <c r="I16" s="540" t="s">
        <v>175</v>
      </c>
      <c r="K16" s="540"/>
      <c r="L16" s="540" t="s">
        <v>237</v>
      </c>
      <c r="M16" s="540"/>
      <c r="N16" s="540"/>
    </row>
    <row r="17" spans="1:16" s="289" customFormat="1">
      <c r="A17" s="580">
        <f t="shared" si="0"/>
        <v>11</v>
      </c>
      <c r="B17" s="539"/>
      <c r="F17" s="540"/>
      <c r="G17" s="540"/>
      <c r="H17" s="540" t="s">
        <v>176</v>
      </c>
      <c r="I17" s="540" t="s">
        <v>177</v>
      </c>
      <c r="J17" s="540" t="s">
        <v>235</v>
      </c>
      <c r="K17" s="540" t="s">
        <v>237</v>
      </c>
      <c r="L17" s="540" t="s">
        <v>179</v>
      </c>
      <c r="M17" s="540" t="s">
        <v>239</v>
      </c>
      <c r="N17" s="540"/>
    </row>
    <row r="18" spans="1:16" s="289" customFormat="1">
      <c r="A18" s="580">
        <f t="shared" si="0"/>
        <v>12</v>
      </c>
      <c r="F18" s="540" t="s">
        <v>232</v>
      </c>
      <c r="G18" s="540" t="s">
        <v>180</v>
      </c>
      <c r="H18" s="540" t="s">
        <v>181</v>
      </c>
      <c r="I18" s="540" t="s">
        <v>182</v>
      </c>
      <c r="J18" s="540" t="s">
        <v>178</v>
      </c>
      <c r="K18" s="540" t="s">
        <v>183</v>
      </c>
      <c r="L18" s="540" t="s">
        <v>184</v>
      </c>
      <c r="M18" s="540" t="s">
        <v>184</v>
      </c>
      <c r="N18" s="540"/>
    </row>
    <row r="19" spans="1:16" s="289" customFormat="1">
      <c r="A19" s="580">
        <f t="shared" si="0"/>
        <v>13</v>
      </c>
      <c r="D19" s="293"/>
      <c r="E19" s="293"/>
      <c r="F19" s="248" t="s">
        <v>233</v>
      </c>
      <c r="G19" s="248" t="s">
        <v>231</v>
      </c>
      <c r="H19" s="248" t="s">
        <v>185</v>
      </c>
      <c r="I19" s="248" t="s">
        <v>186</v>
      </c>
      <c r="J19" s="248" t="s">
        <v>236</v>
      </c>
      <c r="K19" s="248" t="s">
        <v>238</v>
      </c>
      <c r="L19" s="248" t="s">
        <v>187</v>
      </c>
      <c r="M19" s="248" t="s">
        <v>187</v>
      </c>
      <c r="N19" s="248" t="s">
        <v>188</v>
      </c>
    </row>
    <row r="20" spans="1:16" s="289" customFormat="1">
      <c r="A20" s="580">
        <f t="shared" si="0"/>
        <v>14</v>
      </c>
      <c r="B20" s="540"/>
      <c r="C20" s="540"/>
      <c r="D20" s="248" t="s">
        <v>189</v>
      </c>
      <c r="E20" s="248" t="s">
        <v>556</v>
      </c>
      <c r="F20" s="248" t="s">
        <v>223</v>
      </c>
      <c r="G20" s="248" t="s">
        <v>224</v>
      </c>
      <c r="H20" s="248" t="s">
        <v>225</v>
      </c>
      <c r="I20" s="248" t="s">
        <v>226</v>
      </c>
      <c r="J20" s="248" t="s">
        <v>227</v>
      </c>
      <c r="K20" s="248" t="s">
        <v>228</v>
      </c>
      <c r="L20" s="248" t="s">
        <v>229</v>
      </c>
      <c r="M20" s="248" t="s">
        <v>230</v>
      </c>
      <c r="N20" s="248" t="s">
        <v>4</v>
      </c>
      <c r="P20" s="596"/>
    </row>
    <row r="21" spans="1:16" s="289" customFormat="1">
      <c r="A21" s="580">
        <f t="shared" si="0"/>
        <v>15</v>
      </c>
      <c r="B21" s="597" t="s">
        <v>190</v>
      </c>
      <c r="C21" s="597" t="s">
        <v>191</v>
      </c>
      <c r="D21" s="598" t="s">
        <v>192</v>
      </c>
      <c r="E21" s="598" t="s">
        <v>557</v>
      </c>
      <c r="F21" s="581"/>
      <c r="G21" s="581"/>
      <c r="H21" s="581"/>
      <c r="I21" s="581"/>
      <c r="J21" s="581"/>
      <c r="K21" s="581"/>
      <c r="L21" s="581"/>
      <c r="M21" s="581"/>
      <c r="N21" s="581" t="s">
        <v>193</v>
      </c>
    </row>
    <row r="22" spans="1:16" s="289" customFormat="1">
      <c r="A22" s="580">
        <f t="shared" si="0"/>
        <v>16</v>
      </c>
      <c r="D22" s="293"/>
      <c r="E22" s="599" t="s">
        <v>157</v>
      </c>
      <c r="F22" s="599" t="s">
        <v>158</v>
      </c>
      <c r="G22" s="599" t="s">
        <v>159</v>
      </c>
      <c r="H22" s="599" t="s">
        <v>160</v>
      </c>
      <c r="I22" s="599" t="s">
        <v>161</v>
      </c>
      <c r="J22" s="599" t="s">
        <v>162</v>
      </c>
      <c r="K22" s="599" t="s">
        <v>163</v>
      </c>
      <c r="L22" s="599" t="s">
        <v>164</v>
      </c>
      <c r="M22" s="599" t="s">
        <v>194</v>
      </c>
      <c r="N22" s="599" t="s">
        <v>195</v>
      </c>
      <c r="O22" s="599"/>
    </row>
    <row r="23" spans="1:16" s="289" customFormat="1">
      <c r="A23" s="580">
        <f t="shared" si="0"/>
        <v>17</v>
      </c>
    </row>
    <row r="24" spans="1:16" s="289" customFormat="1">
      <c r="A24" s="580">
        <f t="shared" si="0"/>
        <v>18</v>
      </c>
      <c r="B24" s="600" t="s">
        <v>196</v>
      </c>
      <c r="C24" s="600" t="s">
        <v>1235</v>
      </c>
      <c r="D24" s="601"/>
      <c r="E24" s="602"/>
      <c r="F24" s="603"/>
      <c r="G24" s="604"/>
      <c r="H24" s="603"/>
      <c r="I24" s="603">
        <v>600126</v>
      </c>
      <c r="J24" s="603"/>
      <c r="K24" s="603"/>
      <c r="L24" s="603"/>
      <c r="M24" s="603"/>
      <c r="N24" s="603">
        <f>SUM(F24:M24)</f>
        <v>600126</v>
      </c>
    </row>
    <row r="25" spans="1:16" s="289" customFormat="1">
      <c r="A25" s="580">
        <f t="shared" si="0"/>
        <v>19</v>
      </c>
      <c r="B25" s="600" t="s">
        <v>196</v>
      </c>
      <c r="C25" s="600" t="s">
        <v>1236</v>
      </c>
      <c r="D25" s="601"/>
      <c r="E25" s="602"/>
      <c r="F25" s="603">
        <v>43</v>
      </c>
      <c r="G25" s="603"/>
      <c r="H25" s="603"/>
      <c r="I25" s="603">
        <v>5</v>
      </c>
      <c r="J25" s="603"/>
      <c r="K25" s="603"/>
      <c r="L25" s="603"/>
      <c r="M25" s="603"/>
      <c r="N25" s="603">
        <f>SUM(F25:M25)</f>
        <v>48</v>
      </c>
      <c r="P25" s="605"/>
    </row>
    <row r="26" spans="1:16" s="289" customFormat="1">
      <c r="A26" s="580">
        <f t="shared" si="0"/>
        <v>20</v>
      </c>
      <c r="B26" s="600"/>
      <c r="C26" s="600"/>
      <c r="D26" s="601"/>
      <c r="E26" s="602"/>
      <c r="F26" s="603"/>
      <c r="G26" s="604"/>
      <c r="H26" s="603"/>
      <c r="I26" s="603"/>
      <c r="J26" s="603"/>
      <c r="K26" s="603"/>
      <c r="L26" s="603"/>
      <c r="M26" s="603"/>
      <c r="N26" s="603">
        <f>SUM(F26:M26)</f>
        <v>0</v>
      </c>
      <c r="P26" s="605"/>
    </row>
    <row r="27" spans="1:16" s="289" customFormat="1">
      <c r="A27" s="580">
        <f t="shared" si="0"/>
        <v>21</v>
      </c>
      <c r="B27" s="600"/>
      <c r="C27" s="600"/>
      <c r="D27" s="601"/>
      <c r="E27" s="602"/>
      <c r="F27" s="603"/>
      <c r="G27" s="603"/>
      <c r="H27" s="603"/>
      <c r="I27" s="603"/>
      <c r="J27" s="603"/>
      <c r="K27" s="603"/>
      <c r="L27" s="603"/>
      <c r="M27" s="603"/>
      <c r="N27" s="603">
        <f>SUM(F27:M27)</f>
        <v>0</v>
      </c>
    </row>
    <row r="28" spans="1:16" s="289" customFormat="1">
      <c r="A28" s="580">
        <f t="shared" si="0"/>
        <v>22</v>
      </c>
      <c r="B28" s="600"/>
      <c r="C28" s="600"/>
      <c r="D28" s="601"/>
      <c r="E28" s="602"/>
      <c r="F28" s="603"/>
      <c r="G28" s="603"/>
      <c r="H28" s="603"/>
      <c r="I28" s="603"/>
      <c r="J28" s="603"/>
      <c r="K28" s="603"/>
      <c r="L28" s="603"/>
      <c r="M28" s="603"/>
      <c r="N28" s="603"/>
    </row>
    <row r="29" spans="1:16" s="289" customFormat="1">
      <c r="A29" s="580">
        <f t="shared" si="0"/>
        <v>23</v>
      </c>
      <c r="B29" s="600"/>
      <c r="C29" s="600"/>
      <c r="D29" s="600"/>
      <c r="E29" s="602"/>
      <c r="F29" s="603"/>
      <c r="G29" s="603"/>
      <c r="H29" s="603"/>
      <c r="I29" s="603"/>
      <c r="J29" s="603"/>
      <c r="K29" s="603"/>
      <c r="L29" s="603"/>
      <c r="M29" s="603"/>
      <c r="N29" s="603"/>
    </row>
    <row r="30" spans="1:16" s="289" customFormat="1">
      <c r="A30" s="580">
        <f t="shared" si="0"/>
        <v>24</v>
      </c>
      <c r="B30" s="600"/>
      <c r="C30" s="600"/>
      <c r="D30" s="601"/>
      <c r="E30" s="602"/>
      <c r="F30" s="603"/>
      <c r="G30" s="603"/>
      <c r="H30" s="603"/>
      <c r="I30" s="603"/>
      <c r="J30" s="603"/>
      <c r="K30" s="603"/>
      <c r="L30" s="603"/>
      <c r="M30" s="603"/>
      <c r="N30" s="603"/>
    </row>
    <row r="31" spans="1:16" s="289" customFormat="1">
      <c r="A31" s="580">
        <f t="shared" si="0"/>
        <v>25</v>
      </c>
      <c r="B31" s="600"/>
      <c r="C31" s="600"/>
      <c r="D31" s="601"/>
      <c r="E31" s="602"/>
      <c r="F31" s="603"/>
      <c r="G31" s="603"/>
      <c r="H31" s="603"/>
      <c r="I31" s="603"/>
      <c r="J31" s="603"/>
      <c r="K31" s="603"/>
      <c r="L31" s="603"/>
      <c r="M31" s="603"/>
      <c r="N31" s="603"/>
    </row>
    <row r="32" spans="1:16" s="289" customFormat="1">
      <c r="A32" s="580">
        <f t="shared" si="0"/>
        <v>26</v>
      </c>
      <c r="B32" s="600"/>
      <c r="C32" s="600"/>
      <c r="D32" s="601"/>
      <c r="E32" s="602"/>
      <c r="F32" s="603"/>
      <c r="G32" s="603"/>
      <c r="H32" s="603"/>
      <c r="I32" s="603"/>
      <c r="J32" s="603"/>
      <c r="K32" s="603"/>
      <c r="L32" s="603"/>
      <c r="M32" s="603"/>
      <c r="N32" s="603"/>
    </row>
    <row r="33" spans="1:16" s="289" customFormat="1">
      <c r="A33" s="580">
        <f t="shared" si="0"/>
        <v>27</v>
      </c>
      <c r="B33" s="600"/>
      <c r="C33" s="600"/>
      <c r="D33" s="601"/>
      <c r="E33" s="602"/>
      <c r="F33" s="603"/>
      <c r="G33" s="603"/>
      <c r="H33" s="603"/>
      <c r="I33" s="603"/>
      <c r="J33" s="603"/>
      <c r="K33" s="603"/>
      <c r="L33" s="603"/>
      <c r="M33" s="603"/>
      <c r="N33" s="603"/>
    </row>
    <row r="34" spans="1:16" s="289" customFormat="1">
      <c r="A34" s="580">
        <f t="shared" si="0"/>
        <v>28</v>
      </c>
      <c r="B34" s="600"/>
      <c r="C34" s="600"/>
      <c r="D34" s="600"/>
      <c r="E34" s="602"/>
      <c r="F34" s="603"/>
      <c r="G34" s="603"/>
      <c r="H34" s="603"/>
      <c r="I34" s="603"/>
      <c r="J34" s="603"/>
      <c r="K34" s="603"/>
      <c r="L34" s="603"/>
      <c r="M34" s="603"/>
      <c r="N34" s="603"/>
    </row>
    <row r="35" spans="1:16" s="289" customFormat="1">
      <c r="A35" s="580">
        <f t="shared" si="0"/>
        <v>29</v>
      </c>
      <c r="B35" s="600"/>
      <c r="C35" s="600"/>
      <c r="D35" s="600"/>
      <c r="E35" s="602"/>
      <c r="F35" s="603"/>
      <c r="G35" s="603"/>
      <c r="H35" s="603"/>
      <c r="I35" s="603"/>
      <c r="J35" s="603"/>
      <c r="K35" s="603"/>
      <c r="L35" s="603"/>
      <c r="M35" s="603"/>
      <c r="N35" s="603"/>
    </row>
    <row r="36" spans="1:16" s="289" customFormat="1">
      <c r="A36" s="580">
        <f t="shared" si="0"/>
        <v>30</v>
      </c>
      <c r="B36" s="600"/>
      <c r="C36" s="600"/>
      <c r="D36" s="600"/>
      <c r="E36" s="600"/>
      <c r="F36" s="603"/>
      <c r="G36" s="603"/>
      <c r="H36" s="603"/>
      <c r="I36" s="603"/>
      <c r="J36" s="603"/>
      <c r="K36" s="603"/>
      <c r="L36" s="603"/>
      <c r="M36" s="603"/>
      <c r="N36" s="603"/>
      <c r="P36" s="605"/>
    </row>
    <row r="37" spans="1:16" s="289" customFormat="1">
      <c r="A37" s="580">
        <f t="shared" si="0"/>
        <v>31</v>
      </c>
      <c r="B37" s="600"/>
      <c r="C37" s="600"/>
      <c r="D37" s="600"/>
      <c r="E37" s="602"/>
      <c r="F37" s="603"/>
      <c r="G37" s="603"/>
      <c r="H37" s="603"/>
      <c r="I37" s="603"/>
      <c r="J37" s="603"/>
      <c r="K37" s="603"/>
      <c r="L37" s="603"/>
      <c r="M37" s="603"/>
      <c r="N37" s="603"/>
    </row>
    <row r="38" spans="1:16" s="289" customFormat="1">
      <c r="A38" s="580">
        <f t="shared" si="0"/>
        <v>32</v>
      </c>
      <c r="B38" s="600"/>
      <c r="C38" s="600"/>
      <c r="D38" s="601"/>
      <c r="E38" s="602"/>
      <c r="F38" s="603"/>
      <c r="G38" s="603"/>
      <c r="H38" s="603"/>
      <c r="I38" s="603"/>
      <c r="J38" s="603"/>
      <c r="K38" s="603"/>
      <c r="L38" s="603"/>
      <c r="M38" s="603"/>
      <c r="N38" s="603"/>
    </row>
    <row r="39" spans="1:16" s="289" customFormat="1">
      <c r="A39" s="580">
        <f t="shared" si="0"/>
        <v>33</v>
      </c>
      <c r="B39" s="600"/>
      <c r="C39" s="600"/>
      <c r="D39" s="601"/>
      <c r="E39" s="602"/>
      <c r="F39" s="603"/>
      <c r="G39" s="603"/>
      <c r="H39" s="603"/>
      <c r="I39" s="603"/>
      <c r="J39" s="603"/>
      <c r="K39" s="603"/>
      <c r="L39" s="603"/>
      <c r="M39" s="603"/>
      <c r="N39" s="603"/>
    </row>
    <row r="40" spans="1:16" s="289" customFormat="1">
      <c r="A40" s="580">
        <f t="shared" si="0"/>
        <v>34</v>
      </c>
      <c r="B40" s="600"/>
      <c r="C40" s="600"/>
      <c r="D40" s="601"/>
      <c r="E40" s="602"/>
      <c r="F40" s="603"/>
      <c r="G40" s="603"/>
      <c r="H40" s="603"/>
      <c r="I40" s="603"/>
      <c r="J40" s="603"/>
      <c r="K40" s="603"/>
      <c r="L40" s="603"/>
      <c r="M40" s="603"/>
      <c r="N40" s="603"/>
    </row>
    <row r="41" spans="1:16" s="289" customFormat="1">
      <c r="A41" s="580">
        <f t="shared" si="0"/>
        <v>35</v>
      </c>
      <c r="B41" s="600"/>
      <c r="C41" s="600"/>
      <c r="D41" s="601"/>
      <c r="E41" s="602"/>
      <c r="F41" s="603"/>
      <c r="G41" s="603"/>
      <c r="H41" s="603"/>
      <c r="I41" s="603"/>
      <c r="J41" s="603"/>
      <c r="K41" s="603"/>
      <c r="L41" s="603"/>
      <c r="M41" s="603"/>
      <c r="N41" s="603"/>
    </row>
    <row r="42" spans="1:16" s="289" customFormat="1">
      <c r="A42" s="580">
        <f t="shared" si="0"/>
        <v>36</v>
      </c>
      <c r="B42" s="600"/>
      <c r="C42" s="600"/>
      <c r="D42" s="600"/>
      <c r="E42" s="602"/>
      <c r="F42" s="603"/>
      <c r="G42" s="603"/>
      <c r="H42" s="603"/>
      <c r="I42" s="603"/>
      <c r="J42" s="603"/>
      <c r="K42" s="603"/>
      <c r="L42" s="603"/>
      <c r="M42" s="603"/>
      <c r="N42" s="603"/>
    </row>
    <row r="43" spans="1:16" s="289" customFormat="1">
      <c r="A43" s="580">
        <f t="shared" si="0"/>
        <v>37</v>
      </c>
      <c r="B43" s="600"/>
      <c r="C43" s="600"/>
      <c r="D43" s="600"/>
      <c r="E43" s="602"/>
      <c r="F43" s="603"/>
      <c r="G43" s="603"/>
      <c r="H43" s="603"/>
      <c r="I43" s="603"/>
      <c r="J43" s="603"/>
      <c r="K43" s="603"/>
      <c r="L43" s="603"/>
      <c r="M43" s="603"/>
      <c r="N43" s="603"/>
    </row>
    <row r="44" spans="1:16" s="289" customFormat="1">
      <c r="A44" s="580">
        <f t="shared" si="0"/>
        <v>38</v>
      </c>
      <c r="B44" s="606"/>
      <c r="C44" s="606"/>
      <c r="D44" s="606"/>
      <c r="E44" s="606"/>
      <c r="F44" s="607"/>
      <c r="G44" s="607"/>
      <c r="H44" s="607"/>
      <c r="I44" s="607"/>
      <c r="J44" s="607"/>
      <c r="K44" s="607"/>
      <c r="L44" s="607"/>
      <c r="M44" s="607"/>
      <c r="N44" s="607"/>
    </row>
    <row r="45" spans="1:16" s="289" customFormat="1">
      <c r="A45" s="580">
        <f t="shared" si="0"/>
        <v>39</v>
      </c>
      <c r="B45" s="608"/>
      <c r="C45" s="608" t="s">
        <v>9</v>
      </c>
      <c r="D45" s="608"/>
      <c r="E45" s="609"/>
      <c r="F45" s="609">
        <f t="shared" ref="F45:N45" si="1">SUM(F24:F44)</f>
        <v>43</v>
      </c>
      <c r="G45" s="609">
        <f t="shared" si="1"/>
        <v>0</v>
      </c>
      <c r="H45" s="609">
        <f t="shared" si="1"/>
        <v>0</v>
      </c>
      <c r="I45" s="609">
        <f t="shared" si="1"/>
        <v>600131</v>
      </c>
      <c r="J45" s="609">
        <f t="shared" si="1"/>
        <v>0</v>
      </c>
      <c r="K45" s="609">
        <f t="shared" si="1"/>
        <v>0</v>
      </c>
      <c r="L45" s="609">
        <f t="shared" si="1"/>
        <v>0</v>
      </c>
      <c r="M45" s="609">
        <f t="shared" si="1"/>
        <v>0</v>
      </c>
      <c r="N45" s="609">
        <f t="shared" si="1"/>
        <v>600174</v>
      </c>
      <c r="O45" s="610"/>
    </row>
    <row r="46" spans="1:16" s="289" customFormat="1">
      <c r="A46" s="580">
        <f t="shared" si="0"/>
        <v>40</v>
      </c>
      <c r="B46" s="293"/>
      <c r="C46" s="293"/>
      <c r="D46" s="293"/>
      <c r="E46" s="279"/>
      <c r="F46" s="611"/>
      <c r="G46" s="611"/>
      <c r="H46" s="611"/>
      <c r="I46" s="611"/>
      <c r="J46" s="611"/>
      <c r="K46" s="611"/>
      <c r="L46" s="611"/>
      <c r="M46" s="611"/>
      <c r="N46" s="614"/>
      <c r="O46" s="610"/>
    </row>
    <row r="47" spans="1:16" s="289" customFormat="1">
      <c r="A47" s="580">
        <f t="shared" si="0"/>
        <v>41</v>
      </c>
      <c r="B47" s="612" t="s">
        <v>199</v>
      </c>
      <c r="C47" s="293"/>
      <c r="D47" s="293"/>
      <c r="E47" s="613"/>
      <c r="F47" s="611"/>
      <c r="G47" s="611"/>
      <c r="H47" s="611"/>
      <c r="I47" s="611"/>
      <c r="J47" s="611"/>
      <c r="K47" s="611"/>
      <c r="L47" s="611"/>
      <c r="M47" s="611"/>
      <c r="N47" s="611"/>
    </row>
    <row r="48" spans="1:16" s="539" customFormat="1" ht="15" customHeight="1">
      <c r="A48" s="580">
        <f t="shared" si="0"/>
        <v>42</v>
      </c>
      <c r="B48" s="293" t="s">
        <v>196</v>
      </c>
      <c r="C48" s="293"/>
      <c r="D48" s="293"/>
      <c r="E48" s="293"/>
      <c r="F48" s="614">
        <f t="shared" ref="F48:N51" si="2">SUMIF($B$24:$B$44,$B48,F$24:F$44)</f>
        <v>43</v>
      </c>
      <c r="G48" s="614">
        <f t="shared" si="2"/>
        <v>0</v>
      </c>
      <c r="H48" s="614">
        <f t="shared" si="2"/>
        <v>0</v>
      </c>
      <c r="I48" s="614">
        <f t="shared" si="2"/>
        <v>600131</v>
      </c>
      <c r="J48" s="614">
        <f t="shared" si="2"/>
        <v>0</v>
      </c>
      <c r="K48" s="614">
        <f t="shared" si="2"/>
        <v>0</v>
      </c>
      <c r="L48" s="614">
        <f t="shared" si="2"/>
        <v>0</v>
      </c>
      <c r="M48" s="614">
        <f t="shared" si="2"/>
        <v>0</v>
      </c>
      <c r="N48" s="614">
        <f t="shared" si="2"/>
        <v>600174</v>
      </c>
    </row>
    <row r="49" spans="1:14" s="289" customFormat="1">
      <c r="A49" s="580">
        <f t="shared" si="0"/>
        <v>43</v>
      </c>
      <c r="B49" s="293" t="s">
        <v>197</v>
      </c>
      <c r="C49" s="293"/>
      <c r="D49" s="293"/>
      <c r="E49" s="293"/>
      <c r="F49" s="614">
        <f t="shared" si="2"/>
        <v>0</v>
      </c>
      <c r="G49" s="614">
        <f t="shared" si="2"/>
        <v>0</v>
      </c>
      <c r="H49" s="614">
        <f t="shared" si="2"/>
        <v>0</v>
      </c>
      <c r="I49" s="614">
        <f t="shared" si="2"/>
        <v>0</v>
      </c>
      <c r="J49" s="614">
        <f t="shared" si="2"/>
        <v>0</v>
      </c>
      <c r="K49" s="614">
        <f t="shared" si="2"/>
        <v>0</v>
      </c>
      <c r="L49" s="614">
        <f t="shared" si="2"/>
        <v>0</v>
      </c>
      <c r="M49" s="614">
        <f t="shared" si="2"/>
        <v>0</v>
      </c>
      <c r="N49" s="614">
        <f t="shared" si="2"/>
        <v>0</v>
      </c>
    </row>
    <row r="50" spans="1:14" s="289" customFormat="1">
      <c r="A50" s="580">
        <f t="shared" si="0"/>
        <v>44</v>
      </c>
      <c r="B50" s="293" t="s">
        <v>198</v>
      </c>
      <c r="C50" s="293"/>
      <c r="D50" s="293"/>
      <c r="E50" s="293"/>
      <c r="F50" s="614">
        <f t="shared" si="2"/>
        <v>0</v>
      </c>
      <c r="G50" s="614">
        <f t="shared" si="2"/>
        <v>0</v>
      </c>
      <c r="H50" s="614">
        <f t="shared" si="2"/>
        <v>0</v>
      </c>
      <c r="I50" s="614">
        <f t="shared" si="2"/>
        <v>0</v>
      </c>
      <c r="J50" s="614">
        <f t="shared" si="2"/>
        <v>0</v>
      </c>
      <c r="K50" s="614">
        <f t="shared" si="2"/>
        <v>0</v>
      </c>
      <c r="L50" s="614">
        <f t="shared" si="2"/>
        <v>0</v>
      </c>
      <c r="M50" s="614">
        <f t="shared" si="2"/>
        <v>0</v>
      </c>
      <c r="N50" s="614">
        <f t="shared" si="2"/>
        <v>0</v>
      </c>
    </row>
    <row r="51" spans="1:14" s="289" customFormat="1">
      <c r="A51" s="580">
        <f t="shared" si="0"/>
        <v>45</v>
      </c>
      <c r="B51" s="293" t="s">
        <v>200</v>
      </c>
      <c r="C51" s="293"/>
      <c r="D51" s="293"/>
      <c r="E51" s="293"/>
      <c r="F51" s="614">
        <f t="shared" si="2"/>
        <v>0</v>
      </c>
      <c r="G51" s="614">
        <f t="shared" si="2"/>
        <v>0</v>
      </c>
      <c r="H51" s="614">
        <f t="shared" si="2"/>
        <v>0</v>
      </c>
      <c r="I51" s="614">
        <f t="shared" si="2"/>
        <v>0</v>
      </c>
      <c r="J51" s="614">
        <f t="shared" si="2"/>
        <v>0</v>
      </c>
      <c r="K51" s="614">
        <f t="shared" si="2"/>
        <v>0</v>
      </c>
      <c r="L51" s="614">
        <f t="shared" si="2"/>
        <v>0</v>
      </c>
      <c r="M51" s="614">
        <f t="shared" si="2"/>
        <v>0</v>
      </c>
      <c r="N51" s="614">
        <f t="shared" si="2"/>
        <v>0</v>
      </c>
    </row>
    <row r="52" spans="1:14" s="289" customFormat="1">
      <c r="A52" s="580">
        <f t="shared" si="0"/>
        <v>46</v>
      </c>
      <c r="B52" s="608" t="s">
        <v>9</v>
      </c>
      <c r="C52" s="608"/>
      <c r="D52" s="608"/>
      <c r="E52" s="608"/>
      <c r="F52" s="609">
        <f t="shared" ref="F52" si="3">SUM(F48:F51)</f>
        <v>43</v>
      </c>
      <c r="G52" s="609">
        <f t="shared" ref="G52:M52" si="4">SUM(G48:G51)</f>
        <v>0</v>
      </c>
      <c r="H52" s="609">
        <f t="shared" si="4"/>
        <v>0</v>
      </c>
      <c r="I52" s="609">
        <f t="shared" si="4"/>
        <v>600131</v>
      </c>
      <c r="J52" s="609">
        <f t="shared" si="4"/>
        <v>0</v>
      </c>
      <c r="K52" s="609">
        <f t="shared" si="4"/>
        <v>0</v>
      </c>
      <c r="L52" s="609">
        <f t="shared" si="4"/>
        <v>0</v>
      </c>
      <c r="M52" s="609">
        <f t="shared" si="4"/>
        <v>0</v>
      </c>
      <c r="N52" s="609">
        <f>SUM(N48:N51)</f>
        <v>600174</v>
      </c>
    </row>
    <row r="53" spans="1:14" s="289" customFormat="1">
      <c r="A53" s="580">
        <f t="shared" si="0"/>
        <v>47</v>
      </c>
      <c r="F53" s="615"/>
      <c r="G53" s="615"/>
      <c r="H53" s="615"/>
      <c r="I53" s="615"/>
      <c r="J53" s="615"/>
      <c r="K53" s="615"/>
      <c r="L53" s="615"/>
      <c r="M53" s="615"/>
      <c r="N53" s="615"/>
    </row>
    <row r="54" spans="1:14" s="289" customFormat="1">
      <c r="A54" s="580">
        <f t="shared" si="0"/>
        <v>48</v>
      </c>
      <c r="B54" s="616" t="s">
        <v>555</v>
      </c>
    </row>
    <row r="55" spans="1:14" s="289" customFormat="1">
      <c r="A55" s="580">
        <f t="shared" si="0"/>
        <v>49</v>
      </c>
      <c r="B55" s="289" t="s">
        <v>198</v>
      </c>
      <c r="C55" s="289" t="s">
        <v>201</v>
      </c>
    </row>
    <row r="56" spans="1:14" s="289" customFormat="1">
      <c r="A56" s="580">
        <f t="shared" si="0"/>
        <v>50</v>
      </c>
      <c r="B56" s="289" t="s">
        <v>197</v>
      </c>
      <c r="C56" s="289" t="s">
        <v>202</v>
      </c>
    </row>
    <row r="57" spans="1:14" s="289" customFormat="1">
      <c r="A57" s="580">
        <f t="shared" si="0"/>
        <v>51</v>
      </c>
      <c r="B57" s="289" t="s">
        <v>196</v>
      </c>
      <c r="C57" s="289" t="s">
        <v>203</v>
      </c>
    </row>
    <row r="58" spans="1:14">
      <c r="A58" s="580"/>
    </row>
    <row r="59" spans="1:14">
      <c r="A59" s="617" t="s">
        <v>174</v>
      </c>
    </row>
    <row r="60" spans="1:14" ht="12.75" customHeight="1">
      <c r="A60" s="33" t="s">
        <v>79</v>
      </c>
      <c r="B60" s="948" t="s">
        <v>90</v>
      </c>
      <c r="C60" s="948"/>
      <c r="D60" s="948"/>
      <c r="E60" s="948"/>
      <c r="F60" s="948"/>
      <c r="G60" s="948"/>
      <c r="H60" s="948"/>
      <c r="I60" s="948"/>
      <c r="J60" s="948"/>
      <c r="K60" s="948"/>
      <c r="L60" s="948"/>
      <c r="M60" s="948"/>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F49"/>
  <sheetViews>
    <sheetView workbookViewId="0">
      <selection activeCell="B5" sqref="B5"/>
    </sheetView>
  </sheetViews>
  <sheetFormatPr defaultColWidth="7.07421875" defaultRowHeight="13"/>
  <cols>
    <col min="1" max="1" width="5.53515625" style="267" customWidth="1"/>
    <col min="2" max="2" width="35.53515625" style="267" customWidth="1"/>
    <col min="3" max="3" width="24.23046875" style="267" customWidth="1"/>
    <col min="4" max="4" width="11.07421875" style="281" customWidth="1"/>
    <col min="5" max="5" width="7.07421875" style="267"/>
    <col min="6" max="6" width="8.69140625" style="267" bestFit="1" customWidth="1"/>
    <col min="7" max="16384" width="7.07421875" style="267"/>
  </cols>
  <sheetData>
    <row r="1" spans="1:6" ht="14.25" customHeight="1">
      <c r="A1" s="974" t="s">
        <v>532</v>
      </c>
      <c r="B1" s="974"/>
      <c r="C1" s="974"/>
      <c r="D1" s="974"/>
      <c r="F1" s="268"/>
    </row>
    <row r="2" spans="1:6">
      <c r="A2" s="974" t="s">
        <v>206</v>
      </c>
      <c r="B2" s="974"/>
      <c r="C2" s="974"/>
      <c r="D2" s="974"/>
    </row>
    <row r="3" spans="1:6">
      <c r="A3" s="975" t="str">
        <f>'Act Att-H'!C7</f>
        <v>Cheyenne Light, Fuel &amp; Power</v>
      </c>
      <c r="B3" s="974"/>
      <c r="C3" s="974"/>
      <c r="D3" s="974"/>
    </row>
    <row r="4" spans="1:6">
      <c r="B4" s="269"/>
      <c r="C4" s="269"/>
      <c r="D4" s="270" t="s">
        <v>673</v>
      </c>
    </row>
    <row r="5" spans="1:6">
      <c r="B5" s="269"/>
      <c r="C5" s="269"/>
      <c r="D5" s="269"/>
    </row>
    <row r="6" spans="1:6">
      <c r="A6" s="271" t="s">
        <v>4</v>
      </c>
      <c r="C6" s="272" t="s">
        <v>20</v>
      </c>
      <c r="D6" s="273"/>
    </row>
    <row r="7" spans="1:6">
      <c r="A7" s="274" t="s">
        <v>6</v>
      </c>
      <c r="B7" s="274" t="s">
        <v>478</v>
      </c>
      <c r="C7" s="275" t="s">
        <v>22</v>
      </c>
      <c r="D7" s="276" t="s">
        <v>23</v>
      </c>
    </row>
    <row r="8" spans="1:6" ht="13.4" customHeight="1">
      <c r="A8" s="271">
        <v>1</v>
      </c>
      <c r="B8" s="267" t="s">
        <v>207</v>
      </c>
      <c r="C8" s="267" t="s">
        <v>208</v>
      </c>
      <c r="D8" s="277">
        <v>63312.490000000005</v>
      </c>
      <c r="E8" s="278"/>
    </row>
    <row r="9" spans="1:6" ht="13.4" customHeight="1">
      <c r="A9" s="271">
        <v>2</v>
      </c>
      <c r="B9" s="267" t="s">
        <v>209</v>
      </c>
      <c r="C9" s="278" t="s">
        <v>210</v>
      </c>
      <c r="D9" s="277">
        <v>653056.64999999991</v>
      </c>
      <c r="E9" s="278"/>
    </row>
    <row r="10" spans="1:6" ht="13.4" customHeight="1">
      <c r="A10" s="271">
        <v>3</v>
      </c>
      <c r="B10" s="267" t="s">
        <v>211</v>
      </c>
      <c r="C10" s="267" t="s">
        <v>212</v>
      </c>
      <c r="D10" s="277">
        <v>148770.98999999993</v>
      </c>
    </row>
    <row r="11" spans="1:6" ht="13.4" customHeight="1">
      <c r="A11" s="271">
        <v>4</v>
      </c>
      <c r="B11" s="278" t="s">
        <v>1113</v>
      </c>
      <c r="C11" s="278" t="s">
        <v>476</v>
      </c>
      <c r="D11" s="277">
        <v>85.72</v>
      </c>
    </row>
    <row r="12" spans="1:6" ht="13.4" customHeight="1">
      <c r="A12" s="271" t="s">
        <v>1078</v>
      </c>
      <c r="B12" s="278" t="s">
        <v>1094</v>
      </c>
      <c r="C12" s="278" t="s">
        <v>918</v>
      </c>
      <c r="D12" s="277">
        <v>0</v>
      </c>
    </row>
    <row r="13" spans="1:6" ht="13.4" customHeight="1">
      <c r="A13" s="271" t="s">
        <v>1079</v>
      </c>
      <c r="B13" s="278" t="s">
        <v>1095</v>
      </c>
      <c r="C13" s="278" t="s">
        <v>918</v>
      </c>
      <c r="D13" s="277">
        <v>0</v>
      </c>
    </row>
    <row r="14" spans="1:6" ht="13.4" customHeight="1" thickBot="1">
      <c r="A14" s="271">
        <v>5</v>
      </c>
      <c r="B14" s="278" t="s">
        <v>263</v>
      </c>
      <c r="C14" s="893" t="s">
        <v>1112</v>
      </c>
      <c r="D14" s="280">
        <f>SUM(D8:D10,D12:D13)-D11</f>
        <v>865054.40999999992</v>
      </c>
    </row>
    <row r="15" spans="1:6" ht="13.4" customHeight="1" thickTop="1">
      <c r="A15" s="271">
        <v>6</v>
      </c>
    </row>
    <row r="16" spans="1:6" ht="13.4" customHeight="1">
      <c r="A16" s="271">
        <v>7</v>
      </c>
    </row>
    <row r="17" spans="1:5" ht="13.4" customHeight="1">
      <c r="A17" s="271">
        <v>8</v>
      </c>
      <c r="B17" s="282" t="s">
        <v>213</v>
      </c>
      <c r="D17" s="283"/>
    </row>
    <row r="18" spans="1:5" ht="13.4" customHeight="1">
      <c r="A18" s="271">
        <v>9</v>
      </c>
      <c r="D18" s="283"/>
    </row>
    <row r="19" spans="1:5" ht="13.4" customHeight="1">
      <c r="A19" s="271">
        <v>10</v>
      </c>
      <c r="B19" s="267" t="s">
        <v>824</v>
      </c>
      <c r="C19" s="278" t="s">
        <v>825</v>
      </c>
      <c r="D19" s="277">
        <v>0</v>
      </c>
    </row>
    <row r="20" spans="1:5" ht="13.4" customHeight="1">
      <c r="A20" s="271">
        <v>11</v>
      </c>
      <c r="B20" s="267" t="s">
        <v>917</v>
      </c>
      <c r="C20" s="278" t="s">
        <v>1227</v>
      </c>
      <c r="D20" s="277">
        <v>0</v>
      </c>
    </row>
    <row r="21" spans="1:5" ht="13.4" customHeight="1">
      <c r="A21" s="271">
        <v>12</v>
      </c>
      <c r="C21" s="278"/>
      <c r="D21" s="279"/>
    </row>
    <row r="22" spans="1:5" ht="13.4" customHeight="1">
      <c r="A22" s="271">
        <v>13</v>
      </c>
      <c r="C22" s="278"/>
      <c r="D22" s="284"/>
    </row>
    <row r="23" spans="1:5" ht="13.4" customHeight="1">
      <c r="A23" s="271">
        <v>14</v>
      </c>
      <c r="B23" s="267" t="s">
        <v>9</v>
      </c>
      <c r="C23" s="285"/>
      <c r="D23" s="286">
        <f>SUM(D19:D22)</f>
        <v>0</v>
      </c>
    </row>
    <row r="24" spans="1:5" ht="13.4" customHeight="1">
      <c r="A24" s="271">
        <v>15</v>
      </c>
      <c r="B24" s="278"/>
      <c r="C24" s="278"/>
      <c r="D24" s="279"/>
      <c r="E24" s="278"/>
    </row>
    <row r="25" spans="1:5" ht="13.4" customHeight="1" thickBot="1">
      <c r="A25" s="271">
        <v>16</v>
      </c>
      <c r="B25" s="267" t="s">
        <v>264</v>
      </c>
      <c r="D25" s="280">
        <f>+D23</f>
        <v>0</v>
      </c>
      <c r="E25" s="278"/>
    </row>
    <row r="26" spans="1:5" ht="13.4" customHeight="1" thickTop="1">
      <c r="A26" s="271">
        <v>17</v>
      </c>
      <c r="D26" s="287"/>
      <c r="E26" s="278"/>
    </row>
    <row r="27" spans="1:5" ht="13.4" customHeight="1">
      <c r="A27" s="271">
        <v>18</v>
      </c>
      <c r="C27" s="278"/>
      <c r="D27" s="287"/>
      <c r="E27" s="278"/>
    </row>
    <row r="28" spans="1:5" ht="13.4" customHeight="1">
      <c r="A28" s="271">
        <v>19</v>
      </c>
      <c r="B28" s="282" t="s">
        <v>1114</v>
      </c>
      <c r="D28" s="287"/>
      <c r="E28" s="278"/>
    </row>
    <row r="29" spans="1:5" ht="13.4" customHeight="1">
      <c r="A29" s="271">
        <v>20</v>
      </c>
      <c r="B29" s="267" t="s">
        <v>214</v>
      </c>
      <c r="C29" s="278" t="s">
        <v>477</v>
      </c>
      <c r="D29" s="277"/>
      <c r="E29" s="278"/>
    </row>
    <row r="30" spans="1:5" ht="13.4" customHeight="1">
      <c r="A30" s="271">
        <v>21</v>
      </c>
      <c r="B30" s="267" t="s">
        <v>215</v>
      </c>
      <c r="C30" s="278" t="s">
        <v>477</v>
      </c>
      <c r="D30" s="277">
        <v>581384.05000000005</v>
      </c>
      <c r="E30" s="278"/>
    </row>
    <row r="31" spans="1:5" ht="13.4" customHeight="1" thickBot="1">
      <c r="A31" s="271">
        <v>22</v>
      </c>
      <c r="B31" s="278" t="s">
        <v>1114</v>
      </c>
      <c r="C31" s="267" t="s">
        <v>1030</v>
      </c>
      <c r="D31" s="280">
        <f>SUM(D29:D30)</f>
        <v>581384.05000000005</v>
      </c>
      <c r="E31" s="278"/>
    </row>
    <row r="32" spans="1:5" ht="13.4" customHeight="1" thickTop="1">
      <c r="A32" s="271"/>
      <c r="D32" s="287"/>
      <c r="E32" s="278"/>
    </row>
    <row r="33" spans="1:5" ht="13.4" customHeight="1">
      <c r="A33" s="491" t="s">
        <v>174</v>
      </c>
      <c r="B33" s="288"/>
      <c r="D33" s="287"/>
      <c r="E33" s="278"/>
    </row>
    <row r="34" spans="1:5" ht="25.5" customHeight="1">
      <c r="A34" s="532" t="s">
        <v>79</v>
      </c>
      <c r="B34" s="973" t="s">
        <v>675</v>
      </c>
      <c r="C34" s="973"/>
      <c r="D34" s="973"/>
    </row>
    <row r="35" spans="1:5" ht="33" customHeight="1">
      <c r="A35" s="532" t="s">
        <v>80</v>
      </c>
      <c r="B35" s="973" t="s">
        <v>932</v>
      </c>
      <c r="C35" s="973"/>
      <c r="D35" s="973"/>
    </row>
    <row r="36" spans="1:5" ht="17.25" customHeight="1">
      <c r="A36" s="532" t="s">
        <v>81</v>
      </c>
      <c r="B36" s="973" t="s">
        <v>823</v>
      </c>
      <c r="C36" s="973"/>
      <c r="D36" s="973"/>
    </row>
    <row r="37" spans="1:5" ht="25.5" customHeight="1">
      <c r="A37" s="532" t="s">
        <v>82</v>
      </c>
      <c r="B37" s="972" t="s">
        <v>1115</v>
      </c>
      <c r="C37" s="972"/>
      <c r="D37" s="972"/>
    </row>
    <row r="38" spans="1:5">
      <c r="A38" s="271"/>
    </row>
    <row r="39" spans="1:5">
      <c r="A39" s="271"/>
    </row>
    <row r="40" spans="1:5">
      <c r="A40" s="271"/>
    </row>
    <row r="41" spans="1:5">
      <c r="A41" s="271"/>
    </row>
    <row r="42" spans="1:5">
      <c r="A42" s="271"/>
    </row>
    <row r="43" spans="1:5">
      <c r="A43" s="271"/>
    </row>
    <row r="44" spans="1:5">
      <c r="A44" s="271"/>
    </row>
    <row r="45" spans="1:5">
      <c r="A45" s="271"/>
    </row>
    <row r="46" spans="1:5">
      <c r="A46" s="271"/>
    </row>
    <row r="47" spans="1:5">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zoomScale="85" zoomScaleNormal="85" workbookViewId="0">
      <selection activeCell="B30" sqref="B30"/>
    </sheetView>
  </sheetViews>
  <sheetFormatPr defaultRowHeight="13"/>
  <cols>
    <col min="1" max="1" width="6.07421875" style="289" customWidth="1"/>
    <col min="2" max="2" width="36.4609375" style="289" bestFit="1" customWidth="1"/>
    <col min="3" max="3" width="11.69140625" style="289" customWidth="1"/>
    <col min="4" max="4" width="12.23046875" style="289" bestFit="1" customWidth="1"/>
    <col min="5" max="5" width="12.07421875" style="289" bestFit="1" customWidth="1"/>
    <col min="6" max="6" width="15.53515625" style="289" bestFit="1" customWidth="1"/>
    <col min="7" max="7" width="6.69140625" style="289" customWidth="1"/>
    <col min="8" max="8" width="7.07421875" style="289" customWidth="1"/>
    <col min="9" max="9" width="8.69140625" style="289"/>
    <col min="10" max="10" width="22" style="289" bestFit="1" customWidth="1"/>
    <col min="11" max="11" width="9.765625" style="289" bestFit="1" customWidth="1"/>
    <col min="12" max="12" width="10.69140625" style="289" bestFit="1" customWidth="1"/>
    <col min="13" max="256" width="8.69140625" style="289"/>
    <col min="257" max="257" width="6.07421875" style="289" customWidth="1"/>
    <col min="258" max="260" width="11.69140625" style="289" customWidth="1"/>
    <col min="261" max="262" width="9.69140625" style="289" customWidth="1"/>
    <col min="263" max="263" width="15.07421875" style="289" bestFit="1" customWidth="1"/>
    <col min="264" max="512" width="8.69140625" style="289"/>
    <col min="513" max="513" width="6.07421875" style="289" customWidth="1"/>
    <col min="514" max="516" width="11.69140625" style="289" customWidth="1"/>
    <col min="517" max="518" width="9.69140625" style="289" customWidth="1"/>
    <col min="519" max="519" width="15.07421875" style="289" bestFit="1" customWidth="1"/>
    <col min="520" max="768" width="8.69140625" style="289"/>
    <col min="769" max="769" width="6.07421875" style="289" customWidth="1"/>
    <col min="770" max="772" width="11.69140625" style="289" customWidth="1"/>
    <col min="773" max="774" width="9.69140625" style="289" customWidth="1"/>
    <col min="775" max="775" width="15.07421875" style="289" bestFit="1" customWidth="1"/>
    <col min="776" max="1024" width="8.69140625" style="289"/>
    <col min="1025" max="1025" width="6.07421875" style="289" customWidth="1"/>
    <col min="1026" max="1028" width="11.69140625" style="289" customWidth="1"/>
    <col min="1029" max="1030" width="9.69140625" style="289" customWidth="1"/>
    <col min="1031" max="1031" width="15.07421875" style="289" bestFit="1" customWidth="1"/>
    <col min="1032" max="1280" width="8.69140625" style="289"/>
    <col min="1281" max="1281" width="6.07421875" style="289" customWidth="1"/>
    <col min="1282" max="1284" width="11.69140625" style="289" customWidth="1"/>
    <col min="1285" max="1286" width="9.69140625" style="289" customWidth="1"/>
    <col min="1287" max="1287" width="15.07421875" style="289" bestFit="1" customWidth="1"/>
    <col min="1288" max="1536" width="8.69140625" style="289"/>
    <col min="1537" max="1537" width="6.07421875" style="289" customWidth="1"/>
    <col min="1538" max="1540" width="11.69140625" style="289" customWidth="1"/>
    <col min="1541" max="1542" width="9.69140625" style="289" customWidth="1"/>
    <col min="1543" max="1543" width="15.07421875" style="289" bestFit="1" customWidth="1"/>
    <col min="1544" max="1792" width="8.69140625" style="289"/>
    <col min="1793" max="1793" width="6.07421875" style="289" customWidth="1"/>
    <col min="1794" max="1796" width="11.69140625" style="289" customWidth="1"/>
    <col min="1797" max="1798" width="9.69140625" style="289" customWidth="1"/>
    <col min="1799" max="1799" width="15.07421875" style="289" bestFit="1" customWidth="1"/>
    <col min="1800" max="2048" width="8.69140625" style="289"/>
    <col min="2049" max="2049" width="6.07421875" style="289" customWidth="1"/>
    <col min="2050" max="2052" width="11.69140625" style="289" customWidth="1"/>
    <col min="2053" max="2054" width="9.69140625" style="289" customWidth="1"/>
    <col min="2055" max="2055" width="15.07421875" style="289" bestFit="1" customWidth="1"/>
    <col min="2056" max="2304" width="8.69140625" style="289"/>
    <col min="2305" max="2305" width="6.07421875" style="289" customWidth="1"/>
    <col min="2306" max="2308" width="11.69140625" style="289" customWidth="1"/>
    <col min="2309" max="2310" width="9.69140625" style="289" customWidth="1"/>
    <col min="2311" max="2311" width="15.07421875" style="289" bestFit="1" customWidth="1"/>
    <col min="2312" max="2560" width="8.69140625" style="289"/>
    <col min="2561" max="2561" width="6.07421875" style="289" customWidth="1"/>
    <col min="2562" max="2564" width="11.69140625" style="289" customWidth="1"/>
    <col min="2565" max="2566" width="9.69140625" style="289" customWidth="1"/>
    <col min="2567" max="2567" width="15.07421875" style="289" bestFit="1" customWidth="1"/>
    <col min="2568" max="2816" width="8.69140625" style="289"/>
    <col min="2817" max="2817" width="6.07421875" style="289" customWidth="1"/>
    <col min="2818" max="2820" width="11.69140625" style="289" customWidth="1"/>
    <col min="2821" max="2822" width="9.69140625" style="289" customWidth="1"/>
    <col min="2823" max="2823" width="15.07421875" style="289" bestFit="1" customWidth="1"/>
    <col min="2824" max="3072" width="8.69140625" style="289"/>
    <col min="3073" max="3073" width="6.07421875" style="289" customWidth="1"/>
    <col min="3074" max="3076" width="11.69140625" style="289" customWidth="1"/>
    <col min="3077" max="3078" width="9.69140625" style="289" customWidth="1"/>
    <col min="3079" max="3079" width="15.07421875" style="289" bestFit="1" customWidth="1"/>
    <col min="3080" max="3328" width="8.69140625" style="289"/>
    <col min="3329" max="3329" width="6.07421875" style="289" customWidth="1"/>
    <col min="3330" max="3332" width="11.69140625" style="289" customWidth="1"/>
    <col min="3333" max="3334" width="9.69140625" style="289" customWidth="1"/>
    <col min="3335" max="3335" width="15.07421875" style="289" bestFit="1" customWidth="1"/>
    <col min="3336" max="3584" width="8.69140625" style="289"/>
    <col min="3585" max="3585" width="6.07421875" style="289" customWidth="1"/>
    <col min="3586" max="3588" width="11.69140625" style="289" customWidth="1"/>
    <col min="3589" max="3590" width="9.69140625" style="289" customWidth="1"/>
    <col min="3591" max="3591" width="15.07421875" style="289" bestFit="1" customWidth="1"/>
    <col min="3592" max="3840" width="8.69140625" style="289"/>
    <col min="3841" max="3841" width="6.07421875" style="289" customWidth="1"/>
    <col min="3842" max="3844" width="11.69140625" style="289" customWidth="1"/>
    <col min="3845" max="3846" width="9.69140625" style="289" customWidth="1"/>
    <col min="3847" max="3847" width="15.07421875" style="289" bestFit="1" customWidth="1"/>
    <col min="3848" max="4096" width="8.69140625" style="289"/>
    <col min="4097" max="4097" width="6.07421875" style="289" customWidth="1"/>
    <col min="4098" max="4100" width="11.69140625" style="289" customWidth="1"/>
    <col min="4101" max="4102" width="9.69140625" style="289" customWidth="1"/>
    <col min="4103" max="4103" width="15.07421875" style="289" bestFit="1" customWidth="1"/>
    <col min="4104" max="4352" width="8.69140625" style="289"/>
    <col min="4353" max="4353" width="6.07421875" style="289" customWidth="1"/>
    <col min="4354" max="4356" width="11.69140625" style="289" customWidth="1"/>
    <col min="4357" max="4358" width="9.69140625" style="289" customWidth="1"/>
    <col min="4359" max="4359" width="15.07421875" style="289" bestFit="1" customWidth="1"/>
    <col min="4360" max="4608" width="8.69140625" style="289"/>
    <col min="4609" max="4609" width="6.07421875" style="289" customWidth="1"/>
    <col min="4610" max="4612" width="11.69140625" style="289" customWidth="1"/>
    <col min="4613" max="4614" width="9.69140625" style="289" customWidth="1"/>
    <col min="4615" max="4615" width="15.07421875" style="289" bestFit="1" customWidth="1"/>
    <col min="4616" max="4864" width="8.69140625" style="289"/>
    <col min="4865" max="4865" width="6.07421875" style="289" customWidth="1"/>
    <col min="4866" max="4868" width="11.69140625" style="289" customWidth="1"/>
    <col min="4869" max="4870" width="9.69140625" style="289" customWidth="1"/>
    <col min="4871" max="4871" width="15.07421875" style="289" bestFit="1" customWidth="1"/>
    <col min="4872" max="5120" width="8.69140625" style="289"/>
    <col min="5121" max="5121" width="6.07421875" style="289" customWidth="1"/>
    <col min="5122" max="5124" width="11.69140625" style="289" customWidth="1"/>
    <col min="5125" max="5126" width="9.69140625" style="289" customWidth="1"/>
    <col min="5127" max="5127" width="15.07421875" style="289" bestFit="1" customWidth="1"/>
    <col min="5128" max="5376" width="8.69140625" style="289"/>
    <col min="5377" max="5377" width="6.07421875" style="289" customWidth="1"/>
    <col min="5378" max="5380" width="11.69140625" style="289" customWidth="1"/>
    <col min="5381" max="5382" width="9.69140625" style="289" customWidth="1"/>
    <col min="5383" max="5383" width="15.07421875" style="289" bestFit="1" customWidth="1"/>
    <col min="5384" max="5632" width="8.69140625" style="289"/>
    <col min="5633" max="5633" width="6.07421875" style="289" customWidth="1"/>
    <col min="5634" max="5636" width="11.69140625" style="289" customWidth="1"/>
    <col min="5637" max="5638" width="9.69140625" style="289" customWidth="1"/>
    <col min="5639" max="5639" width="15.07421875" style="289" bestFit="1" customWidth="1"/>
    <col min="5640" max="5888" width="8.69140625" style="289"/>
    <col min="5889" max="5889" width="6.07421875" style="289" customWidth="1"/>
    <col min="5890" max="5892" width="11.69140625" style="289" customWidth="1"/>
    <col min="5893" max="5894" width="9.69140625" style="289" customWidth="1"/>
    <col min="5895" max="5895" width="15.07421875" style="289" bestFit="1" customWidth="1"/>
    <col min="5896" max="6144" width="8.69140625" style="289"/>
    <col min="6145" max="6145" width="6.07421875" style="289" customWidth="1"/>
    <col min="6146" max="6148" width="11.69140625" style="289" customWidth="1"/>
    <col min="6149" max="6150" width="9.69140625" style="289" customWidth="1"/>
    <col min="6151" max="6151" width="15.07421875" style="289" bestFit="1" customWidth="1"/>
    <col min="6152" max="6400" width="8.69140625" style="289"/>
    <col min="6401" max="6401" width="6.07421875" style="289" customWidth="1"/>
    <col min="6402" max="6404" width="11.69140625" style="289" customWidth="1"/>
    <col min="6405" max="6406" width="9.69140625" style="289" customWidth="1"/>
    <col min="6407" max="6407" width="15.07421875" style="289" bestFit="1" customWidth="1"/>
    <col min="6408" max="6656" width="8.69140625" style="289"/>
    <col min="6657" max="6657" width="6.07421875" style="289" customWidth="1"/>
    <col min="6658" max="6660" width="11.69140625" style="289" customWidth="1"/>
    <col min="6661" max="6662" width="9.69140625" style="289" customWidth="1"/>
    <col min="6663" max="6663" width="15.07421875" style="289" bestFit="1" customWidth="1"/>
    <col min="6664" max="6912" width="8.69140625" style="289"/>
    <col min="6913" max="6913" width="6.07421875" style="289" customWidth="1"/>
    <col min="6914" max="6916" width="11.69140625" style="289" customWidth="1"/>
    <col min="6917" max="6918" width="9.69140625" style="289" customWidth="1"/>
    <col min="6919" max="6919" width="15.07421875" style="289" bestFit="1" customWidth="1"/>
    <col min="6920" max="7168" width="8.69140625" style="289"/>
    <col min="7169" max="7169" width="6.07421875" style="289" customWidth="1"/>
    <col min="7170" max="7172" width="11.69140625" style="289" customWidth="1"/>
    <col min="7173" max="7174" width="9.69140625" style="289" customWidth="1"/>
    <col min="7175" max="7175" width="15.07421875" style="289" bestFit="1" customWidth="1"/>
    <col min="7176" max="7424" width="8.69140625" style="289"/>
    <col min="7425" max="7425" width="6.07421875" style="289" customWidth="1"/>
    <col min="7426" max="7428" width="11.69140625" style="289" customWidth="1"/>
    <col min="7429" max="7430" width="9.69140625" style="289" customWidth="1"/>
    <col min="7431" max="7431" width="15.07421875" style="289" bestFit="1" customWidth="1"/>
    <col min="7432" max="7680" width="8.69140625" style="289"/>
    <col min="7681" max="7681" width="6.07421875" style="289" customWidth="1"/>
    <col min="7682" max="7684" width="11.69140625" style="289" customWidth="1"/>
    <col min="7685" max="7686" width="9.69140625" style="289" customWidth="1"/>
    <col min="7687" max="7687" width="15.07421875" style="289" bestFit="1" customWidth="1"/>
    <col min="7688" max="7936" width="8.69140625" style="289"/>
    <col min="7937" max="7937" width="6.07421875" style="289" customWidth="1"/>
    <col min="7938" max="7940" width="11.69140625" style="289" customWidth="1"/>
    <col min="7941" max="7942" width="9.69140625" style="289" customWidth="1"/>
    <col min="7943" max="7943" width="15.07421875" style="289" bestFit="1" customWidth="1"/>
    <col min="7944" max="8192" width="8.69140625" style="289"/>
    <col min="8193" max="8193" width="6.07421875" style="289" customWidth="1"/>
    <col min="8194" max="8196" width="11.69140625" style="289" customWidth="1"/>
    <col min="8197" max="8198" width="9.69140625" style="289" customWidth="1"/>
    <col min="8199" max="8199" width="15.07421875" style="289" bestFit="1" customWidth="1"/>
    <col min="8200" max="8448" width="8.69140625" style="289"/>
    <col min="8449" max="8449" width="6.07421875" style="289" customWidth="1"/>
    <col min="8450" max="8452" width="11.69140625" style="289" customWidth="1"/>
    <col min="8453" max="8454" width="9.69140625" style="289" customWidth="1"/>
    <col min="8455" max="8455" width="15.07421875" style="289" bestFit="1" customWidth="1"/>
    <col min="8456" max="8704" width="8.69140625" style="289"/>
    <col min="8705" max="8705" width="6.07421875" style="289" customWidth="1"/>
    <col min="8706" max="8708" width="11.69140625" style="289" customWidth="1"/>
    <col min="8709" max="8710" width="9.69140625" style="289" customWidth="1"/>
    <col min="8711" max="8711" width="15.07421875" style="289" bestFit="1" customWidth="1"/>
    <col min="8712" max="8960" width="8.69140625" style="289"/>
    <col min="8961" max="8961" width="6.07421875" style="289" customWidth="1"/>
    <col min="8962" max="8964" width="11.69140625" style="289" customWidth="1"/>
    <col min="8965" max="8966" width="9.69140625" style="289" customWidth="1"/>
    <col min="8967" max="8967" width="15.07421875" style="289" bestFit="1" customWidth="1"/>
    <col min="8968" max="9216" width="8.69140625" style="289"/>
    <col min="9217" max="9217" width="6.07421875" style="289" customWidth="1"/>
    <col min="9218" max="9220" width="11.69140625" style="289" customWidth="1"/>
    <col min="9221" max="9222" width="9.69140625" style="289" customWidth="1"/>
    <col min="9223" max="9223" width="15.07421875" style="289" bestFit="1" customWidth="1"/>
    <col min="9224" max="9472" width="8.69140625" style="289"/>
    <col min="9473" max="9473" width="6.07421875" style="289" customWidth="1"/>
    <col min="9474" max="9476" width="11.69140625" style="289" customWidth="1"/>
    <col min="9477" max="9478" width="9.69140625" style="289" customWidth="1"/>
    <col min="9479" max="9479" width="15.07421875" style="289" bestFit="1" customWidth="1"/>
    <col min="9480" max="9728" width="8.69140625" style="289"/>
    <col min="9729" max="9729" width="6.07421875" style="289" customWidth="1"/>
    <col min="9730" max="9732" width="11.69140625" style="289" customWidth="1"/>
    <col min="9733" max="9734" width="9.69140625" style="289" customWidth="1"/>
    <col min="9735" max="9735" width="15.07421875" style="289" bestFit="1" customWidth="1"/>
    <col min="9736" max="9984" width="8.69140625" style="289"/>
    <col min="9985" max="9985" width="6.07421875" style="289" customWidth="1"/>
    <col min="9986" max="9988" width="11.69140625" style="289" customWidth="1"/>
    <col min="9989" max="9990" width="9.69140625" style="289" customWidth="1"/>
    <col min="9991" max="9991" width="15.07421875" style="289" bestFit="1" customWidth="1"/>
    <col min="9992" max="10240" width="8.69140625" style="289"/>
    <col min="10241" max="10241" width="6.07421875" style="289" customWidth="1"/>
    <col min="10242" max="10244" width="11.69140625" style="289" customWidth="1"/>
    <col min="10245" max="10246" width="9.69140625" style="289" customWidth="1"/>
    <col min="10247" max="10247" width="15.07421875" style="289" bestFit="1" customWidth="1"/>
    <col min="10248" max="10496" width="8.69140625" style="289"/>
    <col min="10497" max="10497" width="6.07421875" style="289" customWidth="1"/>
    <col min="10498" max="10500" width="11.69140625" style="289" customWidth="1"/>
    <col min="10501" max="10502" width="9.69140625" style="289" customWidth="1"/>
    <col min="10503" max="10503" width="15.07421875" style="289" bestFit="1" customWidth="1"/>
    <col min="10504" max="10752" width="8.69140625" style="289"/>
    <col min="10753" max="10753" width="6.07421875" style="289" customWidth="1"/>
    <col min="10754" max="10756" width="11.69140625" style="289" customWidth="1"/>
    <col min="10757" max="10758" width="9.69140625" style="289" customWidth="1"/>
    <col min="10759" max="10759" width="15.07421875" style="289" bestFit="1" customWidth="1"/>
    <col min="10760" max="11008" width="8.69140625" style="289"/>
    <col min="11009" max="11009" width="6.07421875" style="289" customWidth="1"/>
    <col min="11010" max="11012" width="11.69140625" style="289" customWidth="1"/>
    <col min="11013" max="11014" width="9.69140625" style="289" customWidth="1"/>
    <col min="11015" max="11015" width="15.07421875" style="289" bestFit="1" customWidth="1"/>
    <col min="11016" max="11264" width="8.69140625" style="289"/>
    <col min="11265" max="11265" width="6.07421875" style="289" customWidth="1"/>
    <col min="11266" max="11268" width="11.69140625" style="289" customWidth="1"/>
    <col min="11269" max="11270" width="9.69140625" style="289" customWidth="1"/>
    <col min="11271" max="11271" width="15.07421875" style="289" bestFit="1" customWidth="1"/>
    <col min="11272" max="11520" width="8.69140625" style="289"/>
    <col min="11521" max="11521" width="6.07421875" style="289" customWidth="1"/>
    <col min="11522" max="11524" width="11.69140625" style="289" customWidth="1"/>
    <col min="11525" max="11526" width="9.69140625" style="289" customWidth="1"/>
    <col min="11527" max="11527" width="15.07421875" style="289" bestFit="1" customWidth="1"/>
    <col min="11528" max="11776" width="8.69140625" style="289"/>
    <col min="11777" max="11777" width="6.07421875" style="289" customWidth="1"/>
    <col min="11778" max="11780" width="11.69140625" style="289" customWidth="1"/>
    <col min="11781" max="11782" width="9.69140625" style="289" customWidth="1"/>
    <col min="11783" max="11783" width="15.07421875" style="289" bestFit="1" customWidth="1"/>
    <col min="11784" max="12032" width="8.69140625" style="289"/>
    <col min="12033" max="12033" width="6.07421875" style="289" customWidth="1"/>
    <col min="12034" max="12036" width="11.69140625" style="289" customWidth="1"/>
    <col min="12037" max="12038" width="9.69140625" style="289" customWidth="1"/>
    <col min="12039" max="12039" width="15.07421875" style="289" bestFit="1" customWidth="1"/>
    <col min="12040" max="12288" width="8.69140625" style="289"/>
    <col min="12289" max="12289" width="6.07421875" style="289" customWidth="1"/>
    <col min="12290" max="12292" width="11.69140625" style="289" customWidth="1"/>
    <col min="12293" max="12294" width="9.69140625" style="289" customWidth="1"/>
    <col min="12295" max="12295" width="15.07421875" style="289" bestFit="1" customWidth="1"/>
    <col min="12296" max="12544" width="8.69140625" style="289"/>
    <col min="12545" max="12545" width="6.07421875" style="289" customWidth="1"/>
    <col min="12546" max="12548" width="11.69140625" style="289" customWidth="1"/>
    <col min="12549" max="12550" width="9.69140625" style="289" customWidth="1"/>
    <col min="12551" max="12551" width="15.07421875" style="289" bestFit="1" customWidth="1"/>
    <col min="12552" max="12800" width="8.69140625" style="289"/>
    <col min="12801" max="12801" width="6.07421875" style="289" customWidth="1"/>
    <col min="12802" max="12804" width="11.69140625" style="289" customWidth="1"/>
    <col min="12805" max="12806" width="9.69140625" style="289" customWidth="1"/>
    <col min="12807" max="12807" width="15.07421875" style="289" bestFit="1" customWidth="1"/>
    <col min="12808" max="13056" width="8.69140625" style="289"/>
    <col min="13057" max="13057" width="6.07421875" style="289" customWidth="1"/>
    <col min="13058" max="13060" width="11.69140625" style="289" customWidth="1"/>
    <col min="13061" max="13062" width="9.69140625" style="289" customWidth="1"/>
    <col min="13063" max="13063" width="15.07421875" style="289" bestFit="1" customWidth="1"/>
    <col min="13064" max="13312" width="8.69140625" style="289"/>
    <col min="13313" max="13313" width="6.07421875" style="289" customWidth="1"/>
    <col min="13314" max="13316" width="11.69140625" style="289" customWidth="1"/>
    <col min="13317" max="13318" width="9.69140625" style="289" customWidth="1"/>
    <col min="13319" max="13319" width="15.07421875" style="289" bestFit="1" customWidth="1"/>
    <col min="13320" max="13568" width="8.69140625" style="289"/>
    <col min="13569" max="13569" width="6.07421875" style="289" customWidth="1"/>
    <col min="13570" max="13572" width="11.69140625" style="289" customWidth="1"/>
    <col min="13573" max="13574" width="9.69140625" style="289" customWidth="1"/>
    <col min="13575" max="13575" width="15.07421875" style="289" bestFit="1" customWidth="1"/>
    <col min="13576" max="13824" width="8.69140625" style="289"/>
    <col min="13825" max="13825" width="6.07421875" style="289" customWidth="1"/>
    <col min="13826" max="13828" width="11.69140625" style="289" customWidth="1"/>
    <col min="13829" max="13830" width="9.69140625" style="289" customWidth="1"/>
    <col min="13831" max="13831" width="15.07421875" style="289" bestFit="1" customWidth="1"/>
    <col min="13832" max="14080" width="8.69140625" style="289"/>
    <col min="14081" max="14081" width="6.07421875" style="289" customWidth="1"/>
    <col min="14082" max="14084" width="11.69140625" style="289" customWidth="1"/>
    <col min="14085" max="14086" width="9.69140625" style="289" customWidth="1"/>
    <col min="14087" max="14087" width="15.07421875" style="289" bestFit="1" customWidth="1"/>
    <col min="14088" max="14336" width="8.69140625" style="289"/>
    <col min="14337" max="14337" width="6.07421875" style="289" customWidth="1"/>
    <col min="14338" max="14340" width="11.69140625" style="289" customWidth="1"/>
    <col min="14341" max="14342" width="9.69140625" style="289" customWidth="1"/>
    <col min="14343" max="14343" width="15.07421875" style="289" bestFit="1" customWidth="1"/>
    <col min="14344" max="14592" width="8.69140625" style="289"/>
    <col min="14593" max="14593" width="6.07421875" style="289" customWidth="1"/>
    <col min="14594" max="14596" width="11.69140625" style="289" customWidth="1"/>
    <col min="14597" max="14598" width="9.69140625" style="289" customWidth="1"/>
    <col min="14599" max="14599" width="15.07421875" style="289" bestFit="1" customWidth="1"/>
    <col min="14600" max="14848" width="8.69140625" style="289"/>
    <col min="14849" max="14849" width="6.07421875" style="289" customWidth="1"/>
    <col min="14850" max="14852" width="11.69140625" style="289" customWidth="1"/>
    <col min="14853" max="14854" width="9.69140625" style="289" customWidth="1"/>
    <col min="14855" max="14855" width="15.07421875" style="289" bestFit="1" customWidth="1"/>
    <col min="14856" max="15104" width="8.69140625" style="289"/>
    <col min="15105" max="15105" width="6.07421875" style="289" customWidth="1"/>
    <col min="15106" max="15108" width="11.69140625" style="289" customWidth="1"/>
    <col min="15109" max="15110" width="9.69140625" style="289" customWidth="1"/>
    <col min="15111" max="15111" width="15.07421875" style="289" bestFit="1" customWidth="1"/>
    <col min="15112" max="15360" width="8.69140625" style="289"/>
    <col min="15361" max="15361" width="6.07421875" style="289" customWidth="1"/>
    <col min="15362" max="15364" width="11.69140625" style="289" customWidth="1"/>
    <col min="15365" max="15366" width="9.69140625" style="289" customWidth="1"/>
    <col min="15367" max="15367" width="15.07421875" style="289" bestFit="1" customWidth="1"/>
    <col min="15368" max="15616" width="8.69140625" style="289"/>
    <col min="15617" max="15617" width="6.07421875" style="289" customWidth="1"/>
    <col min="15618" max="15620" width="11.69140625" style="289" customWidth="1"/>
    <col min="15621" max="15622" width="9.69140625" style="289" customWidth="1"/>
    <col min="15623" max="15623" width="15.07421875" style="289" bestFit="1" customWidth="1"/>
    <col min="15624" max="15872" width="8.69140625" style="289"/>
    <col min="15873" max="15873" width="6.07421875" style="289" customWidth="1"/>
    <col min="15874" max="15876" width="11.69140625" style="289" customWidth="1"/>
    <col min="15877" max="15878" width="9.69140625" style="289" customWidth="1"/>
    <col min="15879" max="15879" width="15.07421875" style="289" bestFit="1" customWidth="1"/>
    <col min="15880" max="16128" width="8.69140625" style="289"/>
    <col min="16129" max="16129" width="6.07421875" style="289" customWidth="1"/>
    <col min="16130" max="16132" width="11.69140625" style="289" customWidth="1"/>
    <col min="16133" max="16134" width="9.69140625" style="289" customWidth="1"/>
    <col min="16135" max="16135" width="15.07421875" style="289" bestFit="1" customWidth="1"/>
    <col min="16136" max="16384" width="8.69140625" style="289"/>
  </cols>
  <sheetData>
    <row r="1" spans="1:11">
      <c r="A1" s="974" t="s">
        <v>533</v>
      </c>
      <c r="B1" s="974"/>
      <c r="C1" s="974"/>
      <c r="D1" s="974"/>
      <c r="E1" s="974"/>
      <c r="F1" s="974"/>
      <c r="G1" s="974"/>
      <c r="H1" s="974"/>
      <c r="I1" s="974"/>
    </row>
    <row r="2" spans="1:11">
      <c r="A2" s="974" t="s">
        <v>204</v>
      </c>
      <c r="B2" s="974"/>
      <c r="C2" s="974"/>
      <c r="D2" s="974"/>
      <c r="E2" s="974"/>
      <c r="F2" s="974"/>
      <c r="G2" s="974"/>
      <c r="H2" s="974"/>
      <c r="I2" s="974"/>
    </row>
    <row r="3" spans="1:11">
      <c r="A3" s="975" t="str">
        <f>'Act Att-H'!C7</f>
        <v>Cheyenne Light, Fuel &amp; Power</v>
      </c>
      <c r="B3" s="975"/>
      <c r="C3" s="975"/>
      <c r="D3" s="975"/>
      <c r="E3" s="975"/>
      <c r="F3" s="975"/>
      <c r="G3" s="975"/>
      <c r="H3" s="975"/>
      <c r="I3" s="975"/>
    </row>
    <row r="4" spans="1:11" s="290" customFormat="1">
      <c r="I4" s="291" t="s">
        <v>673</v>
      </c>
    </row>
    <row r="5" spans="1:11">
      <c r="A5" s="541"/>
      <c r="B5" s="541"/>
      <c r="C5" s="541"/>
      <c r="D5" s="541"/>
      <c r="E5" s="541"/>
      <c r="F5" s="541"/>
      <c r="G5" s="541"/>
      <c r="H5" s="293"/>
    </row>
    <row r="6" spans="1:11">
      <c r="G6" s="292"/>
    </row>
    <row r="7" spans="1:11">
      <c r="A7" s="539"/>
      <c r="B7" s="539"/>
      <c r="C7" s="540"/>
      <c r="D7" s="540" t="s">
        <v>770</v>
      </c>
      <c r="E7" s="540" t="s">
        <v>771</v>
      </c>
      <c r="G7" s="33"/>
    </row>
    <row r="8" spans="1:11">
      <c r="B8" s="539"/>
      <c r="C8" s="540"/>
      <c r="D8" s="540" t="s">
        <v>636</v>
      </c>
      <c r="E8" s="540" t="s">
        <v>700</v>
      </c>
      <c r="F8" s="296"/>
      <c r="G8" s="33"/>
    </row>
    <row r="9" spans="1:11">
      <c r="A9" s="564" t="s">
        <v>4</v>
      </c>
      <c r="B9" s="542" t="s">
        <v>478</v>
      </c>
      <c r="C9" s="542" t="s">
        <v>769</v>
      </c>
      <c r="D9" s="939" t="s">
        <v>1225</v>
      </c>
      <c r="E9" s="939" t="s">
        <v>1226</v>
      </c>
      <c r="F9" s="540" t="s">
        <v>768</v>
      </c>
      <c r="G9" s="976" t="s">
        <v>1072</v>
      </c>
      <c r="H9" s="976"/>
      <c r="I9" s="248" t="s">
        <v>7</v>
      </c>
      <c r="J9" s="248" t="s">
        <v>1169</v>
      </c>
    </row>
    <row r="10" spans="1:11" ht="13.5" thickBot="1">
      <c r="A10" s="544" t="s">
        <v>6</v>
      </c>
      <c r="B10" s="543" t="s">
        <v>157</v>
      </c>
      <c r="C10" s="543" t="s">
        <v>158</v>
      </c>
      <c r="D10" s="543" t="s">
        <v>159</v>
      </c>
      <c r="E10" s="543" t="s">
        <v>160</v>
      </c>
      <c r="F10" s="543" t="s">
        <v>161</v>
      </c>
      <c r="G10" s="898" t="s">
        <v>715</v>
      </c>
      <c r="H10" s="898" t="s">
        <v>163</v>
      </c>
      <c r="I10" s="898" t="s">
        <v>164</v>
      </c>
      <c r="J10" s="898" t="s">
        <v>194</v>
      </c>
    </row>
    <row r="11" spans="1:11">
      <c r="A11" s="294">
        <v>1</v>
      </c>
      <c r="G11" s="599"/>
      <c r="H11" s="293"/>
      <c r="I11" s="293"/>
      <c r="J11" s="293"/>
    </row>
    <row r="12" spans="1:11" ht="15" customHeight="1">
      <c r="A12" s="294">
        <f t="shared" ref="A12:A15" si="0">+A11+1</f>
        <v>2</v>
      </c>
      <c r="B12" s="535" t="s">
        <v>133</v>
      </c>
      <c r="C12" s="537" t="s">
        <v>777</v>
      </c>
      <c r="D12" s="538">
        <v>0</v>
      </c>
      <c r="E12" s="538">
        <v>0</v>
      </c>
      <c r="F12" s="534">
        <f>(D12+E12)/2</f>
        <v>0</v>
      </c>
      <c r="G12" s="33"/>
    </row>
    <row r="13" spans="1:11" ht="15" customHeight="1">
      <c r="A13" s="294">
        <f t="shared" si="0"/>
        <v>3</v>
      </c>
      <c r="B13" s="535" t="s">
        <v>134</v>
      </c>
      <c r="C13" s="537" t="s">
        <v>774</v>
      </c>
      <c r="D13" s="538">
        <v>-62379047.964909717</v>
      </c>
      <c r="E13" s="538">
        <v>-67847487.618393347</v>
      </c>
      <c r="F13" s="534">
        <f>(D13+E13)/2</f>
        <v>-65113267.791651532</v>
      </c>
      <c r="G13" s="33"/>
      <c r="I13" s="724"/>
    </row>
    <row r="14" spans="1:11" ht="15" customHeight="1">
      <c r="A14" s="294">
        <f t="shared" si="0"/>
        <v>4</v>
      </c>
      <c r="B14" s="535" t="s">
        <v>135</v>
      </c>
      <c r="C14" s="537" t="s">
        <v>775</v>
      </c>
      <c r="D14" s="538">
        <v>-3088022</v>
      </c>
      <c r="E14" s="538">
        <v>-5119768</v>
      </c>
      <c r="F14" s="534">
        <f>(D14+E14)/2</f>
        <v>-4103895</v>
      </c>
      <c r="G14" s="33"/>
    </row>
    <row r="15" spans="1:11" ht="15" customHeight="1">
      <c r="A15" s="294">
        <f t="shared" si="0"/>
        <v>5</v>
      </c>
      <c r="B15" s="535" t="s">
        <v>136</v>
      </c>
      <c r="C15" s="537" t="s">
        <v>776</v>
      </c>
      <c r="D15" s="538">
        <v>12924774</v>
      </c>
      <c r="E15" s="538">
        <v>16680632</v>
      </c>
      <c r="F15" s="534">
        <f>(D15+E15)/2</f>
        <v>14802703</v>
      </c>
      <c r="G15" s="33"/>
      <c r="J15" s="725"/>
      <c r="K15" s="727"/>
    </row>
    <row r="16" spans="1:11">
      <c r="A16" s="294">
        <v>6</v>
      </c>
      <c r="J16" s="725"/>
      <c r="K16" s="726"/>
    </row>
    <row r="17" spans="1:11">
      <c r="A17" s="294">
        <v>7</v>
      </c>
      <c r="B17" s="897" t="s">
        <v>1086</v>
      </c>
      <c r="C17" s="273"/>
      <c r="D17" s="70"/>
      <c r="E17" s="70"/>
      <c r="F17" s="70"/>
      <c r="J17" s="725"/>
      <c r="K17" s="727"/>
    </row>
    <row r="18" spans="1:11">
      <c r="A18" s="294">
        <v>8</v>
      </c>
      <c r="B18" s="823" t="s">
        <v>998</v>
      </c>
      <c r="C18" s="824"/>
      <c r="D18" s="70"/>
      <c r="E18" s="70"/>
      <c r="F18" s="70"/>
      <c r="J18" s="725"/>
      <c r="K18" s="727"/>
    </row>
    <row r="19" spans="1:11">
      <c r="A19" s="294">
        <f>A18+1</f>
        <v>9</v>
      </c>
      <c r="B19" s="535" t="s">
        <v>1021</v>
      </c>
      <c r="C19" s="537" t="s">
        <v>1002</v>
      </c>
      <c r="D19" s="538">
        <v>1671386</v>
      </c>
      <c r="E19" s="538">
        <v>1583433</v>
      </c>
      <c r="F19" s="534">
        <f t="shared" ref="F19:F21" si="1">(D19+E19)/2</f>
        <v>1627409.5</v>
      </c>
      <c r="J19" s="725"/>
      <c r="K19" s="727"/>
    </row>
    <row r="20" spans="1:11">
      <c r="A20" s="294">
        <f t="shared" ref="A20:A34" si="2">A19+1</f>
        <v>10</v>
      </c>
      <c r="B20" s="535" t="s">
        <v>1068</v>
      </c>
      <c r="C20" s="537" t="s">
        <v>1003</v>
      </c>
      <c r="D20" s="538">
        <v>-4631</v>
      </c>
      <c r="E20" s="538">
        <v>-1806</v>
      </c>
      <c r="F20" s="534">
        <f t="shared" si="1"/>
        <v>-3218.5</v>
      </c>
      <c r="J20" s="725"/>
      <c r="K20" s="727"/>
    </row>
    <row r="21" spans="1:11">
      <c r="A21" s="294">
        <f t="shared" si="2"/>
        <v>11</v>
      </c>
      <c r="B21" s="535" t="s">
        <v>1069</v>
      </c>
      <c r="C21" s="537" t="s">
        <v>1004</v>
      </c>
      <c r="D21" s="538">
        <v>-1386235</v>
      </c>
      <c r="E21" s="538">
        <v>-1170141</v>
      </c>
      <c r="F21" s="534">
        <f t="shared" si="1"/>
        <v>-1278188</v>
      </c>
      <c r="J21" s="725"/>
      <c r="K21" s="727"/>
    </row>
    <row r="22" spans="1:11">
      <c r="A22" s="294">
        <f t="shared" si="2"/>
        <v>12</v>
      </c>
      <c r="B22" s="535" t="s">
        <v>388</v>
      </c>
      <c r="C22" s="824"/>
      <c r="D22" s="70"/>
      <c r="E22" s="70"/>
      <c r="F22" s="70">
        <f>SUM(F19:F21)</f>
        <v>346003</v>
      </c>
      <c r="J22" s="725"/>
      <c r="K22" s="727"/>
    </row>
    <row r="23" spans="1:11">
      <c r="A23" s="294">
        <f t="shared" si="2"/>
        <v>13</v>
      </c>
      <c r="B23" s="535" t="s">
        <v>1005</v>
      </c>
      <c r="C23" s="824"/>
      <c r="D23" s="70"/>
      <c r="E23" s="70"/>
      <c r="F23" s="825">
        <v>0.21</v>
      </c>
      <c r="J23" s="725"/>
      <c r="K23" s="727"/>
    </row>
    <row r="24" spans="1:11">
      <c r="A24" s="294">
        <f t="shared" si="2"/>
        <v>14</v>
      </c>
      <c r="B24" s="535" t="s">
        <v>1020</v>
      </c>
      <c r="C24" s="824"/>
      <c r="D24" s="70"/>
      <c r="E24" s="70"/>
      <c r="F24" s="846">
        <f>F22*F23</f>
        <v>72660.62999999999</v>
      </c>
      <c r="J24" s="725"/>
      <c r="K24" s="727"/>
    </row>
    <row r="25" spans="1:11">
      <c r="A25" s="294">
        <f t="shared" si="2"/>
        <v>15</v>
      </c>
      <c r="B25" s="535"/>
      <c r="C25" s="824"/>
      <c r="D25" s="70"/>
      <c r="E25" s="70"/>
      <c r="F25" s="70"/>
      <c r="J25" s="725"/>
      <c r="K25" s="727"/>
    </row>
    <row r="26" spans="1:11" ht="15" customHeight="1">
      <c r="A26" s="294">
        <f t="shared" si="2"/>
        <v>16</v>
      </c>
      <c r="C26" s="295"/>
      <c r="D26" s="295"/>
    </row>
    <row r="27" spans="1:11">
      <c r="A27" s="294">
        <f t="shared" si="2"/>
        <v>17</v>
      </c>
      <c r="B27" s="894" t="s">
        <v>1174</v>
      </c>
      <c r="C27" s="295"/>
      <c r="D27" s="295"/>
    </row>
    <row r="28" spans="1:11">
      <c r="A28" s="294">
        <f t="shared" si="2"/>
        <v>18</v>
      </c>
      <c r="B28" s="293" t="s">
        <v>1178</v>
      </c>
      <c r="C28" s="295" t="s">
        <v>918</v>
      </c>
      <c r="D28" s="538">
        <v>-35393015.359999999</v>
      </c>
      <c r="E28" s="538">
        <v>-38202551.859999999</v>
      </c>
      <c r="F28" s="534">
        <f t="shared" ref="F28:F32" si="3">(D28+E28)/2</f>
        <v>-36797783.609999999</v>
      </c>
      <c r="G28" s="33" t="s">
        <v>1067</v>
      </c>
      <c r="H28" s="844">
        <v>7.9579520269658199E-2</v>
      </c>
      <c r="I28" s="534">
        <f t="shared" ref="I28:I32" si="4">H28*F28</f>
        <v>-2928349.9666704913</v>
      </c>
      <c r="J28" s="534" t="s">
        <v>1166</v>
      </c>
      <c r="K28" s="727"/>
    </row>
    <row r="29" spans="1:11">
      <c r="A29" s="294">
        <f t="shared" si="2"/>
        <v>19</v>
      </c>
      <c r="B29" s="293" t="s">
        <v>1179</v>
      </c>
      <c r="C29" s="295" t="s">
        <v>918</v>
      </c>
      <c r="D29" s="538">
        <v>-6865617.7199999997</v>
      </c>
      <c r="E29" s="538">
        <v>-1514122.58</v>
      </c>
      <c r="F29" s="534">
        <f t="shared" si="3"/>
        <v>-4189870.15</v>
      </c>
      <c r="G29" s="33" t="s">
        <v>1067</v>
      </c>
      <c r="H29" s="844">
        <v>7.9579520269658158E-2</v>
      </c>
      <c r="I29" s="534">
        <f t="shared" si="4"/>
        <v>-333427.85652916064</v>
      </c>
      <c r="J29" s="534" t="s">
        <v>1168</v>
      </c>
      <c r="K29" s="727"/>
    </row>
    <row r="30" spans="1:11">
      <c r="A30" s="294">
        <f t="shared" si="2"/>
        <v>20</v>
      </c>
      <c r="B30" s="293" t="s">
        <v>1189</v>
      </c>
      <c r="C30" s="295" t="s">
        <v>918</v>
      </c>
      <c r="D30" s="538">
        <v>1670188.77</v>
      </c>
      <c r="E30" s="538">
        <v>1306637.32</v>
      </c>
      <c r="F30" s="534">
        <f t="shared" si="3"/>
        <v>1488413.0449999999</v>
      </c>
      <c r="G30" s="33" t="s">
        <v>1067</v>
      </c>
      <c r="H30" s="844">
        <v>7.9579520269658158E-2</v>
      </c>
      <c r="I30" s="534">
        <f t="shared" si="4"/>
        <v>118447.19608420112</v>
      </c>
      <c r="J30" s="534" t="s">
        <v>1166</v>
      </c>
      <c r="K30" s="727"/>
    </row>
    <row r="31" spans="1:11">
      <c r="A31" s="294">
        <f t="shared" si="2"/>
        <v>21</v>
      </c>
      <c r="B31" s="293" t="s">
        <v>1180</v>
      </c>
      <c r="C31" s="295" t="s">
        <v>918</v>
      </c>
      <c r="D31" s="538">
        <v>1053924.8400000001</v>
      </c>
      <c r="E31" s="538">
        <v>632355</v>
      </c>
      <c r="F31" s="534">
        <f t="shared" si="3"/>
        <v>843139.92</v>
      </c>
      <c r="G31" s="33" t="s">
        <v>1067</v>
      </c>
      <c r="H31" s="844">
        <v>7.9579520269658158E-2</v>
      </c>
      <c r="I31" s="534">
        <f t="shared" si="4"/>
        <v>67096.670353797963</v>
      </c>
      <c r="J31" s="534" t="s">
        <v>1168</v>
      </c>
      <c r="K31" s="727"/>
    </row>
    <row r="32" spans="1:11">
      <c r="A32" s="294">
        <f t="shared" si="2"/>
        <v>22</v>
      </c>
      <c r="B32" s="535" t="s">
        <v>1066</v>
      </c>
      <c r="C32" s="295" t="s">
        <v>918</v>
      </c>
      <c r="D32" s="538">
        <v>-19301</v>
      </c>
      <c r="E32" s="538">
        <v>-12513</v>
      </c>
      <c r="F32" s="534">
        <f t="shared" si="3"/>
        <v>-15907</v>
      </c>
      <c r="G32" s="33" t="s">
        <v>1067</v>
      </c>
      <c r="H32" s="844">
        <v>7.9579520269658158E-2</v>
      </c>
      <c r="I32" s="534">
        <f t="shared" si="4"/>
        <v>-1265.8714289294523</v>
      </c>
      <c r="J32" s="534" t="s">
        <v>1167</v>
      </c>
      <c r="K32" s="727"/>
    </row>
    <row r="33" spans="1:11">
      <c r="A33" s="294">
        <f t="shared" si="2"/>
        <v>23</v>
      </c>
      <c r="B33" s="535" t="s">
        <v>1130</v>
      </c>
      <c r="C33" s="896"/>
      <c r="D33" s="535"/>
      <c r="E33" s="535"/>
      <c r="F33" s="535"/>
      <c r="G33" s="535"/>
      <c r="H33" s="535"/>
      <c r="I33" s="535"/>
      <c r="J33" s="725"/>
      <c r="K33" s="727"/>
    </row>
    <row r="34" spans="1:11">
      <c r="A34" s="294">
        <f t="shared" si="2"/>
        <v>24</v>
      </c>
      <c r="B34" s="895" t="s">
        <v>1181</v>
      </c>
      <c r="C34" s="273"/>
      <c r="D34" s="70"/>
      <c r="E34" s="70"/>
      <c r="F34" s="845">
        <f>SUM(F28:F33)</f>
        <v>-38672007.794999994</v>
      </c>
      <c r="I34" s="847">
        <f>SUM(I28:I33)</f>
        <v>-3077499.8281905819</v>
      </c>
      <c r="J34" s="725"/>
      <c r="K34" s="727"/>
    </row>
    <row r="35" spans="1:11">
      <c r="A35" s="294"/>
      <c r="B35" s="536"/>
      <c r="C35" s="273"/>
      <c r="D35" s="70"/>
      <c r="E35" s="70"/>
      <c r="F35" s="70"/>
      <c r="K35" s="727"/>
    </row>
    <row r="36" spans="1:11">
      <c r="A36" s="491" t="s">
        <v>205</v>
      </c>
      <c r="K36" s="726"/>
    </row>
    <row r="37" spans="1:11" ht="16.399999999999999" customHeight="1">
      <c r="A37" s="545" t="s">
        <v>79</v>
      </c>
      <c r="B37" s="977" t="s">
        <v>773</v>
      </c>
      <c r="C37" s="977"/>
      <c r="D37" s="977"/>
      <c r="E37" s="977"/>
      <c r="F37" s="977"/>
      <c r="K37" s="726"/>
    </row>
    <row r="38" spans="1:11" ht="16.399999999999999" customHeight="1">
      <c r="A38" s="545" t="s">
        <v>80</v>
      </c>
      <c r="B38" s="977" t="s">
        <v>772</v>
      </c>
      <c r="C38" s="977"/>
      <c r="D38" s="977"/>
      <c r="E38" s="977"/>
      <c r="F38" s="977"/>
    </row>
    <row r="39" spans="1:11" ht="42.65" customHeight="1">
      <c r="A39" s="899" t="s">
        <v>81</v>
      </c>
      <c r="B39" s="950" t="s">
        <v>1100</v>
      </c>
      <c r="C39" s="950"/>
      <c r="D39" s="950"/>
      <c r="E39" s="950"/>
      <c r="F39" s="950"/>
    </row>
    <row r="40" spans="1:11">
      <c r="A40" s="899" t="s">
        <v>82</v>
      </c>
      <c r="B40" s="293" t="s">
        <v>1080</v>
      </c>
      <c r="C40" s="896"/>
      <c r="D40" s="896"/>
      <c r="E40" s="293"/>
      <c r="F40" s="293"/>
    </row>
    <row r="41" spans="1:11">
      <c r="A41" s="899" t="s">
        <v>83</v>
      </c>
      <c r="B41" s="967" t="s">
        <v>1085</v>
      </c>
      <c r="C41" s="967"/>
      <c r="D41" s="967"/>
      <c r="E41" s="967"/>
      <c r="F41" s="967"/>
    </row>
    <row r="42" spans="1:11" ht="78.75" customHeight="1">
      <c r="A42" s="899" t="s">
        <v>84</v>
      </c>
      <c r="B42" s="965" t="s">
        <v>1176</v>
      </c>
      <c r="C42" s="965"/>
      <c r="D42" s="965"/>
      <c r="E42" s="965"/>
      <c r="F42" s="965"/>
    </row>
    <row r="43" spans="1:11" ht="41.5" customHeight="1">
      <c r="A43" s="899" t="s">
        <v>85</v>
      </c>
      <c r="B43" s="965" t="s">
        <v>1177</v>
      </c>
      <c r="C43" s="965"/>
      <c r="D43" s="965"/>
      <c r="E43" s="965"/>
      <c r="F43" s="965"/>
    </row>
    <row r="44" spans="1:11">
      <c r="A44" s="271"/>
    </row>
    <row r="45" spans="1:11">
      <c r="A45" s="33"/>
      <c r="C45" s="295"/>
      <c r="D45" s="295"/>
    </row>
    <row r="46" spans="1:11">
      <c r="A46" s="271"/>
      <c r="C46" s="295"/>
      <c r="D46" s="295"/>
    </row>
    <row r="47" spans="1:11">
      <c r="A47" s="271"/>
      <c r="C47" s="295"/>
      <c r="D47" s="295"/>
    </row>
    <row r="48" spans="1:11">
      <c r="A48" s="271"/>
      <c r="C48" s="295"/>
      <c r="D48" s="295"/>
    </row>
    <row r="49" spans="1:4">
      <c r="A49" s="271"/>
      <c r="C49" s="295"/>
      <c r="D49" s="295"/>
    </row>
    <row r="50" spans="1:4">
      <c r="C50" s="295"/>
      <c r="D50" s="295"/>
    </row>
    <row r="54" spans="1:4" ht="15" customHeight="1"/>
    <row r="58" spans="1:4" ht="15" customHeight="1"/>
    <row r="66" spans="2:7" ht="15" customHeight="1"/>
    <row r="69" spans="2:7" ht="15" customHeight="1"/>
    <row r="79" spans="2:7" ht="12.75" customHeight="1">
      <c r="B79" s="950"/>
      <c r="C79" s="950"/>
      <c r="D79" s="950"/>
      <c r="E79" s="950"/>
      <c r="F79" s="950"/>
      <c r="G79" s="950"/>
    </row>
    <row r="80" spans="2:7">
      <c r="B80" s="950"/>
      <c r="C80" s="950"/>
      <c r="D80" s="950"/>
      <c r="E80" s="950"/>
      <c r="F80" s="950"/>
      <c r="G80" s="950"/>
    </row>
    <row r="81" spans="2:7">
      <c r="B81" s="950"/>
      <c r="C81" s="950"/>
      <c r="D81" s="950"/>
      <c r="E81" s="950"/>
      <c r="F81" s="950"/>
      <c r="G81" s="950"/>
    </row>
    <row r="82" spans="2:7">
      <c r="B82" s="950"/>
      <c r="C82" s="950"/>
      <c r="D82" s="950"/>
      <c r="E82" s="950"/>
      <c r="F82" s="950"/>
      <c r="G82" s="950"/>
    </row>
    <row r="83" spans="2:7">
      <c r="B83" s="950"/>
      <c r="C83" s="950"/>
      <c r="D83" s="950"/>
      <c r="E83" s="950"/>
      <c r="F83" s="950"/>
      <c r="G83" s="950"/>
    </row>
    <row r="84" spans="2:7" ht="12.75" customHeight="1">
      <c r="B84" s="950"/>
      <c r="C84" s="950"/>
      <c r="D84" s="950"/>
      <c r="E84" s="950"/>
      <c r="F84" s="950"/>
      <c r="G84" s="950"/>
    </row>
    <row r="85" spans="2:7" ht="12.75" customHeight="1">
      <c r="B85" s="950"/>
      <c r="C85" s="950"/>
      <c r="D85" s="950"/>
      <c r="E85" s="950"/>
      <c r="F85" s="950"/>
      <c r="G85" s="950"/>
    </row>
    <row r="86" spans="2:7" ht="12.75" customHeight="1">
      <c r="B86" s="950"/>
      <c r="C86" s="950"/>
      <c r="D86" s="950"/>
      <c r="E86" s="950"/>
      <c r="F86" s="950"/>
      <c r="G86" s="950"/>
    </row>
    <row r="87" spans="2:7">
      <c r="B87" s="978"/>
      <c r="C87" s="978"/>
      <c r="D87" s="978"/>
      <c r="E87" s="978"/>
      <c r="F87" s="978"/>
      <c r="G87" s="978"/>
    </row>
    <row r="88" spans="2:7">
      <c r="B88" s="978"/>
      <c r="C88" s="978"/>
      <c r="D88" s="978"/>
      <c r="E88" s="978"/>
      <c r="F88" s="978"/>
      <c r="G88" s="978"/>
    </row>
    <row r="89" spans="2:7">
      <c r="B89" s="978"/>
      <c r="C89" s="978"/>
      <c r="D89" s="978"/>
      <c r="E89" s="978"/>
      <c r="F89" s="978"/>
      <c r="G89" s="978"/>
    </row>
    <row r="90" spans="2:7">
      <c r="B90" s="978"/>
      <c r="C90" s="978"/>
      <c r="D90" s="978"/>
      <c r="E90" s="978"/>
      <c r="F90" s="978"/>
      <c r="G90" s="978"/>
    </row>
    <row r="91" spans="2:7">
      <c r="B91" s="978"/>
      <c r="C91" s="978"/>
      <c r="D91" s="978"/>
      <c r="E91" s="978"/>
      <c r="F91" s="978"/>
      <c r="G91" s="978"/>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zoomScale="85" zoomScaleNormal="85" workbookViewId="0">
      <selection activeCell="J9" sqref="J9"/>
    </sheetView>
  </sheetViews>
  <sheetFormatPr defaultColWidth="8.69140625" defaultRowHeight="13"/>
  <cols>
    <col min="1" max="1" width="5.69140625" style="1" customWidth="1"/>
    <col min="2" max="2" width="26.53515625" style="2" customWidth="1"/>
    <col min="3" max="9" width="15.07421875" style="2" customWidth="1"/>
    <col min="10" max="10" width="11.69140625" style="2" customWidth="1"/>
    <col min="11" max="11" width="14.23046875" style="2" customWidth="1"/>
    <col min="12" max="12" width="12.23046875" style="2" customWidth="1"/>
    <col min="13" max="13" width="15.53515625" style="2" customWidth="1"/>
    <col min="14" max="14" width="13.69140625" style="2" customWidth="1"/>
    <col min="15" max="15" width="10.23046875" style="2" customWidth="1"/>
    <col min="16" max="16" width="10.69140625" style="2" customWidth="1"/>
    <col min="17" max="16384" width="8.69140625" style="2"/>
  </cols>
  <sheetData>
    <row r="1" spans="1:12">
      <c r="C1" s="3"/>
      <c r="E1" s="566" t="s">
        <v>534</v>
      </c>
      <c r="F1" s="3"/>
      <c r="H1" s="3"/>
      <c r="I1" s="3"/>
      <c r="J1" s="3"/>
    </row>
    <row r="2" spans="1:12">
      <c r="A2" s="5"/>
      <c r="C2" s="6"/>
      <c r="D2" s="6"/>
      <c r="E2" s="567" t="s">
        <v>362</v>
      </c>
      <c r="F2" s="6"/>
      <c r="H2" s="6"/>
      <c r="I2" s="6"/>
      <c r="J2" s="6"/>
      <c r="K2" s="7"/>
      <c r="L2" s="8"/>
    </row>
    <row r="3" spans="1:12">
      <c r="A3" s="5"/>
      <c r="C3" s="6"/>
      <c r="D3" s="6"/>
      <c r="E3" s="568" t="str">
        <f>'Act Att-H'!C7</f>
        <v>Cheyenne Light, Fuel &amp; Power</v>
      </c>
      <c r="F3" s="6"/>
      <c r="H3" s="6"/>
      <c r="I3" s="250" t="s">
        <v>977</v>
      </c>
      <c r="J3" s="6"/>
      <c r="K3" s="7"/>
    </row>
    <row r="4" spans="1:12">
      <c r="A4" s="5"/>
      <c r="C4" s="6"/>
      <c r="D4" s="6"/>
      <c r="E4" s="6"/>
      <c r="F4" s="6"/>
      <c r="G4" s="6"/>
      <c r="H4" s="6"/>
      <c r="I4" s="6"/>
    </row>
    <row r="5" spans="1:12" ht="15" customHeight="1">
      <c r="A5" s="5"/>
      <c r="B5" s="10"/>
      <c r="C5" s="979" t="s">
        <v>935</v>
      </c>
      <c r="D5" s="980"/>
      <c r="E5" s="980"/>
      <c r="F5" s="980"/>
      <c r="G5" s="981"/>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67" t="s">
        <v>111</v>
      </c>
      <c r="D9" s="567" t="s">
        <v>108</v>
      </c>
      <c r="E9" s="567" t="s">
        <v>109</v>
      </c>
      <c r="F9" s="14" t="s">
        <v>112</v>
      </c>
      <c r="G9" s="889" t="s">
        <v>1139</v>
      </c>
      <c r="H9" s="567" t="s">
        <v>329</v>
      </c>
      <c r="I9" s="567" t="s">
        <v>330</v>
      </c>
    </row>
    <row r="10" spans="1:12">
      <c r="A10" s="5">
        <v>1</v>
      </c>
      <c r="B10" s="22" t="s">
        <v>332</v>
      </c>
      <c r="C10" s="23">
        <f>341666349.67-2807861.12+463382</f>
        <v>339321870.55000001</v>
      </c>
      <c r="D10" s="23">
        <v>62935847.75</v>
      </c>
      <c r="E10" s="23">
        <v>225734783.98000008</v>
      </c>
      <c r="F10" s="23">
        <v>19836280.959999997</v>
      </c>
      <c r="G10" s="23">
        <v>12124834</v>
      </c>
      <c r="H10" s="23">
        <v>0</v>
      </c>
      <c r="I10" s="23">
        <v>318000</v>
      </c>
      <c r="J10" s="20"/>
      <c r="K10" s="20"/>
    </row>
    <row r="11" spans="1:12">
      <c r="A11" s="5">
        <v>2</v>
      </c>
      <c r="B11" s="22" t="s">
        <v>165</v>
      </c>
      <c r="C11" s="23">
        <v>342045073.63</v>
      </c>
      <c r="D11" s="23">
        <v>63013069.430000007</v>
      </c>
      <c r="E11" s="23">
        <v>228577270.21000004</v>
      </c>
      <c r="F11" s="23">
        <v>19893607.140000001</v>
      </c>
      <c r="G11" s="23">
        <v>11397569</v>
      </c>
      <c r="H11" s="23">
        <v>0</v>
      </c>
      <c r="I11" s="23">
        <v>318000</v>
      </c>
      <c r="J11" s="20"/>
      <c r="K11" s="20"/>
    </row>
    <row r="12" spans="1:12">
      <c r="A12" s="5">
        <v>3</v>
      </c>
      <c r="B12" s="3" t="s">
        <v>166</v>
      </c>
      <c r="C12" s="23">
        <v>342392535.91000003</v>
      </c>
      <c r="D12" s="23">
        <v>62895589.859999999</v>
      </c>
      <c r="E12" s="23">
        <v>229608523.5999999</v>
      </c>
      <c r="F12" s="23">
        <v>19940911.809999999</v>
      </c>
      <c r="G12" s="23">
        <v>11383257</v>
      </c>
      <c r="H12" s="23">
        <v>0</v>
      </c>
      <c r="I12" s="23">
        <v>318000</v>
      </c>
      <c r="J12" s="20"/>
      <c r="K12" s="20"/>
    </row>
    <row r="13" spans="1:12">
      <c r="A13" s="5">
        <v>4</v>
      </c>
      <c r="B13" s="3" t="s">
        <v>333</v>
      </c>
      <c r="C13" s="23">
        <v>342807272.82999998</v>
      </c>
      <c r="D13" s="23">
        <v>61432922.809999995</v>
      </c>
      <c r="E13" s="23">
        <v>229924927.05000004</v>
      </c>
      <c r="F13" s="23">
        <v>20108487.549999997</v>
      </c>
      <c r="G13" s="23">
        <v>11431748</v>
      </c>
      <c r="H13" s="23">
        <v>0</v>
      </c>
      <c r="I13" s="23">
        <v>318000</v>
      </c>
      <c r="J13" s="20"/>
      <c r="K13" s="20"/>
    </row>
    <row r="14" spans="1:12">
      <c r="A14" s="5">
        <v>5</v>
      </c>
      <c r="B14" s="3" t="s">
        <v>167</v>
      </c>
      <c r="C14" s="23">
        <v>355803045.92000008</v>
      </c>
      <c r="D14" s="23">
        <v>63110064.650000006</v>
      </c>
      <c r="E14" s="23">
        <v>232558288.56</v>
      </c>
      <c r="F14" s="23">
        <v>20123581.659999996</v>
      </c>
      <c r="G14" s="23">
        <v>11467490</v>
      </c>
      <c r="H14" s="23">
        <v>0</v>
      </c>
      <c r="I14" s="23">
        <v>318000</v>
      </c>
      <c r="J14" s="20"/>
      <c r="K14" s="20"/>
    </row>
    <row r="15" spans="1:12">
      <c r="A15" s="5">
        <v>6</v>
      </c>
      <c r="B15" s="3" t="s">
        <v>168</v>
      </c>
      <c r="C15" s="23">
        <v>357392791.32999998</v>
      </c>
      <c r="D15" s="23">
        <v>63027056.920000002</v>
      </c>
      <c r="E15" s="23">
        <v>233208974.34000006</v>
      </c>
      <c r="F15" s="23">
        <v>20129701.210000001</v>
      </c>
      <c r="G15" s="23">
        <v>11503865</v>
      </c>
      <c r="H15" s="23">
        <v>0</v>
      </c>
      <c r="I15" s="23">
        <v>318000</v>
      </c>
      <c r="J15" s="20"/>
      <c r="K15" s="20"/>
    </row>
    <row r="16" spans="1:12">
      <c r="A16" s="5">
        <v>7</v>
      </c>
      <c r="B16" s="3" t="s">
        <v>169</v>
      </c>
      <c r="C16" s="23">
        <v>352382241.06</v>
      </c>
      <c r="D16" s="23">
        <v>64790660.350000009</v>
      </c>
      <c r="E16" s="23">
        <v>231122880.57000002</v>
      </c>
      <c r="F16" s="23">
        <v>20288474.879999995</v>
      </c>
      <c r="G16" s="23">
        <v>11473397</v>
      </c>
      <c r="H16" s="23">
        <v>0</v>
      </c>
      <c r="I16" s="23">
        <v>318000</v>
      </c>
      <c r="J16" s="20"/>
      <c r="K16" s="20"/>
    </row>
    <row r="17" spans="1:11">
      <c r="A17" s="5">
        <v>8</v>
      </c>
      <c r="B17" s="3" t="s">
        <v>170</v>
      </c>
      <c r="C17" s="23">
        <v>357006064.49000001</v>
      </c>
      <c r="D17" s="23">
        <v>67061559.190000005</v>
      </c>
      <c r="E17" s="23">
        <v>233982345.66000006</v>
      </c>
      <c r="F17" s="23">
        <v>20255862.509999998</v>
      </c>
      <c r="G17" s="23">
        <v>11501639</v>
      </c>
      <c r="H17" s="23">
        <v>0</v>
      </c>
      <c r="I17" s="23">
        <v>318000</v>
      </c>
      <c r="J17" s="20"/>
      <c r="K17" s="20"/>
    </row>
    <row r="18" spans="1:11">
      <c r="A18" s="5">
        <v>9</v>
      </c>
      <c r="B18" s="3" t="s">
        <v>334</v>
      </c>
      <c r="C18" s="23">
        <v>357536821.45000005</v>
      </c>
      <c r="D18" s="23">
        <v>67195266.870000005</v>
      </c>
      <c r="E18" s="23">
        <v>234872690.46999997</v>
      </c>
      <c r="F18" s="23">
        <v>20266722.229999997</v>
      </c>
      <c r="G18" s="23">
        <v>11860321</v>
      </c>
      <c r="H18" s="23">
        <v>0</v>
      </c>
      <c r="I18" s="23">
        <v>318000</v>
      </c>
      <c r="J18" s="20"/>
      <c r="K18" s="20"/>
    </row>
    <row r="19" spans="1:11">
      <c r="A19" s="5">
        <v>10</v>
      </c>
      <c r="B19" s="3" t="s">
        <v>171</v>
      </c>
      <c r="C19" s="23">
        <v>351851496.67000002</v>
      </c>
      <c r="D19" s="23">
        <v>65990671.830000006</v>
      </c>
      <c r="E19" s="23">
        <v>234634966.88999993</v>
      </c>
      <c r="F19" s="23">
        <v>20485399.710000001</v>
      </c>
      <c r="G19" s="23">
        <v>12066858</v>
      </c>
      <c r="H19" s="23">
        <v>0</v>
      </c>
      <c r="I19" s="23">
        <v>318000</v>
      </c>
      <c r="J19" s="20"/>
      <c r="K19" s="20"/>
    </row>
    <row r="20" spans="1:11">
      <c r="A20" s="5">
        <v>11</v>
      </c>
      <c r="B20" s="3" t="s">
        <v>172</v>
      </c>
      <c r="C20" s="23">
        <v>346845947.56999999</v>
      </c>
      <c r="D20" s="23">
        <v>67443156.769999996</v>
      </c>
      <c r="E20" s="23">
        <v>236284528.15000001</v>
      </c>
      <c r="F20" s="23">
        <v>20547230.529999997</v>
      </c>
      <c r="G20" s="23">
        <v>12062042</v>
      </c>
      <c r="H20" s="23">
        <v>0</v>
      </c>
      <c r="I20" s="23">
        <v>318000</v>
      </c>
      <c r="J20" s="20"/>
      <c r="K20" s="20"/>
    </row>
    <row r="21" spans="1:11">
      <c r="A21" s="5">
        <v>12</v>
      </c>
      <c r="B21" s="3" t="s">
        <v>173</v>
      </c>
      <c r="C21" s="23">
        <v>346852432.11000001</v>
      </c>
      <c r="D21" s="23">
        <v>67546333.780000001</v>
      </c>
      <c r="E21" s="23">
        <v>236838600.70000002</v>
      </c>
      <c r="F21" s="23">
        <v>20613350.240000002</v>
      </c>
      <c r="G21" s="23">
        <v>12234352</v>
      </c>
      <c r="H21" s="23">
        <v>0</v>
      </c>
      <c r="I21" s="23">
        <v>318000</v>
      </c>
      <c r="J21" s="20"/>
      <c r="K21" s="20"/>
    </row>
    <row r="22" spans="1:11">
      <c r="A22" s="5">
        <v>13</v>
      </c>
      <c r="B22" s="3" t="s">
        <v>335</v>
      </c>
      <c r="C22" s="23">
        <v>346878786.27999997</v>
      </c>
      <c r="D22" s="23">
        <v>67742673.149999991</v>
      </c>
      <c r="E22" s="23">
        <v>235197200.87</v>
      </c>
      <c r="F22" s="23">
        <v>20807562.02</v>
      </c>
      <c r="G22" s="23">
        <v>12388521</v>
      </c>
      <c r="H22" s="23">
        <v>0</v>
      </c>
      <c r="I22" s="23">
        <v>318000</v>
      </c>
      <c r="J22" s="20"/>
      <c r="K22" s="20"/>
    </row>
    <row r="23" spans="1:11" ht="13.5" thickBot="1">
      <c r="A23" s="5">
        <v>14</v>
      </c>
      <c r="B23" s="24" t="s">
        <v>336</v>
      </c>
      <c r="C23" s="25">
        <f>SUM(C10:C22)/13</f>
        <v>349162798.44615388</v>
      </c>
      <c r="D23" s="25">
        <f>SUM(D10:D22)/13</f>
        <v>64937297.950769231</v>
      </c>
      <c r="E23" s="25">
        <f t="shared" ref="E23:I23" si="0">SUM(E10:E22)/13</f>
        <v>232503537.00384617</v>
      </c>
      <c r="F23" s="25">
        <f t="shared" si="0"/>
        <v>20253628.649999999</v>
      </c>
      <c r="G23" s="25">
        <f t="shared" si="0"/>
        <v>11761222.538461538</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1"/>
      <c r="D28" s="760"/>
      <c r="E28" s="982" t="s">
        <v>936</v>
      </c>
      <c r="F28" s="983"/>
      <c r="G28" s="983"/>
      <c r="H28" s="983"/>
      <c r="I28" s="984"/>
    </row>
    <row r="29" spans="1:11">
      <c r="A29" s="5"/>
      <c r="B29" s="3"/>
      <c r="C29" s="7"/>
      <c r="D29" s="7"/>
    </row>
    <row r="30" spans="1:11">
      <c r="A30" s="12" t="s">
        <v>320</v>
      </c>
      <c r="B30" s="13" t="s">
        <v>268</v>
      </c>
      <c r="C30" s="762" t="s">
        <v>980</v>
      </c>
      <c r="D30" s="762" t="s">
        <v>980</v>
      </c>
      <c r="E30" s="13" t="s">
        <v>321</v>
      </c>
      <c r="F30" s="13" t="s">
        <v>21</v>
      </c>
      <c r="G30" s="13" t="s">
        <v>322</v>
      </c>
      <c r="H30" s="13" t="s">
        <v>323</v>
      </c>
      <c r="I30" s="14" t="s">
        <v>324</v>
      </c>
    </row>
    <row r="31" spans="1:11">
      <c r="A31" s="5"/>
      <c r="B31" s="17" t="s">
        <v>157</v>
      </c>
      <c r="C31" s="763" t="s">
        <v>158</v>
      </c>
      <c r="D31" s="17" t="s">
        <v>159</v>
      </c>
      <c r="E31" s="13" t="s">
        <v>160</v>
      </c>
      <c r="F31" s="13" t="s">
        <v>161</v>
      </c>
      <c r="G31" s="13" t="s">
        <v>162</v>
      </c>
      <c r="H31" s="13" t="s">
        <v>163</v>
      </c>
      <c r="I31" s="18" t="s">
        <v>164</v>
      </c>
    </row>
    <row r="32" spans="1:11">
      <c r="A32" s="5"/>
      <c r="B32" s="21" t="s">
        <v>328</v>
      </c>
      <c r="C32" s="14"/>
      <c r="D32" s="567"/>
      <c r="E32" s="567" t="s">
        <v>103</v>
      </c>
      <c r="F32" s="567" t="s">
        <v>104</v>
      </c>
      <c r="G32" s="567" t="s">
        <v>105</v>
      </c>
      <c r="H32" s="14" t="s">
        <v>331</v>
      </c>
      <c r="I32" s="889" t="s">
        <v>1140</v>
      </c>
    </row>
    <row r="33" spans="1:9">
      <c r="A33" s="5">
        <v>15</v>
      </c>
      <c r="B33" s="22" t="s">
        <v>332</v>
      </c>
      <c r="C33" s="14"/>
      <c r="D33" s="14"/>
      <c r="E33" s="23">
        <v>64022753.489999987</v>
      </c>
      <c r="F33" s="23">
        <v>8405027.5443320014</v>
      </c>
      <c r="G33" s="23">
        <v>66749624.869999982</v>
      </c>
      <c r="H33" s="23">
        <v>5820416.4700000007</v>
      </c>
      <c r="I33" s="23">
        <v>622669</v>
      </c>
    </row>
    <row r="34" spans="1:9">
      <c r="A34" s="5">
        <v>16</v>
      </c>
      <c r="B34" s="22" t="s">
        <v>165</v>
      </c>
      <c r="C34" s="14"/>
      <c r="D34" s="14"/>
      <c r="E34" s="23">
        <v>67605134.589217439</v>
      </c>
      <c r="F34" s="23">
        <v>8535416.0711723715</v>
      </c>
      <c r="G34" s="23">
        <v>68545010.746648282</v>
      </c>
      <c r="H34" s="23">
        <v>5010745.8549235612</v>
      </c>
      <c r="I34" s="23">
        <v>779957</v>
      </c>
    </row>
    <row r="35" spans="1:9">
      <c r="A35" s="5">
        <v>17</v>
      </c>
      <c r="B35" s="3" t="s">
        <v>166</v>
      </c>
      <c r="C35" s="14"/>
      <c r="D35" s="14"/>
      <c r="E35" s="23">
        <v>68236150.532186568</v>
      </c>
      <c r="F35" s="23">
        <v>8313864.9161424348</v>
      </c>
      <c r="G35" s="23">
        <v>68536711.091885433</v>
      </c>
      <c r="H35" s="23">
        <v>5056178.9115428757</v>
      </c>
      <c r="I35" s="23">
        <v>859251</v>
      </c>
    </row>
    <row r="36" spans="1:9">
      <c r="A36" s="5">
        <v>18</v>
      </c>
      <c r="B36" s="3" t="s">
        <v>333</v>
      </c>
      <c r="C36" s="14"/>
      <c r="D36" s="14"/>
      <c r="E36" s="23">
        <v>66204111.818655722</v>
      </c>
      <c r="F36" s="23">
        <v>8442870.9971631486</v>
      </c>
      <c r="G36" s="23">
        <v>66254596.254713707</v>
      </c>
      <c r="H36" s="23">
        <v>5127702.921020411</v>
      </c>
      <c r="I36" s="23">
        <v>904341</v>
      </c>
    </row>
    <row r="37" spans="1:9">
      <c r="A37" s="5">
        <v>19</v>
      </c>
      <c r="B37" s="3" t="s">
        <v>167</v>
      </c>
      <c r="C37" s="14"/>
      <c r="D37" s="14"/>
      <c r="E37" s="23">
        <v>69915757.095525086</v>
      </c>
      <c r="F37" s="23">
        <v>8578254.4495829809</v>
      </c>
      <c r="G37" s="23">
        <v>68352783.473331302</v>
      </c>
      <c r="H37" s="23">
        <v>5200059.0039683683</v>
      </c>
      <c r="I37" s="23">
        <v>1042520</v>
      </c>
    </row>
    <row r="38" spans="1:9">
      <c r="A38" s="5">
        <v>20</v>
      </c>
      <c r="B38" s="3" t="s">
        <v>168</v>
      </c>
      <c r="C38" s="14"/>
      <c r="D38" s="14"/>
      <c r="E38" s="23">
        <v>70534910.281918913</v>
      </c>
      <c r="F38" s="23">
        <v>8686962.4694044087</v>
      </c>
      <c r="G38" s="23">
        <v>68548596.278156772</v>
      </c>
      <c r="H38" s="23">
        <v>5269169.5937824156</v>
      </c>
      <c r="I38" s="23">
        <v>1155495</v>
      </c>
    </row>
    <row r="39" spans="1:9">
      <c r="A39" s="5">
        <v>21</v>
      </c>
      <c r="B39" s="3" t="s">
        <v>169</v>
      </c>
      <c r="C39" s="14"/>
      <c r="D39" s="14"/>
      <c r="E39" s="23">
        <v>65634171.009543642</v>
      </c>
      <c r="F39" s="23">
        <v>6600015.3583917301</v>
      </c>
      <c r="G39" s="23">
        <v>65996317.239215784</v>
      </c>
      <c r="H39" s="23">
        <v>5312400.0469660498</v>
      </c>
      <c r="I39" s="23">
        <v>1228665</v>
      </c>
    </row>
    <row r="40" spans="1:9">
      <c r="A40" s="5">
        <v>22</v>
      </c>
      <c r="B40" s="3" t="s">
        <v>170</v>
      </c>
      <c r="C40" s="14"/>
      <c r="D40" s="14"/>
      <c r="E40" s="23">
        <v>71310260.350708887</v>
      </c>
      <c r="F40" s="23">
        <v>8887928.5849756002</v>
      </c>
      <c r="G40" s="23">
        <v>67522430.708889663</v>
      </c>
      <c r="H40" s="23">
        <v>5397689.8003978003</v>
      </c>
      <c r="I40" s="23">
        <v>1407071</v>
      </c>
    </row>
    <row r="41" spans="1:9">
      <c r="A41" s="5">
        <v>23</v>
      </c>
      <c r="B41" s="3" t="s">
        <v>334</v>
      </c>
      <c r="C41" s="14"/>
      <c r="D41" s="14"/>
      <c r="E41" s="23">
        <v>72070475.440343052</v>
      </c>
      <c r="F41" s="23">
        <v>8995868.9022124503</v>
      </c>
      <c r="G41" s="23">
        <v>67794848.402322382</v>
      </c>
      <c r="H41" s="23">
        <v>5473173.1709488612</v>
      </c>
      <c r="I41" s="23">
        <v>1548319</v>
      </c>
    </row>
    <row r="42" spans="1:9">
      <c r="A42" s="5">
        <v>24</v>
      </c>
      <c r="B42" s="3" t="s">
        <v>171</v>
      </c>
      <c r="C42" s="14"/>
      <c r="D42" s="14"/>
      <c r="E42" s="23">
        <v>67406049.21137765</v>
      </c>
      <c r="F42" s="23">
        <v>6934193.4874023963</v>
      </c>
      <c r="G42" s="23">
        <v>65973625.434700064</v>
      </c>
      <c r="H42" s="23">
        <v>5427327.5771915596</v>
      </c>
      <c r="I42" s="23">
        <v>1686060</v>
      </c>
    </row>
    <row r="43" spans="1:9">
      <c r="A43" s="5">
        <v>25</v>
      </c>
      <c r="B43" s="3" t="s">
        <v>172</v>
      </c>
      <c r="C43" s="14"/>
      <c r="D43" s="14"/>
      <c r="E43" s="23">
        <v>65116594.673277907</v>
      </c>
      <c r="F43" s="23">
        <v>6646411.4202695535</v>
      </c>
      <c r="G43" s="23">
        <v>67198261.309446186</v>
      </c>
      <c r="H43" s="23">
        <v>5546211.292522924</v>
      </c>
      <c r="I43" s="23">
        <v>1776951</v>
      </c>
    </row>
    <row r="44" spans="1:9">
      <c r="A44" s="5">
        <v>26</v>
      </c>
      <c r="B44" s="3" t="s">
        <v>173</v>
      </c>
      <c r="C44" s="14"/>
      <c r="D44" s="14"/>
      <c r="E44" s="23">
        <v>65926557.75981193</v>
      </c>
      <c r="F44" s="23">
        <v>6769216.6755436491</v>
      </c>
      <c r="G44" s="23">
        <v>67126493.489093781</v>
      </c>
      <c r="H44" s="23">
        <v>5630665.1059121247</v>
      </c>
      <c r="I44" s="23">
        <v>1825499</v>
      </c>
    </row>
    <row r="45" spans="1:9">
      <c r="A45" s="5">
        <v>27</v>
      </c>
      <c r="B45" s="3" t="s">
        <v>335</v>
      </c>
      <c r="C45" s="14"/>
      <c r="D45" s="14"/>
      <c r="E45" s="23">
        <v>66857439.51014141</v>
      </c>
      <c r="F45" s="23">
        <v>6876817.0681925658</v>
      </c>
      <c r="G45" s="23">
        <v>66076381.585669979</v>
      </c>
      <c r="H45" s="23">
        <v>5718658.591202464</v>
      </c>
      <c r="I45" s="23">
        <v>1581046</v>
      </c>
    </row>
    <row r="46" spans="1:9" ht="13.5" thickBot="1">
      <c r="A46" s="5">
        <v>28</v>
      </c>
      <c r="B46" s="24" t="s">
        <v>336</v>
      </c>
      <c r="C46" s="25"/>
      <c r="D46" s="25">
        <f t="shared" ref="D46:I46" si="1">SUM(D33:D45)/13</f>
        <v>0</v>
      </c>
      <c r="E46" s="25">
        <f t="shared" si="1"/>
        <v>67756951.212515995</v>
      </c>
      <c r="F46" s="25">
        <f t="shared" si="1"/>
        <v>7897911.3803680995</v>
      </c>
      <c r="G46" s="25">
        <f t="shared" si="1"/>
        <v>67282744.68339026</v>
      </c>
      <c r="H46" s="25">
        <f t="shared" si="1"/>
        <v>5383876.7954138014</v>
      </c>
      <c r="I46" s="25">
        <f t="shared" si="1"/>
        <v>1262911.076923077</v>
      </c>
    </row>
    <row r="47" spans="1:9" ht="13.5" thickTop="1">
      <c r="A47" s="5"/>
      <c r="B47" s="3"/>
    </row>
    <row r="48" spans="1:9">
      <c r="A48" s="5"/>
      <c r="B48" s="3"/>
      <c r="C48" s="26"/>
      <c r="D48" s="27"/>
      <c r="E48" s="27"/>
      <c r="F48" s="27"/>
      <c r="G48" s="26"/>
      <c r="H48" s="26"/>
      <c r="I48" s="26"/>
    </row>
    <row r="49" spans="1:12">
      <c r="C49" s="3"/>
      <c r="E49" s="566" t="str">
        <f>E1</f>
        <v>Worksheet A4</v>
      </c>
      <c r="F49" s="3"/>
      <c r="H49" s="3"/>
      <c r="I49" s="3"/>
      <c r="J49" s="3"/>
    </row>
    <row r="50" spans="1:12">
      <c r="A50" s="5"/>
      <c r="C50" s="6"/>
      <c r="D50" s="6"/>
      <c r="E50" s="567" t="str">
        <f>E2</f>
        <v>Rate Base Worksheet</v>
      </c>
      <c r="F50" s="6"/>
      <c r="H50" s="6"/>
      <c r="I50" s="6"/>
      <c r="J50" s="6"/>
      <c r="K50" s="7"/>
      <c r="L50" s="8"/>
    </row>
    <row r="51" spans="1:12">
      <c r="A51" s="5"/>
      <c r="C51" s="6"/>
      <c r="E51" s="297" t="str">
        <f>E3</f>
        <v>Cheyenne Light, Fuel &amp; Power</v>
      </c>
      <c r="F51" s="6"/>
      <c r="H51" s="6"/>
      <c r="I51" s="250" t="s">
        <v>978</v>
      </c>
      <c r="J51" s="6"/>
      <c r="K51" s="7"/>
    </row>
    <row r="52" spans="1:12">
      <c r="A52" s="5"/>
      <c r="B52" s="3"/>
      <c r="C52" s="26"/>
      <c r="D52" s="27"/>
      <c r="E52" s="27"/>
      <c r="F52" s="27"/>
      <c r="G52" s="26"/>
      <c r="H52" s="26"/>
      <c r="I52" s="26"/>
    </row>
    <row r="53" spans="1:12">
      <c r="A53" s="5"/>
      <c r="B53" s="28"/>
      <c r="C53" s="982" t="s">
        <v>937</v>
      </c>
      <c r="D53" s="983"/>
      <c r="E53" s="983"/>
      <c r="F53" s="983"/>
      <c r="G53" s="983"/>
      <c r="H53" s="983"/>
      <c r="I53" s="984"/>
    </row>
    <row r="54" spans="1:12" ht="102" customHeight="1">
      <c r="A54" s="5" t="s">
        <v>320</v>
      </c>
      <c r="B54" s="567" t="s">
        <v>268</v>
      </c>
      <c r="C54" s="18" t="s">
        <v>337</v>
      </c>
      <c r="D54" s="18" t="s">
        <v>338</v>
      </c>
      <c r="E54" s="18" t="s">
        <v>339</v>
      </c>
      <c r="F54" s="18" t="s">
        <v>340</v>
      </c>
      <c r="G54" s="18" t="s">
        <v>341</v>
      </c>
      <c r="H54" s="18" t="s">
        <v>342</v>
      </c>
      <c r="I54" s="18" t="s">
        <v>1129</v>
      </c>
    </row>
    <row r="55" spans="1:12" s="20" customFormat="1">
      <c r="A55" s="5"/>
      <c r="B55" s="567"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row>
    <row r="57" spans="1:12">
      <c r="A57" s="5">
        <v>1</v>
      </c>
      <c r="B57" s="22" t="s">
        <v>332</v>
      </c>
      <c r="C57" s="23">
        <v>0</v>
      </c>
      <c r="D57" s="23">
        <v>0</v>
      </c>
      <c r="E57" s="231">
        <f>'A3-ADIT'!D12</f>
        <v>0</v>
      </c>
      <c r="F57" s="231">
        <f>'A3-ADIT'!D13</f>
        <v>-62379047.964909717</v>
      </c>
      <c r="G57" s="231">
        <f>'A3-ADIT'!D14</f>
        <v>-3088022</v>
      </c>
      <c r="H57" s="231">
        <f>'A3-ADIT'!D15</f>
        <v>12924774</v>
      </c>
      <c r="I57" s="23">
        <v>1398670</v>
      </c>
    </row>
    <row r="58" spans="1:12">
      <c r="A58" s="5">
        <v>2</v>
      </c>
      <c r="B58" s="22" t="s">
        <v>165</v>
      </c>
      <c r="C58" s="23">
        <v>0</v>
      </c>
      <c r="D58" s="23">
        <v>0</v>
      </c>
      <c r="E58" s="30"/>
      <c r="F58" s="30"/>
      <c r="G58" s="30"/>
      <c r="H58" s="30"/>
      <c r="I58" s="23">
        <v>1289745</v>
      </c>
    </row>
    <row r="59" spans="1:12">
      <c r="A59" s="5">
        <v>3</v>
      </c>
      <c r="B59" s="3" t="s">
        <v>166</v>
      </c>
      <c r="C59" s="23">
        <v>0</v>
      </c>
      <c r="D59" s="23">
        <v>0</v>
      </c>
      <c r="E59" s="30"/>
      <c r="F59" s="30"/>
      <c r="G59" s="30"/>
      <c r="H59" s="30"/>
      <c r="I59" s="23">
        <v>614160</v>
      </c>
    </row>
    <row r="60" spans="1:12">
      <c r="A60" s="5">
        <v>4</v>
      </c>
      <c r="B60" s="3" t="s">
        <v>333</v>
      </c>
      <c r="C60" s="23">
        <v>0</v>
      </c>
      <c r="D60" s="23">
        <v>0</v>
      </c>
      <c r="E60" s="30"/>
      <c r="F60" s="30"/>
      <c r="G60" s="30"/>
      <c r="H60" s="30"/>
      <c r="I60" s="23">
        <v>1198317</v>
      </c>
    </row>
    <row r="61" spans="1:12">
      <c r="A61" s="5">
        <v>5</v>
      </c>
      <c r="B61" s="3" t="s">
        <v>167</v>
      </c>
      <c r="C61" s="23">
        <v>0</v>
      </c>
      <c r="D61" s="23">
        <v>0</v>
      </c>
      <c r="E61" s="30"/>
      <c r="F61" s="30"/>
      <c r="G61" s="30"/>
      <c r="H61" s="30"/>
      <c r="I61" s="23">
        <v>1074526</v>
      </c>
    </row>
    <row r="62" spans="1:12">
      <c r="A62" s="5">
        <v>6</v>
      </c>
      <c r="B62" s="3" t="s">
        <v>168</v>
      </c>
      <c r="C62" s="23">
        <v>0</v>
      </c>
      <c r="D62" s="23">
        <v>0</v>
      </c>
      <c r="E62" s="30"/>
      <c r="F62" s="30"/>
      <c r="G62" s="30"/>
      <c r="H62" s="30"/>
      <c r="I62" s="23">
        <v>1051189</v>
      </c>
    </row>
    <row r="63" spans="1:12">
      <c r="A63" s="5">
        <v>7</v>
      </c>
      <c r="B63" s="3" t="s">
        <v>169</v>
      </c>
      <c r="C63" s="23">
        <v>0</v>
      </c>
      <c r="D63" s="23">
        <v>0</v>
      </c>
      <c r="E63" s="30"/>
      <c r="F63" s="30"/>
      <c r="G63" s="30"/>
      <c r="H63" s="30"/>
      <c r="I63" s="23">
        <v>1023309</v>
      </c>
    </row>
    <row r="64" spans="1:12">
      <c r="A64" s="5">
        <v>8</v>
      </c>
      <c r="B64" s="3" t="s">
        <v>170</v>
      </c>
      <c r="C64" s="23">
        <v>0</v>
      </c>
      <c r="D64" s="23">
        <v>0</v>
      </c>
      <c r="E64" s="30"/>
      <c r="F64" s="30"/>
      <c r="G64" s="30"/>
      <c r="H64" s="30"/>
      <c r="I64" s="23">
        <v>912020</v>
      </c>
    </row>
    <row r="65" spans="1:13">
      <c r="A65" s="5">
        <v>9</v>
      </c>
      <c r="B65" s="3" t="s">
        <v>334</v>
      </c>
      <c r="C65" s="23">
        <v>0</v>
      </c>
      <c r="D65" s="23">
        <v>0</v>
      </c>
      <c r="E65" s="30"/>
      <c r="F65" s="30"/>
      <c r="G65" s="30"/>
      <c r="H65" s="30"/>
      <c r="I65" s="23">
        <v>823032</v>
      </c>
    </row>
    <row r="66" spans="1:13">
      <c r="A66" s="5">
        <v>10</v>
      </c>
      <c r="B66" s="3" t="s">
        <v>171</v>
      </c>
      <c r="C66" s="23">
        <v>0</v>
      </c>
      <c r="D66" s="23">
        <v>0</v>
      </c>
      <c r="E66" s="30"/>
      <c r="F66" s="30"/>
      <c r="G66" s="30"/>
      <c r="H66" s="30"/>
      <c r="I66" s="23">
        <v>775001</v>
      </c>
    </row>
    <row r="67" spans="1:13">
      <c r="A67" s="5">
        <v>11</v>
      </c>
      <c r="B67" s="3" t="s">
        <v>172</v>
      </c>
      <c r="C67" s="23">
        <v>0</v>
      </c>
      <c r="D67" s="23">
        <v>0</v>
      </c>
      <c r="E67" s="30"/>
      <c r="F67" s="30"/>
      <c r="G67" s="30"/>
      <c r="H67" s="30"/>
      <c r="I67" s="23">
        <v>1319463</v>
      </c>
    </row>
    <row r="68" spans="1:13">
      <c r="A68" s="5">
        <v>12</v>
      </c>
      <c r="B68" s="3" t="s">
        <v>173</v>
      </c>
      <c r="C68" s="23">
        <v>0</v>
      </c>
      <c r="D68" s="23">
        <v>0</v>
      </c>
      <c r="E68" s="30"/>
      <c r="F68" s="30"/>
      <c r="G68" s="30"/>
      <c r="H68" s="30"/>
      <c r="I68" s="23">
        <v>1303220</v>
      </c>
    </row>
    <row r="69" spans="1:13">
      <c r="A69" s="5">
        <v>13</v>
      </c>
      <c r="B69" s="3" t="s">
        <v>335</v>
      </c>
      <c r="C69" s="23">
        <v>0</v>
      </c>
      <c r="D69" s="23">
        <v>0</v>
      </c>
      <c r="E69" s="231">
        <v>0</v>
      </c>
      <c r="F69" s="231">
        <f>'A3-ADIT'!E13</f>
        <v>-67847487.618393347</v>
      </c>
      <c r="G69" s="231">
        <f>'A3-ADIT'!E14</f>
        <v>-5119768</v>
      </c>
      <c r="H69" s="231">
        <f>'A3-ADIT'!E15</f>
        <v>16680632</v>
      </c>
      <c r="I69" s="23">
        <v>1345521</v>
      </c>
    </row>
    <row r="70" spans="1:13" ht="13.5" thickBot="1">
      <c r="A70" s="5">
        <v>14</v>
      </c>
      <c r="B70" s="21" t="s">
        <v>345</v>
      </c>
      <c r="C70" s="25">
        <f>SUM(C57:C69)/13</f>
        <v>0</v>
      </c>
      <c r="D70" s="31">
        <f>SUM(D57:D69)/13</f>
        <v>0</v>
      </c>
      <c r="E70" s="546">
        <f>'A3-ADIT'!F12</f>
        <v>0</v>
      </c>
      <c r="F70" s="546">
        <f>'A3-ADIT'!F13</f>
        <v>-65113267.791651532</v>
      </c>
      <c r="G70" s="546">
        <f>'A3-ADIT'!F14</f>
        <v>-4103895</v>
      </c>
      <c r="H70" s="546">
        <f>'A3-ADIT'!F15</f>
        <v>14802703</v>
      </c>
      <c r="I70" s="851">
        <f t="shared" ref="I70" si="2">SUM(I57:I69)/13</f>
        <v>1086782.5384615385</v>
      </c>
    </row>
    <row r="71" spans="1:13" ht="13.5" thickTop="1">
      <c r="A71" s="5">
        <v>15</v>
      </c>
      <c r="B71" s="6" t="s">
        <v>1103</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3">+H76*E76*D76*F76*G76</f>
        <v>0</v>
      </c>
      <c r="J76" s="41"/>
      <c r="K76" s="41"/>
      <c r="L76" s="41"/>
      <c r="M76" s="40"/>
    </row>
    <row r="77" spans="1:13" s="20" customFormat="1">
      <c r="A77" s="5">
        <v>17</v>
      </c>
      <c r="B77" s="41"/>
      <c r="C77" s="42" t="s">
        <v>352</v>
      </c>
      <c r="D77" s="45">
        <v>0</v>
      </c>
      <c r="E77" s="43">
        <v>0</v>
      </c>
      <c r="F77" s="43">
        <v>0</v>
      </c>
      <c r="G77" s="43">
        <v>0</v>
      </c>
      <c r="H77" s="43">
        <v>0</v>
      </c>
      <c r="I77" s="44">
        <f t="shared" si="3"/>
        <v>0</v>
      </c>
      <c r="J77" s="41"/>
      <c r="K77" s="41"/>
      <c r="L77" s="41"/>
      <c r="M77" s="40"/>
    </row>
    <row r="78" spans="1:13" s="20" customFormat="1">
      <c r="A78" s="5">
        <v>18</v>
      </c>
      <c r="B78" s="41"/>
      <c r="C78" s="42" t="s">
        <v>353</v>
      </c>
      <c r="D78" s="45"/>
      <c r="E78" s="43"/>
      <c r="F78" s="46"/>
      <c r="G78" s="46"/>
      <c r="H78" s="43"/>
      <c r="I78" s="44">
        <f t="shared" si="3"/>
        <v>0</v>
      </c>
      <c r="J78" s="41"/>
      <c r="K78" s="41"/>
      <c r="L78" s="41"/>
      <c r="M78" s="40"/>
    </row>
    <row r="79" spans="1:13" s="20" customFormat="1">
      <c r="A79" s="5">
        <v>19</v>
      </c>
      <c r="B79" s="41"/>
      <c r="C79" s="42" t="s">
        <v>354</v>
      </c>
      <c r="D79" s="45"/>
      <c r="E79" s="43"/>
      <c r="F79" s="46"/>
      <c r="G79" s="46"/>
      <c r="H79" s="43"/>
      <c r="I79" s="44">
        <f t="shared" si="3"/>
        <v>0</v>
      </c>
      <c r="J79" s="41"/>
      <c r="K79" s="41"/>
      <c r="L79" s="41"/>
      <c r="M79" s="40"/>
    </row>
    <row r="80" spans="1:13" s="20" customFormat="1">
      <c r="A80" s="5">
        <v>20</v>
      </c>
      <c r="B80" s="41"/>
      <c r="C80" s="42" t="s">
        <v>355</v>
      </c>
      <c r="D80" s="45"/>
      <c r="E80" s="43"/>
      <c r="F80" s="46"/>
      <c r="G80" s="46"/>
      <c r="H80" s="43"/>
      <c r="I80" s="44">
        <f t="shared" si="3"/>
        <v>0</v>
      </c>
      <c r="J80" s="41"/>
      <c r="K80" s="41"/>
      <c r="L80" s="41"/>
      <c r="M80" s="40"/>
    </row>
    <row r="81" spans="1:13" s="20" customFormat="1">
      <c r="A81" s="5">
        <v>21</v>
      </c>
      <c r="B81" s="41"/>
      <c r="C81" s="47" t="s">
        <v>355</v>
      </c>
      <c r="D81" s="48">
        <v>0</v>
      </c>
      <c r="E81" s="49">
        <v>0</v>
      </c>
      <c r="F81" s="50"/>
      <c r="G81" s="50"/>
      <c r="H81" s="49"/>
      <c r="I81" s="51">
        <f t="shared" si="3"/>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0" t="str">
        <f>E1</f>
        <v>Worksheet A4</v>
      </c>
      <c r="F83" s="3"/>
      <c r="H83" s="3"/>
      <c r="I83" s="3"/>
      <c r="J83" s="3"/>
    </row>
    <row r="84" spans="1:13">
      <c r="A84" s="5"/>
      <c r="C84" s="6"/>
      <c r="D84" s="6"/>
      <c r="E84" s="750" t="str">
        <f t="shared" ref="E84:E85" si="4">E2</f>
        <v>Rate Base Worksheet</v>
      </c>
      <c r="F84" s="6"/>
      <c r="H84" s="6"/>
      <c r="I84" s="6"/>
      <c r="J84" s="6"/>
      <c r="K84" s="7"/>
      <c r="L84" s="8"/>
    </row>
    <row r="85" spans="1:13" ht="15.5">
      <c r="A85" s="5"/>
      <c r="C85" s="6"/>
      <c r="E85" s="750" t="str">
        <f t="shared" si="4"/>
        <v>Cheyenne Light, Fuel &amp; Power</v>
      </c>
      <c r="F85" s="6"/>
      <c r="H85"/>
      <c r="I85" s="250" t="s">
        <v>966</v>
      </c>
      <c r="J85" s="6"/>
      <c r="K85" s="7"/>
    </row>
    <row r="86" spans="1:13" ht="15.5">
      <c r="A86" s="5"/>
      <c r="B86" s="3"/>
      <c r="C86" s="26"/>
      <c r="D86" s="27"/>
      <c r="E86" s="27"/>
      <c r="F86" s="27"/>
      <c r="G86" s="26"/>
      <c r="H86"/>
      <c r="I86" s="26"/>
    </row>
    <row r="87" spans="1:13" ht="15.5">
      <c r="A87" s="5"/>
      <c r="B87" s="28"/>
      <c r="C87" s="982" t="s">
        <v>967</v>
      </c>
      <c r="D87" s="983"/>
      <c r="E87" s="983"/>
      <c r="F87" s="983"/>
      <c r="G87" s="857" t="s">
        <v>976</v>
      </c>
      <c r="H87"/>
      <c r="I87" s="26"/>
    </row>
    <row r="88" spans="1:13" ht="58.5" customHeight="1">
      <c r="A88" s="5" t="s">
        <v>320</v>
      </c>
      <c r="B88" s="751" t="s">
        <v>268</v>
      </c>
      <c r="C88" s="18" t="s">
        <v>969</v>
      </c>
      <c r="D88" s="18" t="s">
        <v>970</v>
      </c>
      <c r="E88" s="18" t="s">
        <v>971</v>
      </c>
      <c r="F88" s="18" t="s">
        <v>327</v>
      </c>
      <c r="G88" s="18"/>
      <c r="H88"/>
      <c r="I88" s="762"/>
    </row>
    <row r="89" spans="1:13" s="20" customFormat="1" ht="15.5">
      <c r="A89" s="5"/>
      <c r="B89" s="751" t="s">
        <v>157</v>
      </c>
      <c r="C89" s="18" t="s">
        <v>158</v>
      </c>
      <c r="D89" s="18" t="s">
        <v>159</v>
      </c>
      <c r="E89" s="18" t="s">
        <v>160</v>
      </c>
      <c r="F89" s="18" t="s">
        <v>161</v>
      </c>
      <c r="G89" s="248" t="s">
        <v>162</v>
      </c>
      <c r="H89"/>
      <c r="I89" s="763"/>
    </row>
    <row r="90" spans="1:13" s="20" customFormat="1" ht="30.75" customHeight="1">
      <c r="A90" s="5"/>
      <c r="B90" s="29" t="s">
        <v>328</v>
      </c>
      <c r="C90" s="924" t="s">
        <v>972</v>
      </c>
      <c r="D90" s="751" t="s">
        <v>973</v>
      </c>
      <c r="E90" s="924" t="s">
        <v>974</v>
      </c>
      <c r="F90" s="751" t="s">
        <v>975</v>
      </c>
      <c r="G90" s="18"/>
      <c r="H90"/>
      <c r="I90" s="14"/>
    </row>
    <row r="91" spans="1:13" ht="15.5">
      <c r="A91" s="5">
        <v>1</v>
      </c>
      <c r="B91" s="22" t="s">
        <v>332</v>
      </c>
      <c r="C91" s="23">
        <v>6820</v>
      </c>
      <c r="D91" s="23">
        <v>576033</v>
      </c>
      <c r="E91" s="23">
        <v>3661074</v>
      </c>
      <c r="F91" s="759">
        <f>SUM(C91:E91)</f>
        <v>4243927</v>
      </c>
      <c r="G91" s="18"/>
      <c r="H91"/>
      <c r="I91" s="14"/>
    </row>
    <row r="92" spans="1:13" ht="15.5">
      <c r="A92" s="5">
        <v>2</v>
      </c>
      <c r="B92" s="22" t="s">
        <v>165</v>
      </c>
      <c r="C92" s="23">
        <v>4739.853119137515</v>
      </c>
      <c r="D92" s="23">
        <v>585657</v>
      </c>
      <c r="E92" s="23">
        <v>3730817.7259129086</v>
      </c>
      <c r="F92" s="759">
        <f t="shared" ref="F92:F103" si="5">SUM(C92:E92)</f>
        <v>4321214.5790320458</v>
      </c>
      <c r="G92" s="18"/>
      <c r="H92"/>
      <c r="I92" s="14"/>
    </row>
    <row r="93" spans="1:13" ht="15.5">
      <c r="A93" s="5">
        <v>3</v>
      </c>
      <c r="B93" s="3" t="s">
        <v>166</v>
      </c>
      <c r="C93" s="23">
        <v>5043.930239054429</v>
      </c>
      <c r="D93" s="23">
        <v>550073</v>
      </c>
      <c r="E93" s="23">
        <v>3970161.9166537812</v>
      </c>
      <c r="F93" s="759">
        <f t="shared" si="5"/>
        <v>4525278.8468928356</v>
      </c>
      <c r="G93" s="18"/>
      <c r="H93"/>
      <c r="I93" s="14"/>
    </row>
    <row r="94" spans="1:13" ht="15.5">
      <c r="A94" s="5">
        <v>4</v>
      </c>
      <c r="B94" s="3" t="s">
        <v>333</v>
      </c>
      <c r="C94" s="23">
        <v>4921.7802003632851</v>
      </c>
      <c r="D94" s="23">
        <v>585866</v>
      </c>
      <c r="E94" s="23">
        <v>3874015.5766480402</v>
      </c>
      <c r="F94" s="759">
        <f t="shared" si="5"/>
        <v>4464803.3568484038</v>
      </c>
      <c r="G94" s="18"/>
      <c r="H94"/>
      <c r="I94" s="14"/>
    </row>
    <row r="95" spans="1:13" ht="15.5">
      <c r="A95" s="5">
        <v>5</v>
      </c>
      <c r="B95" s="3" t="s">
        <v>167</v>
      </c>
      <c r="C95" s="23">
        <v>4768.8662310506252</v>
      </c>
      <c r="D95" s="23">
        <v>602959</v>
      </c>
      <c r="E95" s="23">
        <v>3753654.431922276</v>
      </c>
      <c r="F95" s="759">
        <f t="shared" si="5"/>
        <v>4361382.2981533268</v>
      </c>
      <c r="G95" s="18"/>
      <c r="H95"/>
      <c r="I95" s="14"/>
    </row>
    <row r="96" spans="1:13" ht="15.5">
      <c r="A96" s="5">
        <v>6</v>
      </c>
      <c r="B96" s="3" t="s">
        <v>168</v>
      </c>
      <c r="C96" s="23">
        <v>4793.8933144954553</v>
      </c>
      <c r="D96" s="23">
        <v>633748</v>
      </c>
      <c r="E96" s="23">
        <v>3773353.6682059662</v>
      </c>
      <c r="F96" s="759">
        <f t="shared" si="5"/>
        <v>4411895.5615204619</v>
      </c>
      <c r="G96" s="18"/>
      <c r="H96"/>
      <c r="I96" s="14"/>
    </row>
    <row r="97" spans="1:13" ht="15.5">
      <c r="A97" s="5">
        <v>7</v>
      </c>
      <c r="B97" s="3" t="s">
        <v>169</v>
      </c>
      <c r="C97" s="23">
        <v>4949.6339605361018</v>
      </c>
      <c r="D97" s="23">
        <v>729234</v>
      </c>
      <c r="E97" s="23">
        <v>3895939.7374973493</v>
      </c>
      <c r="F97" s="759">
        <f t="shared" si="5"/>
        <v>4630123.371457885</v>
      </c>
      <c r="G97" s="18"/>
      <c r="H97"/>
      <c r="I97" s="14"/>
    </row>
    <row r="98" spans="1:13" ht="15.5">
      <c r="A98" s="5">
        <v>8</v>
      </c>
      <c r="B98" s="3" t="s">
        <v>170</v>
      </c>
      <c r="C98" s="23">
        <v>4970.4162487141029</v>
      </c>
      <c r="D98" s="23">
        <v>771926</v>
      </c>
      <c r="E98" s="23">
        <v>3912297.8243769752</v>
      </c>
      <c r="F98" s="759">
        <f t="shared" si="5"/>
        <v>4689194.2406256888</v>
      </c>
      <c r="G98" s="18"/>
      <c r="H98"/>
      <c r="I98" s="14"/>
    </row>
    <row r="99" spans="1:13" ht="15.5">
      <c r="A99" s="5">
        <v>9</v>
      </c>
      <c r="B99" s="3" t="s">
        <v>334</v>
      </c>
      <c r="C99" s="23">
        <v>5034.2793847105368</v>
      </c>
      <c r="D99" s="23">
        <v>777771</v>
      </c>
      <c r="E99" s="23">
        <v>3962565.5676633408</v>
      </c>
      <c r="F99" s="759">
        <f t="shared" si="5"/>
        <v>4745370.8470480517</v>
      </c>
      <c r="G99" s="18"/>
      <c r="H99"/>
      <c r="I99" s="14"/>
    </row>
    <row r="100" spans="1:13" ht="15.5">
      <c r="A100" s="5">
        <v>10</v>
      </c>
      <c r="B100" s="3" t="s">
        <v>171</v>
      </c>
      <c r="C100" s="23">
        <v>5108.8265301751171</v>
      </c>
      <c r="D100" s="23">
        <v>750853</v>
      </c>
      <c r="E100" s="23">
        <v>4021242.8736314364</v>
      </c>
      <c r="F100" s="759">
        <f t="shared" si="5"/>
        <v>4777204.7001616117</v>
      </c>
      <c r="G100" s="18"/>
      <c r="H100"/>
      <c r="I100" s="14"/>
    </row>
    <row r="101" spans="1:13" ht="15.5">
      <c r="A101" s="5">
        <v>11</v>
      </c>
      <c r="B101" s="3" t="s">
        <v>172</v>
      </c>
      <c r="C101" s="23">
        <v>5006.1878905085123</v>
      </c>
      <c r="D101" s="23">
        <v>799752</v>
      </c>
      <c r="E101" s="23">
        <v>3940454.2823804407</v>
      </c>
      <c r="F101" s="759">
        <f t="shared" si="5"/>
        <v>4745212.4702709494</v>
      </c>
      <c r="G101" s="18"/>
      <c r="H101"/>
      <c r="I101" s="14"/>
    </row>
    <row r="102" spans="1:13" ht="15.5">
      <c r="A102" s="5">
        <v>12</v>
      </c>
      <c r="B102" s="3" t="s">
        <v>173</v>
      </c>
      <c r="C102" s="23">
        <v>5407.5026898681417</v>
      </c>
      <c r="D102" s="23">
        <v>682253</v>
      </c>
      <c r="E102" s="921">
        <v>4256335.8781786095</v>
      </c>
      <c r="F102" s="759">
        <f t="shared" si="5"/>
        <v>4943996.3808684777</v>
      </c>
      <c r="G102" s="18"/>
      <c r="H102"/>
      <c r="I102" s="14"/>
    </row>
    <row r="103" spans="1:13" ht="15.5">
      <c r="A103" s="5">
        <v>13</v>
      </c>
      <c r="B103" s="3" t="s">
        <v>335</v>
      </c>
      <c r="C103" s="23">
        <v>5371</v>
      </c>
      <c r="D103" s="23">
        <v>465071</v>
      </c>
      <c r="E103" s="23">
        <v>4227604</v>
      </c>
      <c r="F103" s="759">
        <f t="shared" si="5"/>
        <v>4698046</v>
      </c>
      <c r="G103" s="18"/>
      <c r="H103"/>
      <c r="I103" s="14"/>
    </row>
    <row r="104" spans="1:13" ht="15.5">
      <c r="A104" s="5">
        <v>14</v>
      </c>
      <c r="B104" s="21" t="s">
        <v>345</v>
      </c>
      <c r="C104" s="758">
        <f>SUM(C91:C103)/13</f>
        <v>5148.9361391241391</v>
      </c>
      <c r="D104" s="758">
        <f t="shared" ref="D104:E104" si="6">SUM(D91:D103)/13</f>
        <v>654707.38461538462</v>
      </c>
      <c r="E104" s="758">
        <f t="shared" si="6"/>
        <v>3921501.3448516252</v>
      </c>
      <c r="F104" s="758">
        <f>SUM(F91:F103)/13</f>
        <v>4581357.6656061336</v>
      </c>
      <c r="G104" s="18"/>
      <c r="H104"/>
      <c r="I104"/>
    </row>
    <row r="105" spans="1:13" ht="15.5">
      <c r="A105" s="5">
        <v>15</v>
      </c>
      <c r="B105" s="21" t="s">
        <v>10</v>
      </c>
      <c r="C105" s="756" t="s">
        <v>11</v>
      </c>
      <c r="D105" s="756" t="s">
        <v>100</v>
      </c>
      <c r="E105" s="756" t="s">
        <v>27</v>
      </c>
      <c r="F105" s="752"/>
      <c r="G105" s="18"/>
      <c r="H105"/>
      <c r="I105" s="14"/>
    </row>
    <row r="106" spans="1:13" ht="15.5">
      <c r="A106" s="5">
        <v>16</v>
      </c>
      <c r="B106" s="29" t="s">
        <v>1105</v>
      </c>
      <c r="C106" s="757">
        <f>'Act Att-H'!I174</f>
        <v>0.93588134221765762</v>
      </c>
      <c r="D106" s="757">
        <f>'Act Att-H'!I191</f>
        <v>8.3698853923777461E-2</v>
      </c>
      <c r="E106" s="757">
        <v>0</v>
      </c>
      <c r="F106" s="752"/>
      <c r="G106" s="18"/>
      <c r="H106"/>
      <c r="I106" s="14"/>
    </row>
    <row r="107" spans="1:13" ht="16" thickBot="1">
      <c r="A107" s="5">
        <v>17</v>
      </c>
      <c r="B107" s="21" t="s">
        <v>968</v>
      </c>
      <c r="C107" s="25">
        <f>C106*C104</f>
        <v>4818.7932648765036</v>
      </c>
      <c r="D107" s="25">
        <f t="shared" ref="D107:E107" si="7">D106*D104</f>
        <v>54798.257747741467</v>
      </c>
      <c r="E107" s="25">
        <f t="shared" si="7"/>
        <v>0</v>
      </c>
      <c r="F107" s="25">
        <f>C107+D107+E107</f>
        <v>59617.051012617972</v>
      </c>
      <c r="G107" s="18"/>
      <c r="H107"/>
      <c r="I107" s="14"/>
    </row>
    <row r="108" spans="1:13" s="754" customFormat="1" ht="16" thickTop="1">
      <c r="A108" s="809">
        <v>18</v>
      </c>
      <c r="B108" s="599"/>
      <c r="C108" s="35"/>
      <c r="D108" s="35"/>
      <c r="E108" s="35"/>
      <c r="F108" s="35"/>
      <c r="G108" s="753"/>
      <c r="H108"/>
      <c r="I108" s="41"/>
      <c r="J108" s="41"/>
      <c r="K108" s="41"/>
      <c r="M108" s="755"/>
    </row>
    <row r="109" spans="1:13" s="754" customFormat="1" ht="15.5">
      <c r="A109" s="809">
        <v>19</v>
      </c>
      <c r="B109" s="828" t="s">
        <v>1183</v>
      </c>
      <c r="C109" s="828"/>
      <c r="D109" s="828"/>
      <c r="E109" s="35"/>
      <c r="F109" s="35"/>
      <c r="G109" s="43">
        <v>-373704</v>
      </c>
      <c r="H109"/>
      <c r="I109" s="41"/>
      <c r="J109" s="41"/>
      <c r="K109" s="41"/>
      <c r="M109" s="755"/>
    </row>
    <row r="110" spans="1:13" s="754" customFormat="1" ht="15.5">
      <c r="A110" s="809">
        <v>20</v>
      </c>
      <c r="B110" s="828" t="s">
        <v>1184</v>
      </c>
      <c r="C110" s="828"/>
      <c r="D110" s="828"/>
      <c r="E110" s="35"/>
      <c r="F110" s="35"/>
      <c r="G110" s="49">
        <v>1756837</v>
      </c>
      <c r="H110"/>
      <c r="I110" s="41"/>
      <c r="J110" s="41"/>
      <c r="K110" s="41"/>
      <c r="M110" s="755"/>
    </row>
    <row r="111" spans="1:13" s="754" customFormat="1" ht="15.5">
      <c r="A111" s="809">
        <v>21</v>
      </c>
      <c r="B111" s="828" t="s">
        <v>1107</v>
      </c>
      <c r="C111" s="35"/>
      <c r="D111" s="35"/>
      <c r="E111" s="189" t="s">
        <v>1137</v>
      </c>
      <c r="F111" s="35"/>
      <c r="G111" s="922">
        <f>SUM(G109:G110)</f>
        <v>1383133</v>
      </c>
      <c r="H111"/>
      <c r="I111" s="41"/>
      <c r="J111" s="41"/>
      <c r="K111" s="41"/>
      <c r="M111" s="755"/>
    </row>
    <row r="112" spans="1:13" s="754" customFormat="1" ht="15.5">
      <c r="A112" s="809">
        <v>22</v>
      </c>
      <c r="B112" s="828" t="s">
        <v>1006</v>
      </c>
      <c r="C112" s="826" t="s">
        <v>982</v>
      </c>
      <c r="D112" s="35"/>
      <c r="E112" s="35"/>
      <c r="F112" s="35"/>
      <c r="G112" s="827">
        <v>7.9579999999999998E-2</v>
      </c>
      <c r="H112"/>
      <c r="I112" s="41"/>
      <c r="J112" s="41"/>
      <c r="K112" s="41"/>
      <c r="M112" s="755"/>
    </row>
    <row r="113" spans="1:14" s="754" customFormat="1" ht="15.5">
      <c r="A113" s="809">
        <v>23</v>
      </c>
      <c r="B113" s="900" t="s">
        <v>1106</v>
      </c>
      <c r="C113" s="829"/>
      <c r="D113" s="830"/>
      <c r="E113" s="830"/>
      <c r="F113" s="830"/>
      <c r="G113" s="831">
        <f>G111*G112</f>
        <v>110069.72413999999</v>
      </c>
      <c r="H113"/>
      <c r="I113" s="41"/>
      <c r="J113" s="41"/>
      <c r="K113" s="41"/>
      <c r="M113" s="755"/>
    </row>
    <row r="114" spans="1:14" s="754" customFormat="1" ht="15.5">
      <c r="A114" s="809"/>
      <c r="B114" s="599"/>
      <c r="C114" s="35"/>
      <c r="D114" s="35"/>
      <c r="E114" s="35"/>
      <c r="F114" s="35"/>
      <c r="H114"/>
      <c r="I114" s="41"/>
      <c r="J114" s="41"/>
      <c r="K114" s="41"/>
      <c r="M114" s="755"/>
    </row>
    <row r="115" spans="1:14">
      <c r="A115" s="249" t="s">
        <v>205</v>
      </c>
    </row>
    <row r="116" spans="1:14" ht="15" customHeight="1">
      <c r="A116" s="59" t="s">
        <v>79</v>
      </c>
      <c r="B116" s="950" t="s">
        <v>356</v>
      </c>
      <c r="C116" s="950"/>
      <c r="D116" s="950"/>
      <c r="E116" s="950"/>
      <c r="F116" s="950"/>
      <c r="G116" s="950"/>
      <c r="H116" s="950"/>
      <c r="I116" s="950"/>
      <c r="J116" s="399"/>
      <c r="K116" s="399"/>
    </row>
    <row r="117" spans="1:14" ht="15" customHeight="1">
      <c r="A117" s="59" t="s">
        <v>80</v>
      </c>
      <c r="B117" s="950" t="s">
        <v>357</v>
      </c>
      <c r="C117" s="950"/>
      <c r="D117" s="950"/>
      <c r="E117" s="950"/>
      <c r="F117" s="950"/>
      <c r="G117" s="950"/>
      <c r="H117" s="950"/>
      <c r="I117" s="950"/>
      <c r="J117" s="399"/>
      <c r="K117" s="399"/>
      <c r="L117" s="8"/>
    </row>
    <row r="118" spans="1:14" ht="58.5" customHeight="1">
      <c r="A118" s="60" t="s">
        <v>81</v>
      </c>
      <c r="B118" s="950" t="s">
        <v>939</v>
      </c>
      <c r="C118" s="950"/>
      <c r="D118" s="950"/>
      <c r="E118" s="950"/>
      <c r="F118" s="950"/>
      <c r="G118" s="950"/>
      <c r="H118" s="950"/>
      <c r="I118" s="950"/>
      <c r="J118" s="57"/>
      <c r="K118" s="57"/>
    </row>
    <row r="119" spans="1:14">
      <c r="A119" s="59" t="s">
        <v>82</v>
      </c>
      <c r="B119" s="950" t="s">
        <v>1131</v>
      </c>
      <c r="C119" s="950"/>
      <c r="D119" s="950"/>
      <c r="E119" s="950"/>
      <c r="F119" s="950"/>
      <c r="G119" s="950"/>
      <c r="H119" s="950"/>
      <c r="I119" s="950"/>
      <c r="J119" s="7"/>
      <c r="K119" s="7"/>
    </row>
    <row r="120" spans="1:14" ht="18.75" customHeight="1">
      <c r="A120" s="59" t="s">
        <v>83</v>
      </c>
      <c r="B120" s="986" t="s">
        <v>938</v>
      </c>
      <c r="C120" s="986"/>
      <c r="D120" s="986"/>
      <c r="E120" s="986"/>
      <c r="F120" s="986"/>
      <c r="G120" s="986"/>
      <c r="H120" s="986"/>
      <c r="I120" s="986"/>
      <c r="J120" s="565"/>
      <c r="K120" s="565"/>
      <c r="L120" s="565"/>
      <c r="M120" s="565"/>
      <c r="N120" s="565"/>
    </row>
    <row r="121" spans="1:14" ht="15" customHeight="1">
      <c r="A121" s="59" t="s">
        <v>84</v>
      </c>
      <c r="B121" s="985" t="s">
        <v>358</v>
      </c>
      <c r="C121" s="985"/>
      <c r="D121" s="985"/>
      <c r="E121" s="985"/>
      <c r="F121" s="985"/>
      <c r="G121" s="985"/>
      <c r="H121" s="985"/>
      <c r="I121" s="985"/>
      <c r="J121" s="565"/>
      <c r="K121" s="565"/>
    </row>
    <row r="122" spans="1:14" ht="94" customHeight="1">
      <c r="A122" s="60" t="s">
        <v>85</v>
      </c>
      <c r="B122" s="986" t="s">
        <v>747</v>
      </c>
      <c r="C122" s="986"/>
      <c r="D122" s="986"/>
      <c r="E122" s="986"/>
      <c r="F122" s="986"/>
      <c r="G122" s="986"/>
      <c r="H122" s="986"/>
      <c r="I122" s="986"/>
      <c r="J122" s="565"/>
      <c r="K122" s="565"/>
      <c r="L122" s="565"/>
      <c r="M122" s="565"/>
      <c r="N122" s="565"/>
    </row>
    <row r="123" spans="1:14" ht="36" customHeight="1">
      <c r="A123" s="60" t="s">
        <v>449</v>
      </c>
      <c r="B123" s="950" t="s">
        <v>1100</v>
      </c>
      <c r="C123" s="950"/>
      <c r="D123" s="950"/>
      <c r="E123" s="950"/>
      <c r="F123" s="950"/>
      <c r="G123" s="950"/>
      <c r="H123" s="950"/>
      <c r="I123" s="950"/>
      <c r="J123" s="61"/>
      <c r="K123" s="61"/>
    </row>
    <row r="124" spans="1:14" ht="32.25" customHeight="1">
      <c r="A124" s="60" t="s">
        <v>86</v>
      </c>
      <c r="B124" s="950" t="s">
        <v>1175</v>
      </c>
      <c r="C124" s="950"/>
      <c r="D124" s="950"/>
      <c r="E124" s="950"/>
      <c r="F124" s="950"/>
      <c r="G124" s="950"/>
      <c r="H124" s="950"/>
      <c r="I124" s="950"/>
      <c r="J124" s="61"/>
      <c r="K124" s="61"/>
    </row>
    <row r="125" spans="1:14" ht="27" customHeight="1">
      <c r="A125" s="60" t="s">
        <v>87</v>
      </c>
      <c r="B125" s="950" t="s">
        <v>1117</v>
      </c>
      <c r="C125" s="950"/>
      <c r="D125" s="950"/>
      <c r="E125" s="950"/>
      <c r="F125" s="950"/>
      <c r="G125" s="950"/>
      <c r="H125" s="950"/>
      <c r="I125" s="950"/>
      <c r="J125" s="61"/>
      <c r="K125" s="61"/>
    </row>
    <row r="126" spans="1:14">
      <c r="A126" s="60" t="s">
        <v>88</v>
      </c>
      <c r="B126" s="950" t="s">
        <v>1182</v>
      </c>
      <c r="C126" s="950"/>
      <c r="D126" s="950"/>
      <c r="E126" s="950"/>
      <c r="F126" s="950"/>
      <c r="G126" s="950"/>
      <c r="H126" s="950"/>
      <c r="I126" s="950"/>
    </row>
    <row r="127" spans="1:14">
      <c r="A127" s="60" t="s">
        <v>452</v>
      </c>
      <c r="B127" s="950" t="s">
        <v>1171</v>
      </c>
      <c r="C127" s="950"/>
      <c r="D127" s="950"/>
      <c r="E127" s="950"/>
      <c r="F127" s="950"/>
      <c r="G127" s="950"/>
      <c r="H127" s="950"/>
      <c r="I127" s="950"/>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zoomScaleNormal="100" workbookViewId="0">
      <selection activeCell="H13" sqref="H13"/>
    </sheetView>
  </sheetViews>
  <sheetFormatPr defaultColWidth="7.07421875" defaultRowHeight="13"/>
  <cols>
    <col min="1" max="1" width="2.07421875" style="267" customWidth="1"/>
    <col min="2" max="2" width="3.53515625" style="267" customWidth="1"/>
    <col min="3" max="4" width="1.69140625" style="267" customWidth="1"/>
    <col min="5" max="5" width="6.4609375" style="267" customWidth="1"/>
    <col min="6" max="6" width="52.53515625" style="267" customWidth="1"/>
    <col min="7" max="7" width="1.69140625" style="267" customWidth="1"/>
    <col min="8" max="8" width="8.23046875" style="401"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4" t="s">
        <v>535</v>
      </c>
      <c r="B1" s="974"/>
      <c r="C1" s="974"/>
      <c r="D1" s="974"/>
      <c r="E1" s="974"/>
      <c r="F1" s="974"/>
      <c r="G1" s="974"/>
      <c r="H1" s="974"/>
    </row>
    <row r="2" spans="1:8">
      <c r="A2" s="974" t="s">
        <v>151</v>
      </c>
      <c r="B2" s="974"/>
      <c r="C2" s="974"/>
      <c r="D2" s="974"/>
      <c r="E2" s="974"/>
      <c r="F2" s="974"/>
      <c r="G2" s="974"/>
      <c r="H2" s="974"/>
    </row>
    <row r="3" spans="1:8">
      <c r="A3" s="975" t="str">
        <f>'Act Att-H'!C7</f>
        <v>Cheyenne Light, Fuel &amp; Power</v>
      </c>
      <c r="B3" s="975"/>
      <c r="C3" s="975"/>
      <c r="D3" s="975"/>
      <c r="E3" s="975"/>
      <c r="F3" s="975"/>
      <c r="G3" s="975"/>
      <c r="H3" s="975"/>
    </row>
    <row r="4" spans="1:8">
      <c r="F4" s="293"/>
      <c r="H4" s="401" t="s">
        <v>673</v>
      </c>
    </row>
    <row r="5" spans="1:8">
      <c r="A5" s="988"/>
      <c r="B5" s="988"/>
      <c r="C5" s="988"/>
      <c r="D5" s="988"/>
      <c r="E5" s="988"/>
      <c r="F5" s="988"/>
      <c r="G5" s="988"/>
      <c r="H5" s="988"/>
    </row>
    <row r="6" spans="1:8">
      <c r="A6" s="278"/>
      <c r="B6" s="294" t="s">
        <v>4</v>
      </c>
      <c r="C6" s="278"/>
      <c r="D6" s="278"/>
      <c r="E6" s="278"/>
      <c r="F6" s="278"/>
      <c r="G6" s="278"/>
      <c r="H6" s="278"/>
    </row>
    <row r="7" spans="1:8">
      <c r="A7" s="278"/>
      <c r="B7" s="901" t="s">
        <v>6</v>
      </c>
      <c r="C7" s="278"/>
      <c r="D7" s="902" t="s">
        <v>140</v>
      </c>
      <c r="E7" s="902"/>
      <c r="F7" s="902"/>
      <c r="G7" s="278"/>
      <c r="H7" s="903" t="s">
        <v>152</v>
      </c>
    </row>
    <row r="8" spans="1:8">
      <c r="A8" s="278"/>
      <c r="B8" s="294">
        <v>1</v>
      </c>
      <c r="C8" s="278"/>
      <c r="D8" s="278"/>
      <c r="E8" s="278"/>
      <c r="F8" s="278"/>
      <c r="G8" s="278"/>
      <c r="H8" s="904"/>
    </row>
    <row r="9" spans="1:8">
      <c r="A9" s="278"/>
      <c r="B9" s="294">
        <v>2</v>
      </c>
      <c r="C9" s="278"/>
      <c r="D9" s="285" t="s">
        <v>1077</v>
      </c>
      <c r="E9" s="285"/>
      <c r="F9" s="278"/>
      <c r="G9" s="278"/>
      <c r="H9" s="904"/>
    </row>
    <row r="10" spans="1:8">
      <c r="A10" s="278"/>
      <c r="B10" s="294">
        <v>3</v>
      </c>
      <c r="C10" s="278"/>
      <c r="D10" s="278"/>
      <c r="E10" s="905">
        <v>350.03</v>
      </c>
      <c r="F10" s="906" t="s">
        <v>677</v>
      </c>
      <c r="G10" s="278"/>
      <c r="H10" s="402">
        <v>1.0800000000000001E-2</v>
      </c>
    </row>
    <row r="11" spans="1:8">
      <c r="A11" s="278"/>
      <c r="B11" s="294">
        <v>4</v>
      </c>
      <c r="C11" s="278"/>
      <c r="D11" s="278"/>
      <c r="E11" s="905">
        <v>352</v>
      </c>
      <c r="F11" s="278" t="s">
        <v>678</v>
      </c>
      <c r="G11" s="278"/>
      <c r="H11" s="402">
        <v>1.04E-2</v>
      </c>
    </row>
    <row r="12" spans="1:8">
      <c r="A12" s="278"/>
      <c r="B12" s="294">
        <v>5</v>
      </c>
      <c r="C12" s="278"/>
      <c r="D12" s="278"/>
      <c r="E12" s="905">
        <v>352.05</v>
      </c>
      <c r="F12" s="278" t="s">
        <v>679</v>
      </c>
      <c r="G12" s="278"/>
      <c r="H12" s="402">
        <v>1.83E-2</v>
      </c>
    </row>
    <row r="13" spans="1:8">
      <c r="A13" s="278"/>
      <c r="B13" s="294">
        <v>6</v>
      </c>
      <c r="C13" s="278"/>
      <c r="D13" s="278"/>
      <c r="E13" s="905">
        <v>353</v>
      </c>
      <c r="F13" s="278" t="s">
        <v>680</v>
      </c>
      <c r="G13" s="278"/>
      <c r="H13" s="402">
        <v>2.1100000000000001E-2</v>
      </c>
    </row>
    <row r="14" spans="1:8">
      <c r="A14" s="278"/>
      <c r="B14" s="294">
        <v>7</v>
      </c>
      <c r="C14" s="278"/>
      <c r="D14" s="278"/>
      <c r="E14" s="905">
        <v>354</v>
      </c>
      <c r="F14" s="278" t="s">
        <v>681</v>
      </c>
      <c r="G14" s="278"/>
      <c r="H14" s="402">
        <v>1.2200000000000001E-2</v>
      </c>
    </row>
    <row r="15" spans="1:8">
      <c r="A15" s="278"/>
      <c r="B15" s="294">
        <v>8</v>
      </c>
      <c r="C15" s="278"/>
      <c r="D15" s="278"/>
      <c r="E15" s="905">
        <v>355</v>
      </c>
      <c r="F15" s="906" t="s">
        <v>682</v>
      </c>
      <c r="G15" s="278"/>
      <c r="H15" s="402">
        <v>2.7699999999999999E-2</v>
      </c>
    </row>
    <row r="16" spans="1:8">
      <c r="A16" s="278"/>
      <c r="B16" s="294">
        <v>9</v>
      </c>
      <c r="C16" s="278"/>
      <c r="D16" s="278"/>
      <c r="E16" s="905">
        <v>356</v>
      </c>
      <c r="F16" s="278" t="s">
        <v>683</v>
      </c>
      <c r="G16" s="278"/>
      <c r="H16" s="402">
        <v>1.95E-2</v>
      </c>
    </row>
    <row r="17" spans="1:8">
      <c r="A17" s="278"/>
      <c r="B17" s="294">
        <v>10</v>
      </c>
      <c r="C17" s="278"/>
      <c r="D17" s="278"/>
      <c r="E17" s="278"/>
      <c r="F17" s="907" t="s">
        <v>684</v>
      </c>
      <c r="G17" s="278"/>
      <c r="H17" s="405">
        <v>0.02</v>
      </c>
    </row>
    <row r="18" spans="1:8">
      <c r="A18" s="278"/>
      <c r="B18" s="294">
        <v>11</v>
      </c>
      <c r="C18" s="278"/>
      <c r="D18" s="278"/>
      <c r="E18" s="278"/>
      <c r="F18" s="893"/>
      <c r="G18" s="278"/>
      <c r="H18" s="860"/>
    </row>
    <row r="19" spans="1:8">
      <c r="A19" s="278"/>
      <c r="B19" s="294">
        <v>12</v>
      </c>
      <c r="C19" s="278"/>
      <c r="D19" s="285" t="s">
        <v>1190</v>
      </c>
      <c r="E19" s="278"/>
      <c r="F19" s="278"/>
      <c r="G19" s="278"/>
      <c r="H19" s="403"/>
    </row>
    <row r="20" spans="1:8">
      <c r="A20" s="278"/>
      <c r="B20" s="294">
        <v>13</v>
      </c>
      <c r="C20" s="278"/>
      <c r="D20" s="278"/>
      <c r="E20" s="905">
        <v>390.01</v>
      </c>
      <c r="F20" s="906" t="s">
        <v>1141</v>
      </c>
      <c r="G20" s="278"/>
      <c r="H20" s="402">
        <v>2.12E-2</v>
      </c>
    </row>
    <row r="21" spans="1:8">
      <c r="A21" s="278"/>
      <c r="B21" s="294">
        <v>14</v>
      </c>
      <c r="C21" s="278"/>
      <c r="D21" s="278"/>
      <c r="E21" s="905">
        <v>391.01</v>
      </c>
      <c r="F21" s="278" t="s">
        <v>1142</v>
      </c>
      <c r="G21" s="278"/>
      <c r="H21" s="402">
        <v>5.0999999999999997E-2</v>
      </c>
    </row>
    <row r="22" spans="1:8">
      <c r="A22" s="278"/>
      <c r="B22" s="294">
        <v>15</v>
      </c>
      <c r="C22" s="278"/>
      <c r="D22" s="278"/>
      <c r="E22" s="905">
        <v>391.03</v>
      </c>
      <c r="F22" s="278" t="s">
        <v>1143</v>
      </c>
      <c r="G22" s="278"/>
      <c r="H22" s="402">
        <v>0.18629999999999999</v>
      </c>
    </row>
    <row r="23" spans="1:8">
      <c r="A23" s="278"/>
      <c r="B23" s="294">
        <v>16</v>
      </c>
      <c r="C23" s="278"/>
      <c r="D23" s="278"/>
      <c r="E23" s="905">
        <v>391.04</v>
      </c>
      <c r="F23" s="278" t="s">
        <v>1144</v>
      </c>
      <c r="G23" s="278"/>
      <c r="H23" s="402">
        <v>0.13320000000000001</v>
      </c>
    </row>
    <row r="24" spans="1:8">
      <c r="A24" s="278"/>
      <c r="B24" s="294">
        <v>17</v>
      </c>
      <c r="C24" s="278"/>
      <c r="D24" s="278"/>
      <c r="E24" s="908">
        <v>392</v>
      </c>
      <c r="F24" s="278" t="s">
        <v>1145</v>
      </c>
      <c r="G24" s="278"/>
      <c r="H24" s="402">
        <v>6.08E-2</v>
      </c>
    </row>
    <row r="25" spans="1:8">
      <c r="A25" s="278"/>
      <c r="B25" s="294">
        <v>18</v>
      </c>
      <c r="C25" s="278"/>
      <c r="D25" s="278"/>
      <c r="E25" s="905">
        <v>393</v>
      </c>
      <c r="F25" s="278" t="s">
        <v>1146</v>
      </c>
      <c r="G25" s="278"/>
      <c r="H25" s="402">
        <v>5.0200000000000002E-2</v>
      </c>
    </row>
    <row r="26" spans="1:8">
      <c r="A26" s="278"/>
      <c r="B26" s="294">
        <v>19</v>
      </c>
      <c r="C26" s="278"/>
      <c r="D26" s="278"/>
      <c r="E26" s="905">
        <v>394</v>
      </c>
      <c r="F26" s="278" t="s">
        <v>1147</v>
      </c>
      <c r="G26" s="278"/>
      <c r="H26" s="402">
        <v>3.5099999999999999E-2</v>
      </c>
    </row>
    <row r="27" spans="1:8">
      <c r="A27" s="278"/>
      <c r="B27" s="294">
        <v>20</v>
      </c>
      <c r="C27" s="278"/>
      <c r="D27" s="278"/>
      <c r="E27" s="905">
        <v>395</v>
      </c>
      <c r="F27" s="278" t="s">
        <v>1148</v>
      </c>
      <c r="G27" s="278"/>
      <c r="H27" s="402">
        <v>2.7E-2</v>
      </c>
    </row>
    <row r="28" spans="1:8">
      <c r="A28" s="278"/>
      <c r="B28" s="294">
        <v>21</v>
      </c>
      <c r="C28" s="278"/>
      <c r="D28" s="278"/>
      <c r="E28" s="905">
        <v>396</v>
      </c>
      <c r="F28" s="278" t="s">
        <v>1161</v>
      </c>
      <c r="G28" s="278"/>
      <c r="H28" s="402">
        <v>5.5300000000000002E-2</v>
      </c>
    </row>
    <row r="29" spans="1:8">
      <c r="A29" s="278"/>
      <c r="B29" s="294">
        <v>22</v>
      </c>
      <c r="C29" s="278"/>
      <c r="D29" s="278"/>
      <c r="E29" s="905">
        <v>397</v>
      </c>
      <c r="F29" s="278" t="s">
        <v>1162</v>
      </c>
      <c r="G29" s="278"/>
      <c r="H29" s="402">
        <v>6.9599999999999995E-2</v>
      </c>
    </row>
    <row r="30" spans="1:8">
      <c r="A30" s="278"/>
      <c r="B30" s="294">
        <v>23</v>
      </c>
      <c r="C30" s="278"/>
      <c r="D30" s="278"/>
      <c r="E30" s="278"/>
      <c r="F30" s="907" t="s">
        <v>1149</v>
      </c>
      <c r="G30" s="278"/>
      <c r="H30" s="909">
        <v>7.2599999999999998E-2</v>
      </c>
    </row>
    <row r="31" spans="1:8">
      <c r="A31" s="278"/>
      <c r="B31" s="294">
        <v>24</v>
      </c>
      <c r="C31" s="278"/>
      <c r="D31" s="278"/>
      <c r="E31" s="278"/>
      <c r="F31" s="893"/>
      <c r="G31" s="278"/>
      <c r="H31" s="860"/>
    </row>
    <row r="32" spans="1:8">
      <c r="A32" s="278"/>
      <c r="B32" s="294">
        <v>25</v>
      </c>
      <c r="C32" s="278"/>
      <c r="D32" s="285" t="s">
        <v>1191</v>
      </c>
      <c r="E32" s="278"/>
      <c r="F32" s="278"/>
      <c r="G32" s="278"/>
      <c r="H32" s="403"/>
    </row>
    <row r="33" spans="1:8">
      <c r="A33" s="278"/>
      <c r="B33" s="294">
        <v>26</v>
      </c>
      <c r="C33" s="278"/>
      <c r="D33" s="278"/>
      <c r="E33" s="905">
        <v>390.01</v>
      </c>
      <c r="F33" s="906" t="s">
        <v>1141</v>
      </c>
      <c r="G33" s="278"/>
      <c r="H33" s="402">
        <v>1.12E-2</v>
      </c>
    </row>
    <row r="34" spans="1:8">
      <c r="A34" s="278"/>
      <c r="B34" s="294">
        <v>27</v>
      </c>
      <c r="C34" s="278"/>
      <c r="D34" s="278"/>
      <c r="E34" s="905">
        <v>390.05</v>
      </c>
      <c r="F34" s="906" t="s">
        <v>1192</v>
      </c>
      <c r="G34" s="278"/>
      <c r="H34" s="402">
        <v>1.38E-2</v>
      </c>
    </row>
    <row r="35" spans="1:8">
      <c r="A35" s="278"/>
      <c r="B35" s="294">
        <v>28</v>
      </c>
      <c r="C35" s="278"/>
      <c r="D35" s="278"/>
      <c r="E35" s="905">
        <v>391.01</v>
      </c>
      <c r="F35" s="278" t="s">
        <v>1142</v>
      </c>
      <c r="G35" s="278"/>
      <c r="H35" s="402">
        <v>3.4599999999999999E-2</v>
      </c>
    </row>
    <row r="36" spans="1:8">
      <c r="A36" s="278"/>
      <c r="B36" s="294">
        <v>29</v>
      </c>
      <c r="C36" s="278"/>
      <c r="D36" s="278"/>
      <c r="E36" s="905">
        <v>391.03</v>
      </c>
      <c r="F36" s="278" t="s">
        <v>1143</v>
      </c>
      <c r="G36" s="278"/>
      <c r="H36" s="402">
        <v>0.16400000000000001</v>
      </c>
    </row>
    <row r="37" spans="1:8">
      <c r="A37" s="278"/>
      <c r="B37" s="294">
        <v>30</v>
      </c>
      <c r="C37" s="278"/>
      <c r="D37" s="278"/>
      <c r="E37" s="905">
        <v>391.04</v>
      </c>
      <c r="F37" s="278" t="s">
        <v>1144</v>
      </c>
      <c r="G37" s="278"/>
      <c r="H37" s="402">
        <v>0</v>
      </c>
    </row>
    <row r="38" spans="1:8">
      <c r="A38" s="278"/>
      <c r="B38" s="294">
        <v>31</v>
      </c>
      <c r="C38" s="278"/>
      <c r="D38" s="278"/>
      <c r="E38" s="905">
        <v>391.05</v>
      </c>
      <c r="F38" s="278" t="s">
        <v>1193</v>
      </c>
      <c r="G38" s="278"/>
      <c r="H38" s="402">
        <v>0.1464</v>
      </c>
    </row>
    <row r="39" spans="1:8">
      <c r="A39" s="278"/>
      <c r="B39" s="294">
        <v>32</v>
      </c>
      <c r="C39" s="278"/>
      <c r="D39" s="278"/>
      <c r="E39" s="908">
        <v>392</v>
      </c>
      <c r="F39" s="278" t="s">
        <v>1145</v>
      </c>
      <c r="G39" s="278"/>
      <c r="H39" s="402">
        <v>7.8899999999999998E-2</v>
      </c>
    </row>
    <row r="40" spans="1:8">
      <c r="A40" s="278"/>
      <c r="B40" s="294">
        <v>33</v>
      </c>
      <c r="C40" s="278"/>
      <c r="D40" s="278"/>
      <c r="E40" s="905">
        <v>393</v>
      </c>
      <c r="F40" s="278" t="s">
        <v>1146</v>
      </c>
      <c r="G40" s="278"/>
      <c r="H40" s="402">
        <v>4.8500000000000001E-2</v>
      </c>
    </row>
    <row r="41" spans="1:8">
      <c r="A41" s="278"/>
      <c r="B41" s="294">
        <v>34</v>
      </c>
      <c r="C41" s="278"/>
      <c r="D41" s="278"/>
      <c r="E41" s="905">
        <v>394</v>
      </c>
      <c r="F41" s="278" t="s">
        <v>1147</v>
      </c>
      <c r="G41" s="278"/>
      <c r="H41" s="402">
        <v>3.4099999999999998E-2</v>
      </c>
    </row>
    <row r="42" spans="1:8">
      <c r="A42" s="278"/>
      <c r="B42" s="294">
        <v>35</v>
      </c>
      <c r="C42" s="278"/>
      <c r="D42" s="278"/>
      <c r="E42" s="905">
        <v>395</v>
      </c>
      <c r="F42" s="278" t="s">
        <v>1148</v>
      </c>
      <c r="G42" s="278"/>
      <c r="H42" s="402">
        <v>3.9699999999999999E-2</v>
      </c>
    </row>
    <row r="43" spans="1:8">
      <c r="A43" s="278"/>
      <c r="B43" s="294">
        <v>36</v>
      </c>
      <c r="C43" s="278"/>
      <c r="D43" s="278"/>
      <c r="E43" s="905">
        <v>396</v>
      </c>
      <c r="F43" s="278" t="s">
        <v>1161</v>
      </c>
      <c r="G43" s="278"/>
      <c r="H43" s="402">
        <v>4.6699999999999998E-2</v>
      </c>
    </row>
    <row r="44" spans="1:8">
      <c r="A44" s="278"/>
      <c r="B44" s="294">
        <v>37</v>
      </c>
      <c r="C44" s="278"/>
      <c r="D44" s="278"/>
      <c r="E44" s="905">
        <v>397</v>
      </c>
      <c r="F44" s="278" t="s">
        <v>1162</v>
      </c>
      <c r="G44" s="278"/>
      <c r="H44" s="402">
        <v>1.83E-2</v>
      </c>
    </row>
    <row r="45" spans="1:8">
      <c r="A45" s="278"/>
      <c r="B45" s="294">
        <v>38</v>
      </c>
      <c r="C45" s="278"/>
      <c r="D45" s="278"/>
      <c r="E45" s="905">
        <v>397.01</v>
      </c>
      <c r="F45" s="278" t="s">
        <v>1194</v>
      </c>
      <c r="G45" s="278"/>
      <c r="H45" s="402">
        <v>5.0200000000000002E-2</v>
      </c>
    </row>
    <row r="46" spans="1:8">
      <c r="A46" s="278"/>
      <c r="B46" s="294">
        <v>39</v>
      </c>
      <c r="C46" s="278"/>
      <c r="D46" s="278"/>
      <c r="E46" s="905">
        <v>398</v>
      </c>
      <c r="F46" s="278" t="s">
        <v>1159</v>
      </c>
      <c r="G46" s="278"/>
      <c r="H46" s="402">
        <v>3.0300000000000001E-2</v>
      </c>
    </row>
    <row r="47" spans="1:8">
      <c r="A47" s="278"/>
      <c r="B47" s="294">
        <v>40</v>
      </c>
      <c r="C47" s="278"/>
      <c r="D47" s="278"/>
      <c r="E47" s="278"/>
      <c r="F47" s="907" t="s">
        <v>1149</v>
      </c>
      <c r="G47" s="278"/>
      <c r="H47" s="909">
        <v>3.0300000000000001E-2</v>
      </c>
    </row>
    <row r="48" spans="1:8">
      <c r="A48" s="278"/>
      <c r="B48" s="294">
        <v>41</v>
      </c>
      <c r="C48" s="278"/>
      <c r="D48" s="285" t="s">
        <v>1150</v>
      </c>
      <c r="E48" s="278"/>
      <c r="F48" s="893"/>
      <c r="G48" s="278"/>
      <c r="H48" s="860"/>
    </row>
    <row r="49" spans="1:8">
      <c r="A49" s="278"/>
      <c r="B49" s="294">
        <v>42</v>
      </c>
      <c r="C49" s="278"/>
      <c r="D49" s="278"/>
      <c r="E49" s="905">
        <v>301</v>
      </c>
      <c r="F49" s="906" t="s">
        <v>1152</v>
      </c>
      <c r="G49" s="278"/>
      <c r="H49" s="860">
        <v>0.04</v>
      </c>
    </row>
    <row r="50" spans="1:8">
      <c r="A50" s="278"/>
      <c r="B50" s="294">
        <v>43</v>
      </c>
      <c r="C50" s="278"/>
      <c r="D50" s="278"/>
      <c r="E50" s="905">
        <v>302</v>
      </c>
      <c r="F50" s="906" t="s">
        <v>1153</v>
      </c>
      <c r="G50" s="278"/>
      <c r="H50" s="860">
        <v>0.04</v>
      </c>
    </row>
    <row r="51" spans="1:8">
      <c r="A51" s="278"/>
      <c r="B51" s="294">
        <v>44</v>
      </c>
      <c r="C51" s="278"/>
      <c r="D51" s="278"/>
      <c r="E51" s="905">
        <v>303</v>
      </c>
      <c r="F51" s="906" t="s">
        <v>1151</v>
      </c>
      <c r="G51" s="278"/>
      <c r="H51" s="860">
        <v>0.04</v>
      </c>
    </row>
    <row r="52" spans="1:8">
      <c r="A52" s="278"/>
      <c r="B52" s="294">
        <v>45</v>
      </c>
      <c r="C52" s="278"/>
      <c r="D52" s="278"/>
      <c r="E52" s="278"/>
      <c r="F52" s="907" t="s">
        <v>1154</v>
      </c>
      <c r="G52" s="278"/>
      <c r="H52" s="405">
        <v>0.04</v>
      </c>
    </row>
    <row r="53" spans="1:8">
      <c r="A53" s="278"/>
      <c r="B53" s="294">
        <v>46</v>
      </c>
      <c r="C53" s="278"/>
      <c r="D53" s="278"/>
      <c r="E53" s="278"/>
      <c r="F53" s="893"/>
      <c r="G53" s="278"/>
      <c r="H53" s="860"/>
    </row>
    <row r="54" spans="1:8">
      <c r="A54" s="278"/>
      <c r="B54" s="294">
        <v>47</v>
      </c>
      <c r="C54" s="278"/>
      <c r="D54" s="285" t="s">
        <v>1172</v>
      </c>
      <c r="E54" s="278"/>
      <c r="F54" s="893"/>
      <c r="G54" s="278"/>
      <c r="H54" s="860"/>
    </row>
    <row r="55" spans="1:8">
      <c r="A55" s="278"/>
      <c r="B55" s="294">
        <v>48</v>
      </c>
      <c r="C55" s="278"/>
      <c r="D55" s="278"/>
      <c r="E55" s="285" t="s">
        <v>1157</v>
      </c>
      <c r="F55" s="893"/>
      <c r="G55" s="278"/>
      <c r="H55" s="860"/>
    </row>
    <row r="56" spans="1:8">
      <c r="A56" s="278"/>
      <c r="B56" s="294">
        <v>49</v>
      </c>
      <c r="C56" s="278"/>
      <c r="D56" s="278"/>
      <c r="E56" s="905">
        <v>390.01</v>
      </c>
      <c r="F56" s="906" t="s">
        <v>1141</v>
      </c>
      <c r="G56" s="278"/>
      <c r="H56" s="860">
        <v>1.9900000000000001E-2</v>
      </c>
    </row>
    <row r="57" spans="1:8">
      <c r="A57" s="278"/>
      <c r="B57" s="294">
        <v>50</v>
      </c>
      <c r="C57" s="278"/>
      <c r="D57" s="278"/>
      <c r="E57" s="905">
        <v>391</v>
      </c>
      <c r="F57" s="278" t="s">
        <v>1142</v>
      </c>
      <c r="G57" s="278"/>
      <c r="H57" s="860">
        <v>0.1245</v>
      </c>
    </row>
    <row r="58" spans="1:8">
      <c r="A58" s="278"/>
      <c r="B58" s="294">
        <v>51</v>
      </c>
      <c r="C58" s="278"/>
      <c r="D58" s="278"/>
      <c r="E58" s="908">
        <v>392</v>
      </c>
      <c r="F58" s="278" t="s">
        <v>1145</v>
      </c>
      <c r="G58" s="278"/>
      <c r="H58" s="860">
        <v>8.6400000000000005E-2</v>
      </c>
    </row>
    <row r="59" spans="1:8">
      <c r="A59" s="278"/>
      <c r="B59" s="294">
        <v>52</v>
      </c>
      <c r="C59" s="278"/>
      <c r="D59" s="278"/>
      <c r="E59" s="905">
        <v>395</v>
      </c>
      <c r="F59" s="278" t="s">
        <v>1148</v>
      </c>
      <c r="G59" s="278"/>
      <c r="H59" s="860">
        <v>0.05</v>
      </c>
    </row>
    <row r="60" spans="1:8">
      <c r="A60" s="278"/>
      <c r="B60" s="294">
        <v>53</v>
      </c>
      <c r="C60" s="278"/>
      <c r="D60" s="278"/>
      <c r="E60" s="905">
        <v>397</v>
      </c>
      <c r="F60" s="278" t="s">
        <v>1155</v>
      </c>
      <c r="G60" s="278"/>
      <c r="H60" s="860">
        <v>6.6699999999999995E-2</v>
      </c>
    </row>
    <row r="61" spans="1:8">
      <c r="A61" s="278"/>
      <c r="B61" s="294">
        <v>54</v>
      </c>
      <c r="C61" s="278"/>
      <c r="D61" s="278"/>
      <c r="E61" s="905">
        <v>397.1</v>
      </c>
      <c r="F61" s="278" t="s">
        <v>1156</v>
      </c>
      <c r="G61" s="278"/>
      <c r="H61" s="860">
        <v>0.04</v>
      </c>
    </row>
    <row r="62" spans="1:8">
      <c r="A62" s="278"/>
      <c r="B62" s="294">
        <v>55</v>
      </c>
      <c r="C62" s="278"/>
      <c r="D62" s="278"/>
      <c r="E62" s="278"/>
      <c r="F62" s="907" t="s">
        <v>1149</v>
      </c>
      <c r="G62" s="278"/>
      <c r="H62" s="909">
        <v>0.1206</v>
      </c>
    </row>
    <row r="63" spans="1:8">
      <c r="A63" s="278"/>
      <c r="B63" s="294">
        <v>56</v>
      </c>
      <c r="C63" s="278"/>
      <c r="D63" s="278"/>
      <c r="E63" s="278"/>
      <c r="F63" s="893"/>
      <c r="G63" s="278"/>
      <c r="H63" s="910"/>
    </row>
    <row r="64" spans="1:8">
      <c r="A64" s="278"/>
      <c r="B64" s="294">
        <v>57</v>
      </c>
      <c r="C64" s="278"/>
      <c r="D64" s="278"/>
      <c r="E64" s="285" t="s">
        <v>1158</v>
      </c>
      <c r="F64" s="893"/>
      <c r="G64" s="278"/>
      <c r="H64" s="910"/>
    </row>
    <row r="65" spans="1:8">
      <c r="A65" s="278"/>
      <c r="B65" s="294">
        <v>58</v>
      </c>
      <c r="C65" s="278"/>
      <c r="D65" s="278"/>
      <c r="E65" s="905">
        <v>390.01</v>
      </c>
      <c r="F65" s="906" t="s">
        <v>1197</v>
      </c>
      <c r="G65" s="278"/>
      <c r="H65" s="910">
        <v>2.2499999999999999E-2</v>
      </c>
    </row>
    <row r="66" spans="1:8">
      <c r="A66" s="278"/>
      <c r="B66" s="294">
        <v>59</v>
      </c>
      <c r="C66" s="278"/>
      <c r="D66" s="278"/>
      <c r="E66" s="905">
        <v>391</v>
      </c>
      <c r="F66" s="278" t="s">
        <v>1142</v>
      </c>
      <c r="G66" s="278"/>
      <c r="H66" s="910">
        <v>8.1100000000000005E-2</v>
      </c>
    </row>
    <row r="67" spans="1:8">
      <c r="A67" s="278"/>
      <c r="B67" s="294">
        <v>60</v>
      </c>
      <c r="C67" s="278"/>
      <c r="D67" s="278"/>
      <c r="E67" s="905">
        <v>392</v>
      </c>
      <c r="F67" s="278" t="s">
        <v>1196</v>
      </c>
      <c r="G67" s="278"/>
      <c r="H67" s="910">
        <v>9.8299999999999998E-2</v>
      </c>
    </row>
    <row r="68" spans="1:8">
      <c r="A68" s="278"/>
      <c r="B68" s="294">
        <v>61</v>
      </c>
      <c r="C68" s="278"/>
      <c r="D68" s="278"/>
      <c r="E68" s="905">
        <v>394</v>
      </c>
      <c r="F68" s="278" t="s">
        <v>1147</v>
      </c>
      <c r="G68" s="278"/>
      <c r="H68" s="910">
        <v>0.04</v>
      </c>
    </row>
    <row r="69" spans="1:8">
      <c r="A69" s="278"/>
      <c r="B69" s="294">
        <v>62</v>
      </c>
      <c r="C69" s="278"/>
      <c r="D69" s="278"/>
      <c r="E69" s="905">
        <v>397</v>
      </c>
      <c r="F69" s="278" t="s">
        <v>1160</v>
      </c>
      <c r="G69" s="278"/>
      <c r="H69" s="910">
        <v>6.6699999999999995E-2</v>
      </c>
    </row>
    <row r="70" spans="1:8">
      <c r="A70" s="278"/>
      <c r="B70" s="294">
        <v>63</v>
      </c>
      <c r="C70" s="278"/>
      <c r="D70" s="278"/>
      <c r="E70" s="905">
        <v>398</v>
      </c>
      <c r="F70" s="278" t="s">
        <v>1159</v>
      </c>
      <c r="G70" s="278"/>
      <c r="H70" s="910">
        <v>0.05</v>
      </c>
    </row>
    <row r="71" spans="1:8">
      <c r="A71" s="278"/>
      <c r="B71" s="294">
        <v>64</v>
      </c>
      <c r="C71" s="278"/>
      <c r="D71" s="278"/>
      <c r="E71" s="278"/>
      <c r="F71" s="907" t="s">
        <v>1149</v>
      </c>
      <c r="G71" s="278"/>
      <c r="H71" s="909">
        <v>7.9399999999999998E-2</v>
      </c>
    </row>
    <row r="72" spans="1:8">
      <c r="A72" s="278"/>
      <c r="B72" s="294"/>
      <c r="C72" s="278"/>
      <c r="D72" s="278"/>
      <c r="E72" s="278"/>
      <c r="F72" s="893"/>
      <c r="G72" s="278"/>
      <c r="H72" s="860"/>
    </row>
    <row r="73" spans="1:8" ht="16.399999999999999" customHeight="1">
      <c r="B73" s="491" t="s">
        <v>174</v>
      </c>
      <c r="D73" s="282"/>
      <c r="H73" s="403"/>
    </row>
    <row r="74" spans="1:8" ht="27.75" customHeight="1">
      <c r="B74" s="532" t="s">
        <v>79</v>
      </c>
      <c r="C74" s="987" t="s">
        <v>1195</v>
      </c>
      <c r="D74" s="987"/>
      <c r="E74" s="987"/>
      <c r="F74" s="987"/>
      <c r="G74" s="987"/>
      <c r="H74" s="987"/>
    </row>
    <row r="75" spans="1:8" ht="16.399999999999999" customHeight="1">
      <c r="B75" s="271"/>
      <c r="D75" s="282"/>
      <c r="H75" s="403"/>
    </row>
    <row r="76" spans="1:8" ht="16.399999999999999" customHeight="1">
      <c r="B76" s="271"/>
      <c r="D76" s="282"/>
      <c r="H76" s="403"/>
    </row>
    <row r="77" spans="1:8" ht="16.399999999999999" customHeight="1">
      <c r="B77" s="271"/>
      <c r="D77" s="282"/>
      <c r="H77" s="403"/>
    </row>
    <row r="78" spans="1:8" ht="16.399999999999999" customHeight="1">
      <c r="B78" s="271"/>
      <c r="D78" s="282"/>
      <c r="H78" s="403"/>
    </row>
    <row r="79" spans="1:8" ht="16.399999999999999" customHeight="1">
      <c r="B79" s="271"/>
      <c r="D79" s="282"/>
      <c r="H79" s="403"/>
    </row>
    <row r="80" spans="1:8" ht="16.399999999999999" customHeight="1">
      <c r="B80" s="271"/>
      <c r="D80" s="282"/>
      <c r="H80" s="403"/>
    </row>
    <row r="81" spans="2:8" ht="16.399999999999999" customHeight="1">
      <c r="B81" s="271"/>
      <c r="D81" s="282"/>
      <c r="H81" s="403"/>
    </row>
    <row r="82" spans="2:8" ht="16.399999999999999" customHeight="1">
      <c r="B82" s="271"/>
      <c r="D82" s="282"/>
      <c r="H82" s="403"/>
    </row>
    <row r="83" spans="2:8" ht="16.399999999999999" customHeight="1">
      <c r="B83" s="271"/>
      <c r="D83" s="282"/>
      <c r="H83" s="403"/>
    </row>
    <row r="84" spans="2:8" ht="16.399999999999999" customHeight="1">
      <c r="B84" s="271"/>
      <c r="D84" s="282"/>
      <c r="H84" s="403"/>
    </row>
    <row r="85" spans="2:8" ht="16.399999999999999" customHeight="1"/>
    <row r="86" spans="2:8" ht="16.399999999999999" customHeight="1"/>
    <row r="87" spans="2:8" ht="16.399999999999999" customHeight="1"/>
    <row r="88" spans="2:8" ht="16.399999999999999"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10" workbookViewId="0">
      <selection activeCell="E21" sqref="E21"/>
    </sheetView>
  </sheetViews>
  <sheetFormatPr defaultColWidth="7.07421875" defaultRowHeight="13"/>
  <cols>
    <col min="1" max="1" width="2.07421875" style="267" customWidth="1"/>
    <col min="2" max="2" width="4.69140625" style="267" customWidth="1"/>
    <col min="3" max="3" width="11.23046875" style="267" customWidth="1"/>
    <col min="4" max="4" width="9.4609375" style="267" bestFit="1" customWidth="1"/>
    <col min="5" max="5" width="11.23046875" style="267" customWidth="1"/>
    <col min="6" max="6" width="13" style="267" customWidth="1"/>
    <col min="7" max="7" width="9.4609375" style="267" customWidth="1"/>
    <col min="8" max="8" width="8.23046875" style="281"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4" t="s">
        <v>536</v>
      </c>
      <c r="B1" s="974"/>
      <c r="C1" s="974"/>
      <c r="D1" s="974"/>
      <c r="E1" s="974"/>
      <c r="F1" s="974"/>
      <c r="G1" s="974"/>
      <c r="H1" s="301"/>
    </row>
    <row r="2" spans="1:8">
      <c r="A2" s="974" t="s">
        <v>561</v>
      </c>
      <c r="B2" s="974"/>
      <c r="C2" s="974"/>
      <c r="D2" s="974"/>
      <c r="E2" s="974"/>
      <c r="F2" s="974"/>
      <c r="G2" s="974"/>
      <c r="H2" s="301"/>
    </row>
    <row r="3" spans="1:8">
      <c r="A3" s="975" t="str">
        <f>'Act Att-H'!C7</f>
        <v>Cheyenne Light, Fuel &amp; Power</v>
      </c>
      <c r="B3" s="975"/>
      <c r="C3" s="975"/>
      <c r="D3" s="975"/>
      <c r="E3" s="975"/>
      <c r="F3" s="975"/>
      <c r="G3" s="975"/>
      <c r="H3" s="302"/>
    </row>
    <row r="4" spans="1:8">
      <c r="F4" s="303"/>
      <c r="G4" s="304" t="s">
        <v>673</v>
      </c>
    </row>
    <row r="5" spans="1:8">
      <c r="A5" s="301"/>
      <c r="B5" s="290"/>
      <c r="C5" s="290"/>
      <c r="D5" s="290"/>
      <c r="E5" s="290"/>
      <c r="F5" s="305"/>
      <c r="G5" s="305"/>
      <c r="H5" s="301"/>
    </row>
    <row r="6" spans="1:8" ht="60.75" customHeight="1">
      <c r="B6" s="306" t="s">
        <v>4</v>
      </c>
      <c r="C6" s="306" t="s">
        <v>268</v>
      </c>
      <c r="D6" s="307" t="s">
        <v>269</v>
      </c>
      <c r="E6" s="307" t="s">
        <v>940</v>
      </c>
      <c r="F6" s="307" t="s">
        <v>562</v>
      </c>
      <c r="G6" s="307" t="s">
        <v>942</v>
      </c>
      <c r="H6" s="267"/>
    </row>
    <row r="7" spans="1:8" ht="15" customHeight="1">
      <c r="B7" s="298"/>
      <c r="C7" s="308" t="s">
        <v>157</v>
      </c>
      <c r="D7" s="309" t="s">
        <v>158</v>
      </c>
      <c r="E7" s="309" t="s">
        <v>159</v>
      </c>
      <c r="F7" s="309" t="s">
        <v>160</v>
      </c>
      <c r="G7" s="309" t="s">
        <v>161</v>
      </c>
      <c r="H7" s="267"/>
    </row>
    <row r="8" spans="1:8" ht="15" customHeight="1">
      <c r="B8" s="271">
        <v>1</v>
      </c>
      <c r="C8" s="530" t="s">
        <v>165</v>
      </c>
      <c r="D8" s="529">
        <v>2021</v>
      </c>
      <c r="E8" s="927">
        <v>235000</v>
      </c>
      <c r="F8" s="310">
        <f>E8</f>
        <v>235000</v>
      </c>
      <c r="G8" s="311"/>
      <c r="H8" s="267"/>
    </row>
    <row r="9" spans="1:8" ht="15" customHeight="1">
      <c r="B9" s="271">
        <v>2</v>
      </c>
      <c r="C9" s="530" t="s">
        <v>166</v>
      </c>
      <c r="D9" s="531">
        <f>D8</f>
        <v>2021</v>
      </c>
      <c r="E9" s="927">
        <v>245000</v>
      </c>
      <c r="F9" s="310">
        <f t="shared" ref="F9:F15" si="0">E9</f>
        <v>245000</v>
      </c>
      <c r="G9" s="311"/>
      <c r="H9" s="267"/>
    </row>
    <row r="10" spans="1:8" ht="15" customHeight="1">
      <c r="B10" s="271">
        <v>3</v>
      </c>
      <c r="C10" s="530" t="s">
        <v>516</v>
      </c>
      <c r="D10" s="531">
        <f t="shared" ref="D10:D19" si="1">D9</f>
        <v>2021</v>
      </c>
      <c r="E10" s="927">
        <v>223000</v>
      </c>
      <c r="F10" s="310">
        <f t="shared" si="0"/>
        <v>223000</v>
      </c>
      <c r="G10" s="311"/>
      <c r="H10" s="267"/>
    </row>
    <row r="11" spans="1:8" ht="15" customHeight="1">
      <c r="B11" s="271">
        <v>4</v>
      </c>
      <c r="C11" s="530" t="s">
        <v>167</v>
      </c>
      <c r="D11" s="531">
        <f t="shared" si="1"/>
        <v>2021</v>
      </c>
      <c r="E11" s="927">
        <v>227000</v>
      </c>
      <c r="F11" s="310">
        <f t="shared" si="0"/>
        <v>227000</v>
      </c>
      <c r="G11" s="311"/>
      <c r="H11" s="267"/>
    </row>
    <row r="12" spans="1:8" ht="15" customHeight="1">
      <c r="B12" s="271">
        <v>5</v>
      </c>
      <c r="C12" s="530" t="s">
        <v>168</v>
      </c>
      <c r="D12" s="531">
        <f t="shared" si="1"/>
        <v>2021</v>
      </c>
      <c r="E12" s="927">
        <v>215000</v>
      </c>
      <c r="F12" s="310">
        <f t="shared" si="0"/>
        <v>215000</v>
      </c>
      <c r="G12" s="311"/>
      <c r="H12" s="267"/>
    </row>
    <row r="13" spans="1:8" ht="15" customHeight="1">
      <c r="B13" s="271">
        <v>6</v>
      </c>
      <c r="C13" s="530" t="s">
        <v>169</v>
      </c>
      <c r="D13" s="531">
        <f t="shared" si="1"/>
        <v>2021</v>
      </c>
      <c r="E13" s="927">
        <v>268000</v>
      </c>
      <c r="F13" s="310">
        <f t="shared" si="0"/>
        <v>268000</v>
      </c>
      <c r="G13" s="311"/>
      <c r="H13" s="267"/>
    </row>
    <row r="14" spans="1:8" ht="15" customHeight="1">
      <c r="B14" s="271">
        <v>7</v>
      </c>
      <c r="C14" s="530" t="s">
        <v>170</v>
      </c>
      <c r="D14" s="531">
        <f t="shared" si="1"/>
        <v>2021</v>
      </c>
      <c r="E14" s="927">
        <v>274000</v>
      </c>
      <c r="F14" s="310">
        <f t="shared" si="0"/>
        <v>274000</v>
      </c>
      <c r="G14" s="311"/>
      <c r="H14" s="267"/>
    </row>
    <row r="15" spans="1:8" ht="15" customHeight="1">
      <c r="B15" s="271">
        <v>8</v>
      </c>
      <c r="C15" s="530" t="s">
        <v>517</v>
      </c>
      <c r="D15" s="531">
        <f t="shared" si="1"/>
        <v>2021</v>
      </c>
      <c r="E15" s="927">
        <v>265000</v>
      </c>
      <c r="F15" s="310">
        <f t="shared" si="0"/>
        <v>265000</v>
      </c>
      <c r="G15" s="311"/>
      <c r="H15" s="267"/>
    </row>
    <row r="16" spans="1:8" ht="15" customHeight="1">
      <c r="B16" s="271">
        <v>9</v>
      </c>
      <c r="C16" s="530" t="s">
        <v>171</v>
      </c>
      <c r="D16" s="531">
        <f t="shared" si="1"/>
        <v>2021</v>
      </c>
      <c r="E16" s="927">
        <v>264000</v>
      </c>
      <c r="F16" s="312"/>
      <c r="G16" s="313">
        <f>E16/F22</f>
        <v>1.0819672131147542</v>
      </c>
      <c r="H16" s="267"/>
    </row>
    <row r="17" spans="2:9" ht="15.5">
      <c r="B17" s="271">
        <v>10</v>
      </c>
      <c r="C17" s="530" t="s">
        <v>172</v>
      </c>
      <c r="D17" s="531">
        <f t="shared" si="1"/>
        <v>2021</v>
      </c>
      <c r="E17" s="927">
        <v>234000</v>
      </c>
      <c r="F17" s="312"/>
      <c r="G17" s="313">
        <f>E17/F22</f>
        <v>0.95901639344262291</v>
      </c>
      <c r="H17" s="267"/>
    </row>
    <row r="18" spans="2:9" ht="15.5">
      <c r="B18" s="271">
        <v>11</v>
      </c>
      <c r="C18" s="530" t="s">
        <v>173</v>
      </c>
      <c r="D18" s="531">
        <f t="shared" si="1"/>
        <v>2021</v>
      </c>
      <c r="E18" s="927">
        <v>234000</v>
      </c>
      <c r="F18" s="312"/>
      <c r="G18" s="313">
        <f>E18/F22</f>
        <v>0.95901639344262291</v>
      </c>
      <c r="H18" s="267"/>
    </row>
    <row r="19" spans="2:9" ht="15.5">
      <c r="B19" s="271">
        <v>12</v>
      </c>
      <c r="C19" s="530" t="s">
        <v>518</v>
      </c>
      <c r="D19" s="531">
        <f t="shared" si="1"/>
        <v>2021</v>
      </c>
      <c r="E19" s="927">
        <v>246000</v>
      </c>
      <c r="F19" s="312"/>
      <c r="G19" s="313">
        <f>E19/F22</f>
        <v>1.0081967213114753</v>
      </c>
      <c r="H19" s="267"/>
    </row>
    <row r="20" spans="2:9">
      <c r="B20" s="271">
        <v>13</v>
      </c>
      <c r="C20" s="314" t="s">
        <v>9</v>
      </c>
      <c r="D20" s="314"/>
      <c r="E20" s="315">
        <f t="shared" ref="E20" si="2">SUM(E8:E19)</f>
        <v>2930000</v>
      </c>
      <c r="G20" s="313"/>
      <c r="H20" s="267"/>
    </row>
    <row r="21" spans="2:9">
      <c r="B21" s="271">
        <v>14</v>
      </c>
      <c r="C21" s="314" t="s">
        <v>253</v>
      </c>
      <c r="D21" s="314"/>
      <c r="E21" s="316">
        <f t="shared" ref="E21" si="3">E20/12</f>
        <v>244166.66666666666</v>
      </c>
      <c r="G21" s="317"/>
      <c r="H21" s="267"/>
    </row>
    <row r="22" spans="2:9">
      <c r="B22" s="271">
        <v>15</v>
      </c>
      <c r="C22" s="270" t="s">
        <v>563</v>
      </c>
      <c r="F22" s="310">
        <f>AVERAGE(F8:F15)</f>
        <v>244000</v>
      </c>
      <c r="G22" s="300"/>
      <c r="H22" s="267"/>
      <c r="I22" s="299"/>
    </row>
    <row r="23" spans="2:9">
      <c r="B23" s="271"/>
      <c r="H23" s="299"/>
    </row>
    <row r="24" spans="2:9">
      <c r="B24" s="271" t="s">
        <v>174</v>
      </c>
      <c r="H24" s="299"/>
    </row>
    <row r="25" spans="2:9">
      <c r="B25" s="271" t="s">
        <v>79</v>
      </c>
      <c r="C25" s="267" t="s">
        <v>941</v>
      </c>
      <c r="H25" s="299"/>
    </row>
    <row r="26" spans="2:9">
      <c r="B26" s="271" t="s">
        <v>80</v>
      </c>
      <c r="C26" s="744" t="s">
        <v>943</v>
      </c>
      <c r="H26" s="299"/>
    </row>
    <row r="27" spans="2:9">
      <c r="B27" s="271"/>
      <c r="H27" s="299"/>
    </row>
    <row r="28" spans="2:9">
      <c r="B28" s="271"/>
      <c r="H28" s="299"/>
    </row>
    <row r="29" spans="2:9">
      <c r="B29" s="271"/>
      <c r="H29" s="299"/>
    </row>
    <row r="30" spans="2:9">
      <c r="B30" s="271"/>
      <c r="H30" s="299"/>
    </row>
    <row r="31" spans="2:9">
      <c r="B31" s="271"/>
      <c r="H31" s="299"/>
    </row>
    <row r="32" spans="2:9">
      <c r="B32" s="294"/>
      <c r="C32" s="278"/>
      <c r="D32" s="278"/>
      <c r="E32" s="278"/>
      <c r="F32" s="278"/>
      <c r="G32" s="278"/>
      <c r="H32" s="299"/>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80" zoomScaleNormal="80" workbookViewId="0">
      <selection activeCell="I12" sqref="I12"/>
    </sheetView>
  </sheetViews>
  <sheetFormatPr defaultColWidth="8.69140625" defaultRowHeight="14"/>
  <cols>
    <col min="1" max="1" width="5" style="1" bestFit="1" customWidth="1"/>
    <col min="2" max="2" width="6.07421875" style="33" customWidth="1"/>
    <col min="3" max="6" width="12.69140625" style="2" customWidth="1"/>
    <col min="7" max="7" width="1.69140625" style="33" customWidth="1"/>
    <col min="8" max="15" width="12.69140625" style="2" customWidth="1"/>
    <col min="16" max="16" width="10.69140625" style="2" customWidth="1"/>
    <col min="17" max="17" width="8.69140625" style="4"/>
    <col min="18" max="16384" width="8.69140625" style="2"/>
  </cols>
  <sheetData>
    <row r="1" spans="1:19">
      <c r="A1" s="968" t="s">
        <v>685</v>
      </c>
      <c r="B1" s="968"/>
      <c r="C1" s="968"/>
      <c r="D1" s="968"/>
      <c r="E1" s="968"/>
      <c r="F1" s="968"/>
      <c r="G1" s="968"/>
      <c r="H1" s="968"/>
      <c r="I1" s="968"/>
      <c r="J1" s="968"/>
      <c r="K1" s="968"/>
      <c r="L1" s="968"/>
      <c r="M1" s="968"/>
      <c r="N1" s="968"/>
      <c r="O1" s="968"/>
    </row>
    <row r="2" spans="1:19">
      <c r="A2" s="990" t="s">
        <v>686</v>
      </c>
      <c r="B2" s="990"/>
      <c r="C2" s="990"/>
      <c r="D2" s="990"/>
      <c r="E2" s="990"/>
      <c r="F2" s="990"/>
      <c r="G2" s="990"/>
      <c r="H2" s="990"/>
      <c r="I2" s="990"/>
      <c r="J2" s="990"/>
      <c r="K2" s="990"/>
      <c r="L2" s="990"/>
      <c r="M2" s="990"/>
      <c r="N2" s="990"/>
      <c r="O2" s="990"/>
    </row>
    <row r="3" spans="1:19">
      <c r="A3" s="991" t="str">
        <f>'Act Att-H'!C7</f>
        <v>Cheyenne Light, Fuel &amp; Power</v>
      </c>
      <c r="B3" s="991"/>
      <c r="C3" s="991"/>
      <c r="D3" s="991"/>
      <c r="E3" s="991"/>
      <c r="F3" s="991"/>
      <c r="G3" s="991"/>
      <c r="H3" s="991"/>
      <c r="I3" s="991"/>
      <c r="J3" s="991"/>
      <c r="K3" s="991"/>
      <c r="L3" s="991"/>
      <c r="M3" s="991"/>
      <c r="N3" s="991"/>
      <c r="O3" s="991"/>
    </row>
    <row r="4" spans="1:19">
      <c r="A4" s="5"/>
      <c r="C4" s="6"/>
      <c r="D4" s="6"/>
      <c r="E4" s="6"/>
      <c r="F4" s="6"/>
      <c r="G4" s="441"/>
      <c r="H4" s="6"/>
      <c r="I4" s="6"/>
      <c r="O4" s="250" t="s">
        <v>673</v>
      </c>
    </row>
    <row r="5" spans="1:19" ht="15" customHeight="1">
      <c r="A5" s="54"/>
      <c r="C5" s="56"/>
      <c r="D5" s="56"/>
      <c r="E5" s="56"/>
      <c r="F5" s="56"/>
      <c r="G5" s="442"/>
      <c r="I5" s="9"/>
    </row>
    <row r="6" spans="1:19" s="406" customFormat="1">
      <c r="A6" s="449" t="s">
        <v>4</v>
      </c>
      <c r="G6" s="443"/>
      <c r="H6" s="456" t="s">
        <v>694</v>
      </c>
      <c r="I6" s="745" t="s">
        <v>948</v>
      </c>
      <c r="P6" s="2"/>
      <c r="Q6" s="4"/>
      <c r="R6" s="2"/>
      <c r="S6" s="2"/>
    </row>
    <row r="7" spans="1:19" s="406" customFormat="1">
      <c r="A7" s="446">
        <v>1</v>
      </c>
      <c r="B7" s="443"/>
      <c r="G7" s="443"/>
      <c r="H7" s="407" t="s">
        <v>687</v>
      </c>
      <c r="I7" s="433" t="s">
        <v>695</v>
      </c>
      <c r="J7" s="433"/>
      <c r="K7" s="436"/>
      <c r="L7" s="407" t="s">
        <v>687</v>
      </c>
      <c r="M7" s="433" t="s">
        <v>697</v>
      </c>
      <c r="N7" s="433"/>
      <c r="O7" s="462"/>
      <c r="P7" s="2"/>
      <c r="Q7" s="4"/>
      <c r="R7" s="2"/>
      <c r="S7" s="2"/>
    </row>
    <row r="8" spans="1:19" s="406" customFormat="1">
      <c r="A8" s="446">
        <f>A7+1</f>
        <v>2</v>
      </c>
      <c r="B8" s="443"/>
      <c r="G8" s="443"/>
      <c r="H8" s="408" t="s">
        <v>696</v>
      </c>
      <c r="I8" s="434" t="s">
        <v>688</v>
      </c>
      <c r="J8" s="409"/>
      <c r="K8" s="409"/>
      <c r="L8" s="408" t="s">
        <v>696</v>
      </c>
      <c r="M8" s="434" t="s">
        <v>688</v>
      </c>
      <c r="N8" s="409"/>
      <c r="O8" s="410"/>
      <c r="P8" s="2"/>
      <c r="Q8" s="4"/>
      <c r="R8" s="2"/>
      <c r="S8" s="2"/>
    </row>
    <row r="9" spans="1:19" s="406" customFormat="1">
      <c r="A9" s="446">
        <f t="shared" ref="A9:A14" si="0">A8+1</f>
        <v>3</v>
      </c>
      <c r="B9" s="443"/>
      <c r="G9" s="443"/>
      <c r="H9" s="411" t="s">
        <v>689</v>
      </c>
      <c r="I9" s="435">
        <v>0</v>
      </c>
      <c r="J9" s="412" t="s">
        <v>636</v>
      </c>
      <c r="K9" s="412"/>
      <c r="L9" s="411" t="s">
        <v>689</v>
      </c>
      <c r="M9" s="435">
        <v>0</v>
      </c>
      <c r="N9" s="412" t="s">
        <v>636</v>
      </c>
      <c r="O9" s="413"/>
      <c r="P9" s="2"/>
      <c r="Q9" s="4"/>
      <c r="R9" s="2"/>
      <c r="S9" s="2"/>
    </row>
    <row r="10" spans="1:19" s="406" customFormat="1">
      <c r="A10" s="446">
        <f t="shared" si="0"/>
        <v>4</v>
      </c>
      <c r="B10" s="443"/>
      <c r="G10" s="443"/>
      <c r="H10" s="411" t="s">
        <v>690</v>
      </c>
      <c r="I10" s="435">
        <v>0</v>
      </c>
      <c r="J10" s="412" t="s">
        <v>700</v>
      </c>
      <c r="K10" s="412"/>
      <c r="L10" s="411" t="s">
        <v>690</v>
      </c>
      <c r="M10" s="435">
        <v>0</v>
      </c>
      <c r="N10" s="412" t="s">
        <v>700</v>
      </c>
      <c r="O10" s="413"/>
      <c r="P10" s="2"/>
      <c r="Q10" s="4"/>
      <c r="R10" s="2"/>
      <c r="S10" s="2"/>
    </row>
    <row r="11" spans="1:19" s="406" customFormat="1">
      <c r="A11" s="446">
        <f t="shared" si="0"/>
        <v>5</v>
      </c>
      <c r="B11" s="443"/>
      <c r="G11" s="443"/>
      <c r="H11" s="411" t="s">
        <v>713</v>
      </c>
      <c r="I11" s="414">
        <f>I10*'Act Att-H'!E214</f>
        <v>0</v>
      </c>
      <c r="J11" s="412"/>
      <c r="K11" s="412"/>
      <c r="L11" s="411" t="s">
        <v>713</v>
      </c>
      <c r="M11" s="414">
        <f>M10*'Act Att-H'!E214</f>
        <v>0</v>
      </c>
      <c r="N11" s="412"/>
      <c r="O11" s="413"/>
      <c r="P11" s="2"/>
      <c r="Q11" s="4"/>
      <c r="R11" s="2"/>
      <c r="S11" s="2"/>
    </row>
    <row r="12" spans="1:19" s="406" customFormat="1">
      <c r="A12" s="446">
        <f t="shared" si="0"/>
        <v>6</v>
      </c>
      <c r="B12" s="443"/>
      <c r="G12" s="443"/>
      <c r="H12" s="411" t="s">
        <v>691</v>
      </c>
      <c r="I12" s="437"/>
      <c r="J12" s="412"/>
      <c r="K12" s="412"/>
      <c r="L12" s="411" t="s">
        <v>691</v>
      </c>
      <c r="M12" s="437"/>
      <c r="N12" s="412"/>
      <c r="O12" s="413"/>
      <c r="P12" s="2"/>
      <c r="Q12" s="4"/>
      <c r="R12" s="2"/>
      <c r="S12" s="2"/>
    </row>
    <row r="13" spans="1:19" s="406" customFormat="1">
      <c r="A13" s="446">
        <f t="shared" si="0"/>
        <v>7</v>
      </c>
      <c r="G13" s="443"/>
      <c r="H13" s="408"/>
      <c r="I13" s="409"/>
      <c r="J13" s="412"/>
      <c r="K13" s="412"/>
      <c r="L13" s="408"/>
      <c r="M13" s="409"/>
      <c r="N13" s="412"/>
      <c r="O13" s="413"/>
      <c r="P13" s="2"/>
      <c r="Q13" s="4"/>
      <c r="R13" s="2"/>
      <c r="S13" s="2"/>
    </row>
    <row r="14" spans="1:19" s="406" customFormat="1">
      <c r="A14" s="446">
        <f t="shared" si="0"/>
        <v>8</v>
      </c>
      <c r="B14" s="443"/>
      <c r="C14" s="989" t="s">
        <v>9</v>
      </c>
      <c r="D14" s="989"/>
      <c r="E14" s="989"/>
      <c r="F14" s="989"/>
      <c r="G14" s="443"/>
      <c r="H14" s="408"/>
      <c r="I14" s="409"/>
      <c r="J14" s="412"/>
      <c r="K14" s="412"/>
      <c r="L14" s="408"/>
      <c r="M14" s="409"/>
      <c r="N14" s="412"/>
      <c r="O14" s="413"/>
      <c r="P14" s="2"/>
      <c r="Q14" s="4"/>
      <c r="R14" s="2"/>
      <c r="S14" s="2"/>
    </row>
    <row r="15" spans="1:19" s="406" customFormat="1">
      <c r="A15" s="443"/>
      <c r="B15" s="443"/>
      <c r="G15" s="443"/>
      <c r="H15" s="411"/>
      <c r="I15" s="412"/>
      <c r="J15" s="412"/>
      <c r="K15" s="412" t="s">
        <v>1132</v>
      </c>
      <c r="L15" s="411"/>
      <c r="M15" s="412"/>
      <c r="N15" s="412"/>
      <c r="O15" s="413" t="s">
        <v>1132</v>
      </c>
      <c r="P15" s="2"/>
      <c r="Q15" s="4"/>
      <c r="R15" s="2"/>
      <c r="S15" s="2"/>
    </row>
    <row r="16" spans="1:19" s="406" customFormat="1" ht="57" customHeight="1">
      <c r="A16" s="443"/>
      <c r="B16" s="440" t="s">
        <v>269</v>
      </c>
      <c r="C16" s="440" t="s">
        <v>692</v>
      </c>
      <c r="D16" s="440" t="s">
        <v>486</v>
      </c>
      <c r="E16" s="440" t="s">
        <v>693</v>
      </c>
      <c r="F16" s="440" t="s">
        <v>707</v>
      </c>
      <c r="G16" s="463"/>
      <c r="H16" s="418" t="s">
        <v>692</v>
      </c>
      <c r="I16" s="885" t="s">
        <v>1082</v>
      </c>
      <c r="J16" s="419" t="s">
        <v>693</v>
      </c>
      <c r="K16" s="885" t="s">
        <v>1134</v>
      </c>
      <c r="L16" s="418" t="s">
        <v>692</v>
      </c>
      <c r="M16" s="885" t="s">
        <v>1082</v>
      </c>
      <c r="N16" s="419" t="s">
        <v>693</v>
      </c>
      <c r="O16" s="886" t="s">
        <v>1134</v>
      </c>
      <c r="P16" s="2"/>
      <c r="Q16" s="4"/>
      <c r="R16" s="2"/>
      <c r="S16" s="2"/>
    </row>
    <row r="17" spans="1:19" s="406" customFormat="1">
      <c r="A17" s="443"/>
      <c r="B17" s="417" t="s">
        <v>157</v>
      </c>
      <c r="C17" s="417" t="s">
        <v>158</v>
      </c>
      <c r="D17" s="417" t="s">
        <v>703</v>
      </c>
      <c r="E17" s="417" t="s">
        <v>704</v>
      </c>
      <c r="F17" s="417" t="s">
        <v>705</v>
      </c>
      <c r="G17" s="415"/>
      <c r="H17" s="417" t="s">
        <v>715</v>
      </c>
      <c r="I17" s="853" t="s">
        <v>716</v>
      </c>
      <c r="J17" s="417" t="s">
        <v>717</v>
      </c>
      <c r="K17" s="887" t="s">
        <v>718</v>
      </c>
      <c r="L17" s="417" t="s">
        <v>719</v>
      </c>
      <c r="M17" s="853" t="s">
        <v>720</v>
      </c>
      <c r="N17" s="417" t="s">
        <v>721</v>
      </c>
      <c r="O17" s="887" t="s">
        <v>722</v>
      </c>
      <c r="P17" s="2"/>
      <c r="Q17" s="4"/>
      <c r="R17" s="2"/>
      <c r="S17" s="2"/>
    </row>
    <row r="18" spans="1:19" s="406" customFormat="1">
      <c r="A18" s="432"/>
      <c r="B18" s="443"/>
      <c r="G18" s="443"/>
      <c r="H18" s="418"/>
      <c r="I18" s="419"/>
      <c r="J18" s="419"/>
      <c r="K18" s="419"/>
      <c r="L18" s="418"/>
      <c r="M18" s="419"/>
      <c r="N18" s="419"/>
      <c r="O18" s="420"/>
      <c r="P18" s="2"/>
      <c r="Q18" s="4"/>
      <c r="R18" s="2"/>
      <c r="S18" s="2"/>
    </row>
    <row r="19" spans="1:19" s="406" customFormat="1">
      <c r="A19" s="444">
        <f>A14+1</f>
        <v>9</v>
      </c>
      <c r="B19" s="448" t="s">
        <v>1224</v>
      </c>
      <c r="C19" s="421">
        <f>+H19+L19</f>
        <v>0</v>
      </c>
      <c r="D19" s="421">
        <f>+I19+M19</f>
        <v>0</v>
      </c>
      <c r="E19" s="421">
        <f>+J19+N19</f>
        <v>0</v>
      </c>
      <c r="F19" s="421">
        <f>+K19+O19</f>
        <v>0</v>
      </c>
      <c r="G19" s="444"/>
      <c r="H19" s="438">
        <v>0</v>
      </c>
      <c r="I19" s="439">
        <v>0</v>
      </c>
      <c r="J19" s="854">
        <f>+H19-I19</f>
        <v>0</v>
      </c>
      <c r="K19" s="422">
        <f>ROUND(J19*I$11,2)</f>
        <v>0</v>
      </c>
      <c r="L19" s="438">
        <v>0</v>
      </c>
      <c r="M19" s="439">
        <v>0</v>
      </c>
      <c r="N19" s="854">
        <f>+L19-M19</f>
        <v>0</v>
      </c>
      <c r="O19" s="423">
        <f>ROUND(N19*M$11,2)</f>
        <v>0</v>
      </c>
      <c r="P19" s="2"/>
      <c r="Q19" s="4"/>
      <c r="R19" s="2"/>
      <c r="S19" s="2"/>
    </row>
    <row r="20" spans="1:19" s="406" customFormat="1">
      <c r="A20" s="444">
        <f t="shared" ref="A20:A42" si="1">A19+1</f>
        <v>10</v>
      </c>
      <c r="B20" s="448" t="s">
        <v>1224</v>
      </c>
      <c r="C20" s="421">
        <f t="shared" ref="C20:C42" si="2">+H20+L20</f>
        <v>0</v>
      </c>
      <c r="D20" s="421">
        <f t="shared" ref="D20:D42" si="3">+I20+M20</f>
        <v>0</v>
      </c>
      <c r="E20" s="421">
        <f t="shared" ref="E20:E42" si="4">+J20+N20</f>
        <v>0</v>
      </c>
      <c r="F20" s="421">
        <f t="shared" ref="F20:F42" si="5">+K20+O20</f>
        <v>0</v>
      </c>
      <c r="G20" s="444"/>
      <c r="H20" s="438">
        <v>0</v>
      </c>
      <c r="I20" s="854">
        <f>(H20*$I$9)+I19</f>
        <v>0</v>
      </c>
      <c r="J20" s="422">
        <f>+H20-I20</f>
        <v>0</v>
      </c>
      <c r="K20" s="422">
        <f t="shared" ref="K20:K42" si="6">ROUND(J20*I$11,2)</f>
        <v>0</v>
      </c>
      <c r="L20" s="438">
        <v>0</v>
      </c>
      <c r="M20" s="854">
        <f>(L20*$M$9)+M19</f>
        <v>0</v>
      </c>
      <c r="N20" s="422">
        <f>+L20-M20</f>
        <v>0</v>
      </c>
      <c r="O20" s="423">
        <f t="shared" ref="O20:O42" si="7">ROUND(N20*M$11,2)</f>
        <v>0</v>
      </c>
      <c r="P20" s="2"/>
      <c r="Q20" s="4"/>
      <c r="R20" s="2"/>
      <c r="S20" s="2"/>
    </row>
    <row r="21" spans="1:19" s="406" customFormat="1">
      <c r="A21" s="444">
        <f t="shared" si="1"/>
        <v>11</v>
      </c>
      <c r="B21" s="448" t="s">
        <v>1224</v>
      </c>
      <c r="C21" s="421">
        <f t="shared" si="2"/>
        <v>0</v>
      </c>
      <c r="D21" s="421">
        <f t="shared" si="3"/>
        <v>0</v>
      </c>
      <c r="E21" s="421">
        <f t="shared" si="4"/>
        <v>0</v>
      </c>
      <c r="F21" s="421">
        <f t="shared" si="5"/>
        <v>0</v>
      </c>
      <c r="G21" s="444"/>
      <c r="H21" s="438">
        <v>0</v>
      </c>
      <c r="I21" s="854">
        <f t="shared" ref="I21:I42" si="8">(H21*$I$9)+I20</f>
        <v>0</v>
      </c>
      <c r="J21" s="422">
        <f>+H21-I21</f>
        <v>0</v>
      </c>
      <c r="K21" s="422">
        <f t="shared" si="6"/>
        <v>0</v>
      </c>
      <c r="L21" s="438">
        <v>0</v>
      </c>
      <c r="M21" s="854">
        <f t="shared" ref="M21:M42" si="9">(L21*$M$9)+M20</f>
        <v>0</v>
      </c>
      <c r="N21" s="422">
        <f>+L21-M21</f>
        <v>0</v>
      </c>
      <c r="O21" s="423">
        <f t="shared" si="7"/>
        <v>0</v>
      </c>
      <c r="P21" s="2"/>
      <c r="Q21" s="4"/>
      <c r="R21" s="2"/>
      <c r="S21" s="2"/>
    </row>
    <row r="22" spans="1:19" s="406" customFormat="1">
      <c r="A22" s="444">
        <f t="shared" si="1"/>
        <v>12</v>
      </c>
      <c r="B22" s="448" t="s">
        <v>1224</v>
      </c>
      <c r="C22" s="421">
        <f t="shared" si="2"/>
        <v>0</v>
      </c>
      <c r="D22" s="421">
        <f t="shared" si="3"/>
        <v>0</v>
      </c>
      <c r="E22" s="421">
        <f t="shared" si="4"/>
        <v>0</v>
      </c>
      <c r="F22" s="421">
        <f t="shared" si="5"/>
        <v>0</v>
      </c>
      <c r="G22" s="444"/>
      <c r="H22" s="438">
        <v>0</v>
      </c>
      <c r="I22" s="854">
        <f t="shared" si="8"/>
        <v>0</v>
      </c>
      <c r="J22" s="422">
        <f>+H22-I22</f>
        <v>0</v>
      </c>
      <c r="K22" s="422">
        <f t="shared" si="6"/>
        <v>0</v>
      </c>
      <c r="L22" s="438">
        <v>0</v>
      </c>
      <c r="M22" s="854">
        <f t="shared" si="9"/>
        <v>0</v>
      </c>
      <c r="N22" s="422">
        <f>+L22-M22</f>
        <v>0</v>
      </c>
      <c r="O22" s="423">
        <f t="shared" si="7"/>
        <v>0</v>
      </c>
      <c r="P22" s="2"/>
      <c r="Q22" s="4"/>
      <c r="R22" s="2"/>
      <c r="S22" s="2"/>
    </row>
    <row r="23" spans="1:19" s="406" customFormat="1">
      <c r="A23" s="444">
        <f t="shared" si="1"/>
        <v>13</v>
      </c>
      <c r="B23" s="448" t="s">
        <v>1224</v>
      </c>
      <c r="C23" s="421">
        <f t="shared" si="2"/>
        <v>0</v>
      </c>
      <c r="D23" s="421">
        <f t="shared" si="3"/>
        <v>0</v>
      </c>
      <c r="E23" s="421">
        <f t="shared" si="4"/>
        <v>0</v>
      </c>
      <c r="F23" s="421">
        <f t="shared" si="5"/>
        <v>0</v>
      </c>
      <c r="G23" s="444"/>
      <c r="H23" s="438">
        <v>0</v>
      </c>
      <c r="I23" s="854">
        <f t="shared" si="8"/>
        <v>0</v>
      </c>
      <c r="J23" s="422">
        <f t="shared" ref="J23:J42" si="10">+H23-I23</f>
        <v>0</v>
      </c>
      <c r="K23" s="422">
        <f t="shared" si="6"/>
        <v>0</v>
      </c>
      <c r="L23" s="438">
        <v>0</v>
      </c>
      <c r="M23" s="854">
        <f t="shared" si="9"/>
        <v>0</v>
      </c>
      <c r="N23" s="422">
        <f t="shared" ref="N23:N42" si="11">+L23-M23</f>
        <v>0</v>
      </c>
      <c r="O23" s="423">
        <f t="shared" si="7"/>
        <v>0</v>
      </c>
      <c r="P23" s="2"/>
      <c r="Q23" s="4"/>
      <c r="R23" s="2"/>
      <c r="S23" s="2"/>
    </row>
    <row r="24" spans="1:19" s="406" customFormat="1">
      <c r="A24" s="444">
        <f t="shared" si="1"/>
        <v>14</v>
      </c>
      <c r="B24" s="448" t="s">
        <v>1224</v>
      </c>
      <c r="C24" s="421">
        <f t="shared" si="2"/>
        <v>0</v>
      </c>
      <c r="D24" s="421">
        <f t="shared" si="3"/>
        <v>0</v>
      </c>
      <c r="E24" s="421">
        <f t="shared" si="4"/>
        <v>0</v>
      </c>
      <c r="F24" s="421">
        <f t="shared" si="5"/>
        <v>0</v>
      </c>
      <c r="G24" s="444"/>
      <c r="H24" s="438">
        <v>0</v>
      </c>
      <c r="I24" s="854">
        <f t="shared" si="8"/>
        <v>0</v>
      </c>
      <c r="J24" s="422">
        <f t="shared" si="10"/>
        <v>0</v>
      </c>
      <c r="K24" s="422">
        <f t="shared" si="6"/>
        <v>0</v>
      </c>
      <c r="L24" s="438">
        <v>0</v>
      </c>
      <c r="M24" s="854">
        <f t="shared" si="9"/>
        <v>0</v>
      </c>
      <c r="N24" s="422">
        <f t="shared" si="11"/>
        <v>0</v>
      </c>
      <c r="O24" s="423">
        <f t="shared" si="7"/>
        <v>0</v>
      </c>
      <c r="P24" s="2"/>
      <c r="Q24" s="4"/>
      <c r="R24" s="2"/>
      <c r="S24" s="2"/>
    </row>
    <row r="25" spans="1:19" s="406" customFormat="1">
      <c r="A25" s="444">
        <f t="shared" si="1"/>
        <v>15</v>
      </c>
      <c r="B25" s="448" t="s">
        <v>1224</v>
      </c>
      <c r="C25" s="421">
        <f t="shared" si="2"/>
        <v>0</v>
      </c>
      <c r="D25" s="421">
        <f t="shared" si="3"/>
        <v>0</v>
      </c>
      <c r="E25" s="421">
        <f t="shared" si="4"/>
        <v>0</v>
      </c>
      <c r="F25" s="421">
        <f t="shared" si="5"/>
        <v>0</v>
      </c>
      <c r="G25" s="444"/>
      <c r="H25" s="438">
        <v>0</v>
      </c>
      <c r="I25" s="854">
        <f t="shared" si="8"/>
        <v>0</v>
      </c>
      <c r="J25" s="422">
        <f t="shared" si="10"/>
        <v>0</v>
      </c>
      <c r="K25" s="422">
        <f t="shared" si="6"/>
        <v>0</v>
      </c>
      <c r="L25" s="438">
        <v>0</v>
      </c>
      <c r="M25" s="854">
        <f t="shared" si="9"/>
        <v>0</v>
      </c>
      <c r="N25" s="422">
        <f t="shared" si="11"/>
        <v>0</v>
      </c>
      <c r="O25" s="423">
        <f t="shared" si="7"/>
        <v>0</v>
      </c>
      <c r="P25" s="2"/>
      <c r="Q25" s="4"/>
      <c r="R25" s="2"/>
      <c r="S25" s="2"/>
    </row>
    <row r="26" spans="1:19" s="406" customFormat="1">
      <c r="A26" s="444">
        <f t="shared" si="1"/>
        <v>16</v>
      </c>
      <c r="B26" s="448" t="s">
        <v>1224</v>
      </c>
      <c r="C26" s="421">
        <f t="shared" si="2"/>
        <v>0</v>
      </c>
      <c r="D26" s="421">
        <f t="shared" si="3"/>
        <v>0</v>
      </c>
      <c r="E26" s="421">
        <f t="shared" si="4"/>
        <v>0</v>
      </c>
      <c r="F26" s="421">
        <f t="shared" si="5"/>
        <v>0</v>
      </c>
      <c r="G26" s="444"/>
      <c r="H26" s="438">
        <v>0</v>
      </c>
      <c r="I26" s="854">
        <f t="shared" si="8"/>
        <v>0</v>
      </c>
      <c r="J26" s="422">
        <f t="shared" si="10"/>
        <v>0</v>
      </c>
      <c r="K26" s="422">
        <f t="shared" si="6"/>
        <v>0</v>
      </c>
      <c r="L26" s="438">
        <v>0</v>
      </c>
      <c r="M26" s="854">
        <f t="shared" si="9"/>
        <v>0</v>
      </c>
      <c r="N26" s="422">
        <f t="shared" si="11"/>
        <v>0</v>
      </c>
      <c r="O26" s="423">
        <f t="shared" si="7"/>
        <v>0</v>
      </c>
      <c r="P26" s="2"/>
      <c r="Q26" s="4"/>
      <c r="R26" s="2"/>
      <c r="S26" s="2"/>
    </row>
    <row r="27" spans="1:19" s="406" customFormat="1">
      <c r="A27" s="444">
        <f t="shared" si="1"/>
        <v>17</v>
      </c>
      <c r="B27" s="448" t="s">
        <v>1224</v>
      </c>
      <c r="C27" s="421">
        <f t="shared" si="2"/>
        <v>0</v>
      </c>
      <c r="D27" s="421">
        <f t="shared" si="3"/>
        <v>0</v>
      </c>
      <c r="E27" s="421">
        <f t="shared" si="4"/>
        <v>0</v>
      </c>
      <c r="F27" s="421">
        <f t="shared" si="5"/>
        <v>0</v>
      </c>
      <c r="G27" s="444"/>
      <c r="H27" s="438">
        <v>0</v>
      </c>
      <c r="I27" s="854">
        <f t="shared" si="8"/>
        <v>0</v>
      </c>
      <c r="J27" s="422">
        <f t="shared" si="10"/>
        <v>0</v>
      </c>
      <c r="K27" s="422">
        <f t="shared" si="6"/>
        <v>0</v>
      </c>
      <c r="L27" s="438">
        <v>0</v>
      </c>
      <c r="M27" s="854">
        <f t="shared" si="9"/>
        <v>0</v>
      </c>
      <c r="N27" s="422">
        <f t="shared" si="11"/>
        <v>0</v>
      </c>
      <c r="O27" s="423">
        <f t="shared" si="7"/>
        <v>0</v>
      </c>
      <c r="P27" s="2"/>
      <c r="Q27" s="4"/>
      <c r="R27" s="2"/>
      <c r="S27" s="2"/>
    </row>
    <row r="28" spans="1:19" s="406" customFormat="1">
      <c r="A28" s="444">
        <f t="shared" si="1"/>
        <v>18</v>
      </c>
      <c r="B28" s="448" t="s">
        <v>1224</v>
      </c>
      <c r="C28" s="421">
        <f t="shared" si="2"/>
        <v>0</v>
      </c>
      <c r="D28" s="421">
        <f t="shared" si="3"/>
        <v>0</v>
      </c>
      <c r="E28" s="421">
        <f t="shared" si="4"/>
        <v>0</v>
      </c>
      <c r="F28" s="421">
        <f t="shared" si="5"/>
        <v>0</v>
      </c>
      <c r="G28" s="444"/>
      <c r="H28" s="438">
        <v>0</v>
      </c>
      <c r="I28" s="854">
        <f t="shared" si="8"/>
        <v>0</v>
      </c>
      <c r="J28" s="422">
        <f t="shared" si="10"/>
        <v>0</v>
      </c>
      <c r="K28" s="422">
        <f t="shared" si="6"/>
        <v>0</v>
      </c>
      <c r="L28" s="438">
        <v>0</v>
      </c>
      <c r="M28" s="854">
        <f t="shared" si="9"/>
        <v>0</v>
      </c>
      <c r="N28" s="422">
        <f t="shared" si="11"/>
        <v>0</v>
      </c>
      <c r="O28" s="423">
        <f t="shared" si="7"/>
        <v>0</v>
      </c>
      <c r="P28" s="2"/>
      <c r="Q28" s="4"/>
      <c r="R28" s="2"/>
      <c r="S28" s="2"/>
    </row>
    <row r="29" spans="1:19" s="406" customFormat="1">
      <c r="A29" s="444">
        <f t="shared" si="1"/>
        <v>19</v>
      </c>
      <c r="B29" s="448" t="s">
        <v>1224</v>
      </c>
      <c r="C29" s="421">
        <f t="shared" si="2"/>
        <v>0</v>
      </c>
      <c r="D29" s="421">
        <f t="shared" si="3"/>
        <v>0</v>
      </c>
      <c r="E29" s="421">
        <f t="shared" si="4"/>
        <v>0</v>
      </c>
      <c r="F29" s="421">
        <f t="shared" si="5"/>
        <v>0</v>
      </c>
      <c r="G29" s="444"/>
      <c r="H29" s="438">
        <v>0</v>
      </c>
      <c r="I29" s="854">
        <f t="shared" si="8"/>
        <v>0</v>
      </c>
      <c r="J29" s="422">
        <f t="shared" si="10"/>
        <v>0</v>
      </c>
      <c r="K29" s="422">
        <f t="shared" si="6"/>
        <v>0</v>
      </c>
      <c r="L29" s="438">
        <v>0</v>
      </c>
      <c r="M29" s="854">
        <f t="shared" si="9"/>
        <v>0</v>
      </c>
      <c r="N29" s="422">
        <f t="shared" si="11"/>
        <v>0</v>
      </c>
      <c r="O29" s="423">
        <f t="shared" si="7"/>
        <v>0</v>
      </c>
      <c r="P29" s="2"/>
      <c r="Q29" s="4"/>
      <c r="R29" s="2"/>
      <c r="S29" s="2"/>
    </row>
    <row r="30" spans="1:19" s="406" customFormat="1">
      <c r="A30" s="444">
        <f t="shared" si="1"/>
        <v>20</v>
      </c>
      <c r="B30" s="448" t="s">
        <v>1224</v>
      </c>
      <c r="C30" s="421">
        <f t="shared" si="2"/>
        <v>0</v>
      </c>
      <c r="D30" s="421">
        <f t="shared" si="3"/>
        <v>0</v>
      </c>
      <c r="E30" s="421">
        <f t="shared" si="4"/>
        <v>0</v>
      </c>
      <c r="F30" s="421">
        <f t="shared" si="5"/>
        <v>0</v>
      </c>
      <c r="G30" s="444"/>
      <c r="H30" s="438">
        <v>0</v>
      </c>
      <c r="I30" s="854">
        <f t="shared" si="8"/>
        <v>0</v>
      </c>
      <c r="J30" s="422">
        <f t="shared" si="10"/>
        <v>0</v>
      </c>
      <c r="K30" s="422">
        <f t="shared" si="6"/>
        <v>0</v>
      </c>
      <c r="L30" s="438">
        <v>0</v>
      </c>
      <c r="M30" s="854">
        <f t="shared" si="9"/>
        <v>0</v>
      </c>
      <c r="N30" s="422">
        <f t="shared" si="11"/>
        <v>0</v>
      </c>
      <c r="O30" s="423">
        <f t="shared" si="7"/>
        <v>0</v>
      </c>
      <c r="P30" s="2"/>
      <c r="Q30" s="4"/>
      <c r="R30" s="2"/>
      <c r="S30" s="2"/>
    </row>
    <row r="31" spans="1:19" s="406" customFormat="1">
      <c r="A31" s="444">
        <f t="shared" si="1"/>
        <v>21</v>
      </c>
      <c r="B31" s="448" t="s">
        <v>1224</v>
      </c>
      <c r="C31" s="421">
        <f t="shared" si="2"/>
        <v>0</v>
      </c>
      <c r="D31" s="421">
        <f t="shared" si="3"/>
        <v>0</v>
      </c>
      <c r="E31" s="421">
        <f t="shared" si="4"/>
        <v>0</v>
      </c>
      <c r="F31" s="421">
        <f t="shared" si="5"/>
        <v>0</v>
      </c>
      <c r="G31" s="444"/>
      <c r="H31" s="438">
        <v>0</v>
      </c>
      <c r="I31" s="854">
        <f t="shared" si="8"/>
        <v>0</v>
      </c>
      <c r="J31" s="422">
        <f t="shared" si="10"/>
        <v>0</v>
      </c>
      <c r="K31" s="422">
        <f t="shared" si="6"/>
        <v>0</v>
      </c>
      <c r="L31" s="438">
        <v>0</v>
      </c>
      <c r="M31" s="854">
        <f t="shared" si="9"/>
        <v>0</v>
      </c>
      <c r="N31" s="422">
        <f t="shared" si="11"/>
        <v>0</v>
      </c>
      <c r="O31" s="423">
        <f t="shared" si="7"/>
        <v>0</v>
      </c>
      <c r="P31" s="2"/>
      <c r="Q31" s="4"/>
      <c r="R31" s="2"/>
      <c r="S31" s="2"/>
    </row>
    <row r="32" spans="1:19" s="406" customFormat="1">
      <c r="A32" s="444">
        <f t="shared" si="1"/>
        <v>22</v>
      </c>
      <c r="B32" s="448" t="s">
        <v>1224</v>
      </c>
      <c r="C32" s="421">
        <f t="shared" si="2"/>
        <v>0</v>
      </c>
      <c r="D32" s="421">
        <f t="shared" si="3"/>
        <v>0</v>
      </c>
      <c r="E32" s="421">
        <f t="shared" si="4"/>
        <v>0</v>
      </c>
      <c r="F32" s="421">
        <f t="shared" si="5"/>
        <v>0</v>
      </c>
      <c r="G32" s="444"/>
      <c r="H32" s="438">
        <v>0</v>
      </c>
      <c r="I32" s="854">
        <f t="shared" si="8"/>
        <v>0</v>
      </c>
      <c r="J32" s="422">
        <f t="shared" si="10"/>
        <v>0</v>
      </c>
      <c r="K32" s="422">
        <f t="shared" si="6"/>
        <v>0</v>
      </c>
      <c r="L32" s="438">
        <v>0</v>
      </c>
      <c r="M32" s="854">
        <f t="shared" si="9"/>
        <v>0</v>
      </c>
      <c r="N32" s="422">
        <f t="shared" si="11"/>
        <v>0</v>
      </c>
      <c r="O32" s="423">
        <f t="shared" si="7"/>
        <v>0</v>
      </c>
      <c r="P32" s="2"/>
      <c r="Q32" s="4"/>
      <c r="R32" s="2"/>
      <c r="S32" s="2"/>
    </row>
    <row r="33" spans="1:19" s="406" customFormat="1">
      <c r="A33" s="444">
        <f t="shared" si="1"/>
        <v>23</v>
      </c>
      <c r="B33" s="448" t="s">
        <v>1224</v>
      </c>
      <c r="C33" s="421">
        <f t="shared" si="2"/>
        <v>0</v>
      </c>
      <c r="D33" s="421">
        <f t="shared" si="3"/>
        <v>0</v>
      </c>
      <c r="E33" s="421">
        <f t="shared" si="4"/>
        <v>0</v>
      </c>
      <c r="F33" s="421">
        <f t="shared" si="5"/>
        <v>0</v>
      </c>
      <c r="G33" s="444"/>
      <c r="H33" s="438">
        <v>0</v>
      </c>
      <c r="I33" s="854">
        <f t="shared" si="8"/>
        <v>0</v>
      </c>
      <c r="J33" s="422">
        <f t="shared" si="10"/>
        <v>0</v>
      </c>
      <c r="K33" s="422">
        <f t="shared" si="6"/>
        <v>0</v>
      </c>
      <c r="L33" s="438">
        <v>0</v>
      </c>
      <c r="M33" s="854">
        <f t="shared" si="9"/>
        <v>0</v>
      </c>
      <c r="N33" s="422">
        <f t="shared" si="11"/>
        <v>0</v>
      </c>
      <c r="O33" s="423">
        <f t="shared" si="7"/>
        <v>0</v>
      </c>
      <c r="P33" s="2"/>
      <c r="Q33" s="4"/>
      <c r="R33" s="2"/>
      <c r="S33" s="2"/>
    </row>
    <row r="34" spans="1:19" s="406" customFormat="1">
      <c r="A34" s="444">
        <f t="shared" si="1"/>
        <v>24</v>
      </c>
      <c r="B34" s="448" t="s">
        <v>1224</v>
      </c>
      <c r="C34" s="421">
        <f t="shared" si="2"/>
        <v>0</v>
      </c>
      <c r="D34" s="421">
        <f t="shared" si="3"/>
        <v>0</v>
      </c>
      <c r="E34" s="421">
        <f t="shared" si="4"/>
        <v>0</v>
      </c>
      <c r="F34" s="421">
        <f t="shared" si="5"/>
        <v>0</v>
      </c>
      <c r="G34" s="444"/>
      <c r="H34" s="438">
        <v>0</v>
      </c>
      <c r="I34" s="854">
        <f t="shared" si="8"/>
        <v>0</v>
      </c>
      <c r="J34" s="422">
        <f t="shared" si="10"/>
        <v>0</v>
      </c>
      <c r="K34" s="422">
        <f t="shared" si="6"/>
        <v>0</v>
      </c>
      <c r="L34" s="438">
        <v>0</v>
      </c>
      <c r="M34" s="854">
        <f t="shared" si="9"/>
        <v>0</v>
      </c>
      <c r="N34" s="422">
        <f t="shared" si="11"/>
        <v>0</v>
      </c>
      <c r="O34" s="423">
        <f t="shared" si="7"/>
        <v>0</v>
      </c>
      <c r="P34" s="2"/>
      <c r="Q34" s="4"/>
      <c r="R34" s="2"/>
      <c r="S34" s="2"/>
    </row>
    <row r="35" spans="1:19" s="406" customFormat="1">
      <c r="A35" s="444">
        <f t="shared" si="1"/>
        <v>25</v>
      </c>
      <c r="B35" s="448" t="s">
        <v>1224</v>
      </c>
      <c r="C35" s="421">
        <f t="shared" si="2"/>
        <v>0</v>
      </c>
      <c r="D35" s="421">
        <f t="shared" si="3"/>
        <v>0</v>
      </c>
      <c r="E35" s="421">
        <f t="shared" si="4"/>
        <v>0</v>
      </c>
      <c r="F35" s="421">
        <f t="shared" si="5"/>
        <v>0</v>
      </c>
      <c r="G35" s="444"/>
      <c r="H35" s="438">
        <v>0</v>
      </c>
      <c r="I35" s="854">
        <f t="shared" si="8"/>
        <v>0</v>
      </c>
      <c r="J35" s="422">
        <f t="shared" si="10"/>
        <v>0</v>
      </c>
      <c r="K35" s="422">
        <f t="shared" si="6"/>
        <v>0</v>
      </c>
      <c r="L35" s="438">
        <v>0</v>
      </c>
      <c r="M35" s="854">
        <f t="shared" si="9"/>
        <v>0</v>
      </c>
      <c r="N35" s="422">
        <f t="shared" si="11"/>
        <v>0</v>
      </c>
      <c r="O35" s="423">
        <f t="shared" si="7"/>
        <v>0</v>
      </c>
      <c r="P35" s="2"/>
      <c r="Q35" s="4"/>
      <c r="R35" s="2"/>
      <c r="S35" s="2"/>
    </row>
    <row r="36" spans="1:19" s="406" customFormat="1">
      <c r="A36" s="444">
        <f t="shared" si="1"/>
        <v>26</v>
      </c>
      <c r="B36" s="448" t="s">
        <v>1224</v>
      </c>
      <c r="C36" s="421">
        <f t="shared" si="2"/>
        <v>0</v>
      </c>
      <c r="D36" s="421">
        <f t="shared" si="3"/>
        <v>0</v>
      </c>
      <c r="E36" s="421">
        <f t="shared" si="4"/>
        <v>0</v>
      </c>
      <c r="F36" s="421">
        <f t="shared" si="5"/>
        <v>0</v>
      </c>
      <c r="G36" s="444"/>
      <c r="H36" s="438">
        <v>0</v>
      </c>
      <c r="I36" s="854">
        <f t="shared" si="8"/>
        <v>0</v>
      </c>
      <c r="J36" s="422">
        <f t="shared" si="10"/>
        <v>0</v>
      </c>
      <c r="K36" s="422">
        <f t="shared" si="6"/>
        <v>0</v>
      </c>
      <c r="L36" s="438">
        <v>0</v>
      </c>
      <c r="M36" s="854">
        <f t="shared" si="9"/>
        <v>0</v>
      </c>
      <c r="N36" s="422">
        <f t="shared" si="11"/>
        <v>0</v>
      </c>
      <c r="O36" s="423">
        <f t="shared" si="7"/>
        <v>0</v>
      </c>
      <c r="P36" s="2"/>
      <c r="Q36" s="4"/>
      <c r="R36" s="2"/>
      <c r="S36" s="2"/>
    </row>
    <row r="37" spans="1:19" s="406" customFormat="1">
      <c r="A37" s="444">
        <f t="shared" si="1"/>
        <v>27</v>
      </c>
      <c r="B37" s="448" t="s">
        <v>1224</v>
      </c>
      <c r="C37" s="421">
        <f t="shared" si="2"/>
        <v>0</v>
      </c>
      <c r="D37" s="421">
        <f t="shared" si="3"/>
        <v>0</v>
      </c>
      <c r="E37" s="421">
        <f t="shared" si="4"/>
        <v>0</v>
      </c>
      <c r="F37" s="421">
        <f t="shared" si="5"/>
        <v>0</v>
      </c>
      <c r="G37" s="444"/>
      <c r="H37" s="438">
        <v>0</v>
      </c>
      <c r="I37" s="854">
        <f t="shared" si="8"/>
        <v>0</v>
      </c>
      <c r="J37" s="422">
        <f t="shared" si="10"/>
        <v>0</v>
      </c>
      <c r="K37" s="422">
        <f t="shared" si="6"/>
        <v>0</v>
      </c>
      <c r="L37" s="438">
        <v>0</v>
      </c>
      <c r="M37" s="854">
        <f t="shared" si="9"/>
        <v>0</v>
      </c>
      <c r="N37" s="422">
        <f t="shared" si="11"/>
        <v>0</v>
      </c>
      <c r="O37" s="423">
        <f t="shared" si="7"/>
        <v>0</v>
      </c>
      <c r="P37" s="2"/>
      <c r="Q37" s="4"/>
      <c r="R37" s="2"/>
      <c r="S37" s="2"/>
    </row>
    <row r="38" spans="1:19" s="406" customFormat="1">
      <c r="A38" s="444">
        <f t="shared" si="1"/>
        <v>28</v>
      </c>
      <c r="B38" s="448" t="s">
        <v>1224</v>
      </c>
      <c r="C38" s="421">
        <f t="shared" si="2"/>
        <v>0</v>
      </c>
      <c r="D38" s="421">
        <f t="shared" si="3"/>
        <v>0</v>
      </c>
      <c r="E38" s="421">
        <f t="shared" si="4"/>
        <v>0</v>
      </c>
      <c r="F38" s="421">
        <f t="shared" si="5"/>
        <v>0</v>
      </c>
      <c r="G38" s="444"/>
      <c r="H38" s="438">
        <v>0</v>
      </c>
      <c r="I38" s="854">
        <f t="shared" si="8"/>
        <v>0</v>
      </c>
      <c r="J38" s="422">
        <f t="shared" si="10"/>
        <v>0</v>
      </c>
      <c r="K38" s="422">
        <f t="shared" si="6"/>
        <v>0</v>
      </c>
      <c r="L38" s="438">
        <v>0</v>
      </c>
      <c r="M38" s="854">
        <f t="shared" si="9"/>
        <v>0</v>
      </c>
      <c r="N38" s="422">
        <f t="shared" si="11"/>
        <v>0</v>
      </c>
      <c r="O38" s="423">
        <f t="shared" si="7"/>
        <v>0</v>
      </c>
      <c r="P38" s="2"/>
      <c r="Q38" s="4"/>
      <c r="R38" s="2"/>
      <c r="S38" s="2"/>
    </row>
    <row r="39" spans="1:19" s="406" customFormat="1">
      <c r="A39" s="444">
        <f t="shared" si="1"/>
        <v>29</v>
      </c>
      <c r="B39" s="448" t="s">
        <v>1224</v>
      </c>
      <c r="C39" s="421">
        <f t="shared" si="2"/>
        <v>0</v>
      </c>
      <c r="D39" s="421">
        <f t="shared" si="3"/>
        <v>0</v>
      </c>
      <c r="E39" s="421">
        <f t="shared" si="4"/>
        <v>0</v>
      </c>
      <c r="F39" s="421">
        <f t="shared" si="5"/>
        <v>0</v>
      </c>
      <c r="G39" s="444"/>
      <c r="H39" s="438">
        <v>0</v>
      </c>
      <c r="I39" s="854">
        <f t="shared" si="8"/>
        <v>0</v>
      </c>
      <c r="J39" s="422">
        <f t="shared" si="10"/>
        <v>0</v>
      </c>
      <c r="K39" s="422">
        <f t="shared" si="6"/>
        <v>0</v>
      </c>
      <c r="L39" s="438">
        <v>0</v>
      </c>
      <c r="M39" s="854">
        <f t="shared" si="9"/>
        <v>0</v>
      </c>
      <c r="N39" s="422">
        <f t="shared" si="11"/>
        <v>0</v>
      </c>
      <c r="O39" s="423">
        <f t="shared" si="7"/>
        <v>0</v>
      </c>
      <c r="P39" s="2"/>
      <c r="Q39" s="4"/>
      <c r="R39" s="2"/>
      <c r="S39" s="2"/>
    </row>
    <row r="40" spans="1:19" s="406" customFormat="1">
      <c r="A40" s="444">
        <f t="shared" si="1"/>
        <v>30</v>
      </c>
      <c r="B40" s="448" t="s">
        <v>1224</v>
      </c>
      <c r="C40" s="421">
        <f t="shared" si="2"/>
        <v>0</v>
      </c>
      <c r="D40" s="421">
        <f t="shared" si="3"/>
        <v>0</v>
      </c>
      <c r="E40" s="421">
        <f t="shared" si="4"/>
        <v>0</v>
      </c>
      <c r="F40" s="421">
        <f t="shared" si="5"/>
        <v>0</v>
      </c>
      <c r="G40" s="444"/>
      <c r="H40" s="438">
        <v>0</v>
      </c>
      <c r="I40" s="854">
        <f t="shared" si="8"/>
        <v>0</v>
      </c>
      <c r="J40" s="422">
        <f t="shared" si="10"/>
        <v>0</v>
      </c>
      <c r="K40" s="422">
        <f t="shared" si="6"/>
        <v>0</v>
      </c>
      <c r="L40" s="438">
        <v>0</v>
      </c>
      <c r="M40" s="854">
        <f t="shared" si="9"/>
        <v>0</v>
      </c>
      <c r="N40" s="422">
        <f t="shared" si="11"/>
        <v>0</v>
      </c>
      <c r="O40" s="423">
        <f t="shared" si="7"/>
        <v>0</v>
      </c>
      <c r="P40" s="2"/>
      <c r="Q40" s="4"/>
      <c r="R40" s="2"/>
      <c r="S40" s="2"/>
    </row>
    <row r="41" spans="1:19" s="406" customFormat="1">
      <c r="A41" s="444">
        <f t="shared" si="1"/>
        <v>31</v>
      </c>
      <c r="B41" s="448" t="s">
        <v>1224</v>
      </c>
      <c r="C41" s="421">
        <f t="shared" si="2"/>
        <v>0</v>
      </c>
      <c r="D41" s="421">
        <f t="shared" si="3"/>
        <v>0</v>
      </c>
      <c r="E41" s="421">
        <f t="shared" si="4"/>
        <v>0</v>
      </c>
      <c r="F41" s="421">
        <f t="shared" si="5"/>
        <v>0</v>
      </c>
      <c r="G41" s="444"/>
      <c r="H41" s="438">
        <v>0</v>
      </c>
      <c r="I41" s="854">
        <f t="shared" si="8"/>
        <v>0</v>
      </c>
      <c r="J41" s="422">
        <f t="shared" si="10"/>
        <v>0</v>
      </c>
      <c r="K41" s="422">
        <f t="shared" si="6"/>
        <v>0</v>
      </c>
      <c r="L41" s="438">
        <v>0</v>
      </c>
      <c r="M41" s="854">
        <f t="shared" si="9"/>
        <v>0</v>
      </c>
      <c r="N41" s="422">
        <f t="shared" si="11"/>
        <v>0</v>
      </c>
      <c r="O41" s="423">
        <f t="shared" si="7"/>
        <v>0</v>
      </c>
      <c r="P41" s="2"/>
      <c r="Q41" s="4"/>
      <c r="R41" s="2"/>
      <c r="S41" s="2"/>
    </row>
    <row r="42" spans="1:19" s="406" customFormat="1">
      <c r="A42" s="444">
        <f t="shared" si="1"/>
        <v>32</v>
      </c>
      <c r="B42" s="448" t="s">
        <v>1224</v>
      </c>
      <c r="C42" s="421">
        <f t="shared" si="2"/>
        <v>0</v>
      </c>
      <c r="D42" s="421">
        <f t="shared" si="3"/>
        <v>0</v>
      </c>
      <c r="E42" s="421">
        <f t="shared" si="4"/>
        <v>0</v>
      </c>
      <c r="F42" s="421">
        <f t="shared" si="5"/>
        <v>0</v>
      </c>
      <c r="G42" s="444"/>
      <c r="H42" s="438">
        <v>0</v>
      </c>
      <c r="I42" s="854">
        <f t="shared" si="8"/>
        <v>0</v>
      </c>
      <c r="J42" s="422">
        <f t="shared" si="10"/>
        <v>0</v>
      </c>
      <c r="K42" s="422">
        <f t="shared" si="6"/>
        <v>0</v>
      </c>
      <c r="L42" s="438">
        <v>0</v>
      </c>
      <c r="M42" s="854">
        <f t="shared" si="9"/>
        <v>0</v>
      </c>
      <c r="N42" s="422">
        <f t="shared" si="11"/>
        <v>0</v>
      </c>
      <c r="O42" s="423">
        <f t="shared" si="7"/>
        <v>0</v>
      </c>
      <c r="P42" s="2"/>
      <c r="Q42" s="4"/>
      <c r="R42" s="2"/>
      <c r="S42" s="2"/>
    </row>
    <row r="43" spans="1:19" s="406" customFormat="1">
      <c r="A43" s="432"/>
      <c r="B43" s="444"/>
      <c r="G43" s="444"/>
      <c r="H43" s="424"/>
      <c r="I43" s="425"/>
      <c r="J43" s="425"/>
      <c r="K43" s="425"/>
      <c r="L43" s="426"/>
      <c r="M43" s="425"/>
      <c r="N43" s="427"/>
      <c r="O43" s="428"/>
      <c r="P43" s="2"/>
      <c r="Q43" s="4"/>
      <c r="R43" s="2"/>
      <c r="S43" s="2"/>
    </row>
    <row r="44" spans="1:19" s="406" customFormat="1">
      <c r="A44" s="447" t="s">
        <v>174</v>
      </c>
      <c r="B44" s="444"/>
      <c r="G44" s="444"/>
      <c r="H44" s="429"/>
      <c r="I44" s="429"/>
      <c r="J44" s="429"/>
      <c r="K44" s="429"/>
      <c r="L44" s="430"/>
      <c r="M44" s="429"/>
      <c r="N44" s="431"/>
      <c r="O44" s="431"/>
      <c r="P44" s="2"/>
      <c r="Q44" s="4"/>
      <c r="R44" s="2"/>
      <c r="S44" s="2"/>
    </row>
    <row r="45" spans="1:19" s="406" customFormat="1">
      <c r="A45" s="432" t="s">
        <v>79</v>
      </c>
      <c r="B45" s="445" t="s">
        <v>698</v>
      </c>
      <c r="G45" s="444"/>
      <c r="H45" s="429"/>
      <c r="I45" s="429"/>
      <c r="J45" s="429"/>
      <c r="K45" s="429"/>
      <c r="L45" s="430"/>
      <c r="M45" s="429"/>
      <c r="N45" s="431"/>
      <c r="O45" s="431"/>
      <c r="P45" s="2"/>
      <c r="Q45" s="4"/>
      <c r="R45" s="2"/>
      <c r="S45" s="2"/>
    </row>
    <row r="46" spans="1:19" s="20" customFormat="1" ht="15" customHeight="1">
      <c r="A46" s="432" t="s">
        <v>80</v>
      </c>
      <c r="B46" s="445" t="s">
        <v>699</v>
      </c>
      <c r="C46" s="56"/>
      <c r="D46" s="56"/>
      <c r="E46" s="56"/>
      <c r="F46" s="56"/>
      <c r="G46" s="442"/>
      <c r="H46" s="2"/>
      <c r="I46" s="9"/>
      <c r="P46" s="2"/>
      <c r="Q46" s="4"/>
      <c r="R46" s="2"/>
      <c r="S46" s="2"/>
    </row>
    <row r="47" spans="1:19" s="20" customFormat="1">
      <c r="A47" s="432" t="s">
        <v>81</v>
      </c>
      <c r="B47" s="992" t="s">
        <v>1126</v>
      </c>
      <c r="C47" s="992"/>
      <c r="D47" s="992"/>
      <c r="E47" s="992"/>
      <c r="F47" s="992"/>
      <c r="G47" s="992"/>
      <c r="H47" s="992"/>
      <c r="I47" s="992"/>
      <c r="J47" s="992"/>
      <c r="K47" s="992"/>
      <c r="P47" s="2"/>
      <c r="Q47" s="4"/>
      <c r="R47" s="2"/>
      <c r="S47" s="2"/>
    </row>
    <row r="48" spans="1:19" ht="15" customHeight="1">
      <c r="A48" s="432" t="s">
        <v>82</v>
      </c>
      <c r="B48" s="445" t="s">
        <v>1133</v>
      </c>
      <c r="C48" s="56"/>
      <c r="D48" s="56"/>
      <c r="E48" s="56"/>
      <c r="F48" s="56"/>
      <c r="G48" s="442"/>
      <c r="I48" s="9"/>
    </row>
    <row r="49" spans="1:9" ht="15" customHeight="1">
      <c r="A49" s="54"/>
      <c r="B49" s="55"/>
      <c r="C49" s="56"/>
      <c r="D49" s="56"/>
      <c r="E49" s="56"/>
      <c r="F49" s="56"/>
      <c r="G49" s="442"/>
      <c r="I49" s="9"/>
    </row>
    <row r="50" spans="1:9" ht="15" customHeight="1">
      <c r="A50" s="54"/>
      <c r="B50" s="55"/>
      <c r="C50" s="56"/>
      <c r="D50" s="56"/>
      <c r="E50" s="56"/>
      <c r="F50" s="56"/>
      <c r="G50" s="442"/>
      <c r="I50" s="9"/>
    </row>
    <row r="51" spans="1:9" ht="15" customHeight="1">
      <c r="A51" s="54"/>
      <c r="B51" s="55"/>
      <c r="C51" s="56"/>
      <c r="D51" s="56"/>
      <c r="E51" s="56"/>
      <c r="F51" s="56"/>
      <c r="G51" s="442"/>
      <c r="I51" s="9"/>
    </row>
    <row r="52" spans="1:9" ht="15" customHeight="1">
      <c r="A52" s="54"/>
      <c r="B52" s="55"/>
      <c r="C52" s="56"/>
      <c r="D52" s="56"/>
      <c r="E52" s="56"/>
      <c r="F52" s="56"/>
      <c r="G52" s="442"/>
      <c r="I52" s="9"/>
    </row>
    <row r="53" spans="1:9" ht="15" customHeight="1">
      <c r="A53" s="54"/>
      <c r="B53" s="55"/>
      <c r="C53" s="56"/>
      <c r="D53" s="56"/>
      <c r="E53" s="56"/>
      <c r="F53" s="56"/>
      <c r="G53" s="442"/>
      <c r="I53" s="9"/>
    </row>
    <row r="54" spans="1:9">
      <c r="A54" s="54"/>
      <c r="B54" s="55"/>
      <c r="C54" s="56"/>
      <c r="D54" s="56"/>
      <c r="E54" s="56"/>
      <c r="F54" s="56"/>
      <c r="G54" s="442"/>
      <c r="I54" s="9"/>
    </row>
    <row r="55" spans="1:9">
      <c r="A55" s="54"/>
      <c r="B55" s="55"/>
      <c r="C55" s="56"/>
      <c r="D55" s="56"/>
      <c r="E55" s="56"/>
      <c r="F55" s="56"/>
      <c r="G55" s="442"/>
      <c r="I55" s="9"/>
    </row>
    <row r="56" spans="1:9">
      <c r="A56" s="54"/>
      <c r="B56" s="55"/>
      <c r="C56" s="56"/>
      <c r="D56" s="56"/>
      <c r="E56" s="56"/>
      <c r="F56" s="56"/>
      <c r="G56" s="442"/>
      <c r="I56" s="9"/>
    </row>
    <row r="57" spans="1:9">
      <c r="A57" s="54"/>
      <c r="B57" s="55"/>
      <c r="C57" s="56"/>
      <c r="D57" s="56"/>
      <c r="E57" s="56"/>
      <c r="F57" s="56"/>
      <c r="G57" s="442"/>
      <c r="I57" s="9"/>
    </row>
    <row r="58" spans="1:9">
      <c r="A58" s="54"/>
      <c r="B58" s="55"/>
      <c r="C58" s="56"/>
      <c r="D58" s="56"/>
      <c r="E58" s="56"/>
      <c r="F58" s="56"/>
      <c r="G58" s="442"/>
      <c r="I58" s="9"/>
    </row>
    <row r="59" spans="1:9">
      <c r="A59" s="54"/>
      <c r="B59" s="55"/>
      <c r="C59" s="56"/>
      <c r="D59" s="56"/>
      <c r="E59" s="56"/>
      <c r="F59" s="56"/>
      <c r="G59" s="442"/>
      <c r="I59" s="9"/>
    </row>
    <row r="60" spans="1:9">
      <c r="A60" s="54"/>
      <c r="B60" s="55"/>
      <c r="C60" s="56"/>
      <c r="D60" s="56"/>
      <c r="E60" s="56"/>
      <c r="F60" s="56"/>
      <c r="G60" s="442"/>
      <c r="I60" s="9"/>
    </row>
    <row r="61" spans="1:9">
      <c r="A61" s="54"/>
      <c r="B61" s="55"/>
      <c r="C61" s="56"/>
      <c r="D61" s="56"/>
      <c r="E61" s="56"/>
      <c r="F61" s="56"/>
      <c r="G61" s="442"/>
      <c r="I61" s="9"/>
    </row>
    <row r="62" spans="1:9">
      <c r="A62" s="54"/>
      <c r="B62" s="55"/>
      <c r="C62" s="56"/>
      <c r="D62" s="56"/>
      <c r="E62" s="56"/>
      <c r="F62" s="56"/>
      <c r="G62" s="442"/>
      <c r="I62" s="9"/>
    </row>
    <row r="63" spans="1:9">
      <c r="A63" s="54"/>
      <c r="B63" s="55"/>
      <c r="C63" s="56"/>
      <c r="D63" s="56"/>
      <c r="E63" s="56"/>
      <c r="F63" s="56"/>
      <c r="G63" s="442"/>
      <c r="I63" s="9"/>
    </row>
    <row r="64" spans="1:9">
      <c r="A64" s="54"/>
      <c r="B64" s="55"/>
      <c r="C64" s="56"/>
      <c r="D64" s="56"/>
      <c r="E64" s="56"/>
      <c r="F64" s="56"/>
      <c r="G64" s="442"/>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399"/>
      <c r="K123" s="399"/>
    </row>
    <row r="124" spans="1:17" ht="15" customHeight="1">
      <c r="J124" s="399"/>
      <c r="K124" s="399"/>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0"/>
      <c r="K129" s="400"/>
      <c r="L129" s="400"/>
      <c r="M129" s="400"/>
      <c r="N129" s="400"/>
    </row>
    <row r="130" spans="10:14" ht="15" customHeight="1">
      <c r="J130" s="400"/>
      <c r="K130" s="400"/>
    </row>
    <row r="131" spans="10:14" ht="82.5" customHeight="1">
      <c r="J131" s="400"/>
      <c r="K131" s="400"/>
      <c r="L131" s="400"/>
      <c r="M131" s="400"/>
      <c r="N131" s="400"/>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Clevinger, Michael</cp:lastModifiedBy>
  <cp:lastPrinted>2020-03-19T19:29:59Z</cp:lastPrinted>
  <dcterms:created xsi:type="dcterms:W3CDTF">2008-03-20T17:17:47Z</dcterms:created>
  <dcterms:modified xsi:type="dcterms:W3CDTF">2022-05-31T18:16:37Z</dcterms:modified>
</cp:coreProperties>
</file>