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LFP\FERC\TransmissionFormula Rate\CLFP Trans Form Rates 2021\True Up\Files for OASIS\"/>
    </mc:Choice>
  </mc:AlternateContent>
  <xr:revisionPtr revIDLastSave="0" documentId="13_ncr:1_{857A592F-544A-4E5F-82D4-DCCBA2F4BF99}" xr6:coauthVersionLast="47" xr6:coauthVersionMax="47" xr10:uidLastSave="{00000000-0000-0000-0000-000000000000}"/>
  <bookViews>
    <workbookView xWindow="-120" yWindow="-120" windowWidth="29040" windowHeight="15840" xr2:uid="{B09C80CA-BC02-4AA5-B282-FC4204ECF8DE}"/>
  </bookViews>
  <sheets>
    <sheet name="A8-Prepmts" sheetId="9" r:id="rId1"/>
    <sheet name="Coal" sheetId="8" r:id="rId2"/>
    <sheet name="165002 Insurance" sheetId="1" r:id="rId3"/>
    <sheet name="165012 Other" sheetId="3" r:id="rId4"/>
    <sheet name="165020 Dues and Subs" sheetId="4" r:id="rId5"/>
  </sheets>
  <externalReferences>
    <externalReference r:id="rId6"/>
  </externalReferences>
  <definedNames>
    <definedName name="CE">'[1]Act Att-H'!$G$57</definedName>
    <definedName name="DA">1</definedName>
    <definedName name="NA">0</definedName>
    <definedName name="NP">'[1]Act Att-H'!$G$66</definedName>
    <definedName name="TE">'[1]Act Att-H'!$I$183</definedName>
    <definedName name="TP">'[1]Act Att-H'!$I$174</definedName>
    <definedName name="WS">'[1]Act Att-H'!$I$191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9" l="1"/>
  <c r="E33" i="9" s="1"/>
  <c r="E34" i="9"/>
  <c r="G32" i="9"/>
  <c r="G31" i="9"/>
  <c r="G30" i="9"/>
  <c r="G29" i="9"/>
  <c r="H29" i="9" s="1"/>
  <c r="G28" i="9"/>
  <c r="G27" i="9"/>
  <c r="G26" i="9"/>
  <c r="G25" i="9"/>
  <c r="H25" i="9" s="1"/>
  <c r="G24" i="9"/>
  <c r="G23" i="9"/>
  <c r="G22" i="9"/>
  <c r="G21" i="9"/>
  <c r="H21" i="9" s="1"/>
  <c r="G20" i="9"/>
  <c r="G19" i="9"/>
  <c r="G18" i="9"/>
  <c r="G16" i="9"/>
  <c r="H16" i="9" s="1"/>
  <c r="G15" i="9"/>
  <c r="G12" i="9"/>
  <c r="G11" i="9"/>
  <c r="G10" i="9"/>
  <c r="G9" i="9"/>
  <c r="H9" i="9" s="1"/>
  <c r="G8" i="9"/>
  <c r="H17" i="9"/>
  <c r="H18" i="9"/>
  <c r="H19" i="9"/>
  <c r="H20" i="9"/>
  <c r="H22" i="9"/>
  <c r="H23" i="9"/>
  <c r="H24" i="9"/>
  <c r="H26" i="9"/>
  <c r="H27" i="9"/>
  <c r="H28" i="9"/>
  <c r="H30" i="9"/>
  <c r="H31" i="9"/>
  <c r="H32" i="9"/>
  <c r="H8" i="9"/>
  <c r="E21" i="9"/>
  <c r="E20" i="9"/>
  <c r="E19" i="9"/>
  <c r="E18" i="9"/>
  <c r="E17" i="9"/>
  <c r="E8" i="9"/>
  <c r="A3" i="9"/>
  <c r="F3" i="1" l="1"/>
  <c r="F4" i="1" s="1"/>
  <c r="F5" i="1"/>
  <c r="F6" i="1" s="1"/>
  <c r="H5" i="1"/>
  <c r="H6" i="1" s="1"/>
  <c r="H3" i="1"/>
  <c r="H4" i="1" s="1"/>
  <c r="G3" i="1" l="1"/>
  <c r="G5" i="1"/>
  <c r="G4" i="1"/>
  <c r="G6" i="1"/>
  <c r="I5" i="1" l="1"/>
  <c r="I6" i="1" s="1"/>
  <c r="I3" i="1"/>
  <c r="I4" i="1" s="1"/>
  <c r="J5" i="1" l="1"/>
  <c r="J6" i="1" s="1"/>
  <c r="J3" i="1"/>
  <c r="J4" i="1"/>
  <c r="K5" i="1"/>
  <c r="K6" i="1" s="1"/>
  <c r="K3" i="1"/>
  <c r="K4" i="1" s="1"/>
  <c r="L3" i="1"/>
  <c r="L5" i="1" l="1"/>
  <c r="L6" i="1" s="1"/>
  <c r="M5" i="1"/>
  <c r="M6" i="1" s="1"/>
  <c r="M3" i="1"/>
  <c r="M4" i="1" s="1"/>
  <c r="L4" i="1"/>
  <c r="O3" i="1"/>
  <c r="O4" i="1" l="1"/>
  <c r="P3" i="1"/>
  <c r="O5" i="1"/>
  <c r="O6" i="1" s="1"/>
  <c r="P5" i="1"/>
  <c r="B19" i="8" l="1"/>
  <c r="P6" i="1"/>
  <c r="P4" i="1"/>
  <c r="O8" i="1"/>
  <c r="N8" i="1"/>
  <c r="M8" i="1"/>
  <c r="L8" i="1"/>
  <c r="K8" i="1"/>
  <c r="J8" i="1"/>
  <c r="I8" i="1"/>
  <c r="H8" i="1"/>
  <c r="G8" i="1"/>
  <c r="F8" i="1"/>
  <c r="E8" i="1"/>
  <c r="Q3" i="1"/>
  <c r="Q6" i="1"/>
  <c r="Q5" i="1"/>
  <c r="R7" i="1"/>
  <c r="E11" i="9" s="1"/>
  <c r="H11" i="9" s="1"/>
  <c r="R2" i="3"/>
  <c r="Q4" i="1" l="1"/>
  <c r="Q8" i="1" s="1"/>
  <c r="P8" i="1"/>
  <c r="R2" i="4"/>
  <c r="R5" i="4"/>
  <c r="R4" i="4"/>
  <c r="R3" i="4"/>
  <c r="S5" i="4" l="1"/>
  <c r="R6" i="1" l="1"/>
  <c r="E14" i="9" s="1"/>
  <c r="H14" i="9" s="1"/>
  <c r="R4" i="1"/>
  <c r="E13" i="9" s="1"/>
  <c r="H13" i="9" s="1"/>
  <c r="R3" i="1"/>
  <c r="E12" i="9" s="1"/>
  <c r="H12" i="9" s="1"/>
  <c r="R2" i="1"/>
  <c r="E10" i="9" s="1"/>
  <c r="H10" i="9" l="1"/>
  <c r="R9" i="3"/>
  <c r="R8" i="3"/>
  <c r="R7" i="3"/>
  <c r="R6" i="3"/>
  <c r="R5" i="3"/>
  <c r="R4" i="3"/>
  <c r="R3" i="3"/>
  <c r="R10" i="3" l="1"/>
  <c r="R5" i="1" l="1"/>
  <c r="F6" i="4"/>
  <c r="G6" i="4"/>
  <c r="H6" i="4"/>
  <c r="I6" i="4"/>
  <c r="J6" i="4"/>
  <c r="K6" i="4"/>
  <c r="L6" i="4"/>
  <c r="M6" i="4"/>
  <c r="N6" i="4"/>
  <c r="O6" i="4"/>
  <c r="P6" i="4"/>
  <c r="Q6" i="4"/>
  <c r="E6" i="4"/>
  <c r="R8" i="1" l="1"/>
  <c r="E15" i="9"/>
  <c r="R6" i="4"/>
  <c r="F10" i="3"/>
  <c r="G10" i="3"/>
  <c r="H10" i="3"/>
  <c r="I10" i="3"/>
  <c r="J10" i="3"/>
  <c r="K10" i="3"/>
  <c r="L10" i="3"/>
  <c r="M10" i="3"/>
  <c r="N10" i="3"/>
  <c r="O10" i="3"/>
  <c r="P10" i="3"/>
  <c r="E10" i="3"/>
  <c r="H15" i="9" l="1"/>
  <c r="H33" i="9" s="1"/>
  <c r="E35" i="9"/>
  <c r="Q10" i="3"/>
</calcChain>
</file>

<file path=xl/sharedStrings.xml><?xml version="1.0" encoding="utf-8"?>
<sst xmlns="http://schemas.openxmlformats.org/spreadsheetml/2006/main" count="123" uniqueCount="84">
  <si>
    <t>Liberty Mutual</t>
  </si>
  <si>
    <t>00138387</t>
  </si>
  <si>
    <t>Auto Policy 20/21</t>
  </si>
  <si>
    <t>FM Global</t>
  </si>
  <si>
    <t>00143460</t>
  </si>
  <si>
    <t>Property Insurance</t>
  </si>
  <si>
    <t>Hays Group</t>
  </si>
  <si>
    <t>70770</t>
  </si>
  <si>
    <t>00144214</t>
  </si>
  <si>
    <t>Terrorism</t>
  </si>
  <si>
    <t xml:space="preserve">CLFP </t>
  </si>
  <si>
    <t>Praco LTD</t>
  </si>
  <si>
    <t>Ready Branding - Advert and Promo</t>
  </si>
  <si>
    <t>CLFP</t>
  </si>
  <si>
    <t>Pacificorp</t>
  </si>
  <si>
    <t>Feasability Study (BA)</t>
  </si>
  <si>
    <t>Misc Rent Accrual</t>
  </si>
  <si>
    <t>Lease #0000000135</t>
  </si>
  <si>
    <t>Lease #0000000213</t>
  </si>
  <si>
    <t>Lease #0000000086</t>
  </si>
  <si>
    <t>WECC</t>
  </si>
  <si>
    <t>03478</t>
  </si>
  <si>
    <t>00127598</t>
  </si>
  <si>
    <t>NERC, WIRAB, WECC</t>
  </si>
  <si>
    <t>00171716</t>
  </si>
  <si>
    <t xml:space="preserve">Peak Reliability </t>
  </si>
  <si>
    <t>00127062</t>
  </si>
  <si>
    <t>2020 Reliability Coordinator Fee</t>
  </si>
  <si>
    <t>00172281</t>
  </si>
  <si>
    <t>13 mo Avg</t>
  </si>
  <si>
    <t>00126429</t>
  </si>
  <si>
    <t>Terrorism-CPGS</t>
  </si>
  <si>
    <t xml:space="preserve">Tait Radio </t>
  </si>
  <si>
    <t>Maintenance</t>
  </si>
  <si>
    <t>Property - CPGS</t>
  </si>
  <si>
    <t>Work Comp Renewal 21-22</t>
  </si>
  <si>
    <t>13 Month Average</t>
  </si>
  <si>
    <t>COAL</t>
  </si>
  <si>
    <t>Lease #0000000140 Wygen2 Grd Leas</t>
  </si>
  <si>
    <t>Worksheet A8</t>
  </si>
  <si>
    <t>Prepayments</t>
  </si>
  <si>
    <t>Page 1 of 1</t>
  </si>
  <si>
    <t>Line</t>
  </si>
  <si>
    <t>Prepaid Item (Note B)</t>
  </si>
  <si>
    <t>Description</t>
  </si>
  <si>
    <t>13 Month Average Balance
(Note C)</t>
  </si>
  <si>
    <t>Allocator</t>
  </si>
  <si>
    <t>Allocation Factor</t>
  </si>
  <si>
    <t>Allocated Amount</t>
  </si>
  <si>
    <t>(a)</t>
  </si>
  <si>
    <t>(b)</t>
  </si>
  <si>
    <t>(c)</t>
  </si>
  <si>
    <t>(d)</t>
  </si>
  <si>
    <t>(e)</t>
  </si>
  <si>
    <t>(f)</t>
  </si>
  <si>
    <t>WECC Dues</t>
  </si>
  <si>
    <t>TP</t>
  </si>
  <si>
    <t>Reliability Dues</t>
  </si>
  <si>
    <t xml:space="preserve"> Reliability Dues</t>
  </si>
  <si>
    <t>Auto Policy 17/18</t>
  </si>
  <si>
    <t>Insurance Auto policy</t>
  </si>
  <si>
    <t>WS</t>
  </si>
  <si>
    <t>Workers Compensation</t>
  </si>
  <si>
    <t>Workers Compensation policy</t>
  </si>
  <si>
    <t>Insurance Terrorism Policy - General</t>
  </si>
  <si>
    <t>Insurance Terrorism Policy - Specific Asset</t>
  </si>
  <si>
    <t>NA</t>
  </si>
  <si>
    <t>Property Insurance-CPGS</t>
  </si>
  <si>
    <t>Property Insurance Policy - Specific Asset</t>
  </si>
  <si>
    <t>Property Insurance Policy - General</t>
  </si>
  <si>
    <t>EAM Enterpise Storage</t>
  </si>
  <si>
    <t>Data Storage - General</t>
  </si>
  <si>
    <t>Prepaid Coal</t>
  </si>
  <si>
    <t>Timing of Coal payments vs. received according to contract</t>
  </si>
  <si>
    <t>Lease</t>
  </si>
  <si>
    <t>Wygen 2 Ground Lease (Production)</t>
  </si>
  <si>
    <t>Harriman Communication tower lease (Distribution)</t>
  </si>
  <si>
    <t>Horse Creek Site Trunking System Repeater Radio (Distribution)</t>
  </si>
  <si>
    <t xml:space="preserve">Branding </t>
  </si>
  <si>
    <t>Advertising and Promo</t>
  </si>
  <si>
    <t>Total</t>
  </si>
  <si>
    <t>(Note A)</t>
  </si>
  <si>
    <t>Total from A4-Rate Base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</si>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</sst>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0000_);_(* \(#,##0.000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sz val="11"/>
      <name val="Calibri"/>
      <family val="2"/>
      <scheme val="minor"/>
    </font>
    <font>
      <b/>
      <sz val="10"/>
      <name val="Arial Unicode MS"/>
      <family val="2"/>
    </font>
    <font>
      <sz val="12"/>
      <name val="Calibri"/>
      <family val="2"/>
      <scheme val="minor"/>
    </font>
    <font>
      <sz val="11"/>
      <color theme="1"/>
      <name val="Calibri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9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638B4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0" fontId="7" fillId="0" borderId="0"/>
  </cellStyleXfs>
  <cellXfs count="67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0" fillId="0" borderId="0" xfId="2" applyFont="1"/>
    <xf numFmtId="49" fontId="3" fillId="0" borderId="0" xfId="3" quotePrefix="1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9" fontId="5" fillId="0" borderId="0" xfId="5" applyNumberFormat="1" applyFont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9" fontId="5" fillId="0" borderId="1" xfId="5" applyNumberFormat="1" applyFont="1" applyBorder="1"/>
    <xf numFmtId="43" fontId="0" fillId="0" borderId="0" xfId="1" applyFont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9" fontId="3" fillId="2" borderId="2" xfId="0" quotePrefix="1" applyNumberFormat="1" applyFont="1" applyFill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49" fontId="3" fillId="3" borderId="0" xfId="0" quotePrefix="1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quotePrefix="1" applyNumberFormat="1" applyFont="1" applyFill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49" fontId="3" fillId="3" borderId="1" xfId="0" quotePrefix="1" applyNumberFormat="1" applyFont="1" applyFill="1" applyBorder="1" applyAlignment="1">
      <alignment horizontal="center"/>
    </xf>
    <xf numFmtId="43" fontId="0" fillId="0" borderId="0" xfId="1" applyFont="1" applyBorder="1"/>
    <xf numFmtId="43" fontId="0" fillId="0" borderId="3" xfId="1" applyFont="1" applyBorder="1"/>
    <xf numFmtId="0" fontId="0" fillId="0" borderId="3" xfId="0" applyBorder="1"/>
    <xf numFmtId="43" fontId="5" fillId="0" borderId="0" xfId="1" applyFont="1" applyAlignment="1"/>
    <xf numFmtId="43" fontId="5" fillId="0" borderId="3" xfId="1" applyFont="1" applyBorder="1" applyAlignment="1"/>
    <xf numFmtId="43" fontId="0" fillId="0" borderId="0" xfId="0" applyNumberFormat="1"/>
    <xf numFmtId="14" fontId="0" fillId="0" borderId="0" xfId="0" applyNumberFormat="1"/>
    <xf numFmtId="0" fontId="5" fillId="0" borderId="0" xfId="0" applyFont="1" applyAlignment="1">
      <alignment horizontal="left" vertical="center"/>
    </xf>
    <xf numFmtId="165" fontId="0" fillId="0" borderId="0" xfId="1" applyNumberFormat="1" applyFont="1"/>
    <xf numFmtId="43" fontId="0" fillId="0" borderId="0" xfId="1" applyFont="1" applyFill="1"/>
    <xf numFmtId="0" fontId="8" fillId="0" borderId="0" xfId="9" applyFont="1" applyAlignment="1">
      <alignment horizontal="center"/>
    </xf>
    <xf numFmtId="49" fontId="8" fillId="0" borderId="0" xfId="9" applyNumberFormat="1" applyFont="1" applyAlignment="1">
      <alignment horizontal="center"/>
    </xf>
    <xf numFmtId="0" fontId="9" fillId="0" borderId="0" xfId="9" applyFont="1"/>
    <xf numFmtId="0" fontId="9" fillId="0" borderId="0" xfId="0" applyFont="1"/>
    <xf numFmtId="0" fontId="9" fillId="0" borderId="0" xfId="9" applyFont="1" applyAlignment="1">
      <alignment horizontal="right"/>
    </xf>
    <xf numFmtId="0" fontId="8" fillId="0" borderId="0" xfId="9" applyFont="1"/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9" fillId="0" borderId="4" xfId="9" applyFont="1" applyBorder="1"/>
    <xf numFmtId="0" fontId="8" fillId="0" borderId="4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9" fillId="0" borderId="0" xfId="9" applyFont="1" applyAlignment="1">
      <alignment horizontal="center"/>
    </xf>
    <xf numFmtId="14" fontId="9" fillId="0" borderId="0" xfId="0" applyNumberFormat="1" applyFont="1" applyProtection="1">
      <protection locked="0"/>
    </xf>
    <xf numFmtId="166" fontId="10" fillId="4" borderId="0" xfId="8" applyNumberFormat="1" applyFont="1" applyFill="1" applyAlignment="1" applyProtection="1">
      <protection locked="0"/>
    </xf>
    <xf numFmtId="14" fontId="9" fillId="0" borderId="0" xfId="0" applyNumberFormat="1" applyFont="1" applyAlignment="1" applyProtection="1">
      <alignment horizontal="center"/>
      <protection locked="0"/>
    </xf>
    <xf numFmtId="167" fontId="9" fillId="0" borderId="0" xfId="1" applyNumberFormat="1" applyFont="1" applyFill="1" applyAlignment="1" applyProtection="1">
      <protection locked="0"/>
    </xf>
    <xf numFmtId="166" fontId="9" fillId="0" borderId="0" xfId="8" applyNumberFormat="1" applyFont="1" applyFill="1" applyAlignment="1" applyProtection="1">
      <protection locked="0"/>
    </xf>
    <xf numFmtId="165" fontId="10" fillId="4" borderId="0" xfId="1" applyNumberFormat="1" applyFont="1" applyFill="1" applyAlignment="1" applyProtection="1">
      <protection locked="0"/>
    </xf>
    <xf numFmtId="14" fontId="10" fillId="4" borderId="0" xfId="0" applyNumberFormat="1" applyFont="1" applyFill="1" applyProtection="1">
      <protection locked="0"/>
    </xf>
    <xf numFmtId="0" fontId="10" fillId="4" borderId="0" xfId="9" applyFont="1" applyFill="1"/>
    <xf numFmtId="14" fontId="10" fillId="4" borderId="0" xfId="0" applyNumberFormat="1" applyFont="1" applyFill="1" applyAlignment="1" applyProtection="1">
      <alignment horizontal="center"/>
      <protection locked="0"/>
    </xf>
    <xf numFmtId="0" fontId="9" fillId="0" borderId="3" xfId="9" applyFont="1" applyBorder="1"/>
    <xf numFmtId="166" fontId="9" fillId="0" borderId="3" xfId="8" applyNumberFormat="1" applyFont="1" applyFill="1" applyBorder="1"/>
    <xf numFmtId="166" fontId="9" fillId="0" borderId="3" xfId="8" applyNumberFormat="1" applyFont="1" applyBorder="1"/>
    <xf numFmtId="166" fontId="9" fillId="0" borderId="5" xfId="8" applyNumberFormat="1" applyFont="1" applyBorder="1"/>
    <xf numFmtId="166" fontId="9" fillId="0" borderId="6" xfId="8" applyNumberFormat="1" applyFont="1" applyBorder="1"/>
    <xf numFmtId="166" fontId="9" fillId="0" borderId="0" xfId="8" applyNumberFormat="1" applyFont="1" applyFill="1" applyBorder="1"/>
    <xf numFmtId="166" fontId="9" fillId="0" borderId="0" xfId="8" applyNumberFormat="1" applyFont="1" applyBorder="1"/>
  </cellXfs>
  <cellStyles count="10">
    <cellStyle name="Comma" xfId="1" builtinId="3"/>
    <cellStyle name="Comma 18" xfId="6" xr:uid="{A0329CC8-45F3-4037-B403-0972AD4AD12E}"/>
    <cellStyle name="Comma 2 3" xfId="4" xr:uid="{A2C83BF6-4579-4FA0-AD38-F07A12DA0C64}"/>
    <cellStyle name="Currency" xfId="8" builtinId="4"/>
    <cellStyle name="Normal" xfId="0" builtinId="0"/>
    <cellStyle name="Normal 160 3 2" xfId="2" xr:uid="{9234761E-B0D1-42C9-B7F2-BCE53A3EB12E}"/>
    <cellStyle name="Normal 2" xfId="7" xr:uid="{5429BF48-3AD0-4183-9E8C-AC4591994CD3}"/>
    <cellStyle name="Normal 4" xfId="5" xr:uid="{8F6CE3F6-2AA1-4262-ABDB-76E78E865B52}"/>
    <cellStyle name="Normal_165002 Recon" xfId="3" xr:uid="{A743E271-F588-475B-AD6B-4B6F5E0961AE}"/>
    <cellStyle name="Normal_PRECorp2002HeintzResponse 8-21-03" xfId="9" xr:uid="{150755F8-53DE-4BA2-8477-233D3FD887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BHSC\BHC\Rates\BHE%20CLFP\FERC\TransmissionFormula%20Rate\CLFP%20Trans%20Form%20Rates%202021\True%20Up\2021%20CLPT%20Attach%20H%20Trans%20Formula%20Rate%20True%20Up.xlsx" TargetMode="External"/><Relationship Id="rId1" Type="http://schemas.openxmlformats.org/officeDocument/2006/relationships/externalLinkPath" Target="/BHSC/BHC/Rates/BHE%20CLFP/FERC/TransmissionFormula%20Rate/CLFP%20Trans%20Form%20Rates%202021/True%20Up/2021%20CLPT%20Attach%20H%20Trans%20Formula%20Rate%20True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Act Att-H"/>
      <sheetName val="A1-RevCred"/>
      <sheetName val="A2-A&amp;G"/>
      <sheetName val="A3-ADIT"/>
      <sheetName val="A4-Rate Base"/>
      <sheetName val="A5-Depr"/>
      <sheetName val="A6-Divisor"/>
      <sheetName val="A7-IncentPlant"/>
      <sheetName val="A8-Prepmts"/>
      <sheetName val="A9-PermDiffs"/>
      <sheetName val="TU-TrueUp"/>
      <sheetName val="Proj Att-H"/>
      <sheetName val="P1-Trans Plant"/>
      <sheetName val="P2-Exp. &amp; Rev. Credits"/>
      <sheetName val="P3-Divisor"/>
      <sheetName val="P4-IncentPlant"/>
      <sheetName val="P5-ADIT"/>
      <sheetName val="Schedule 1"/>
    </sheetNames>
    <sheetDataSet>
      <sheetData sheetId="0"/>
      <sheetData sheetId="1">
        <row r="7">
          <cell r="C7" t="str">
            <v>Cheyenne Light, Fuel &amp; Power</v>
          </cell>
        </row>
        <row r="57">
          <cell r="G57">
            <v>8.217144652354566E-2</v>
          </cell>
        </row>
        <row r="66">
          <cell r="G66">
            <v>0.10488802403765762</v>
          </cell>
        </row>
        <row r="174">
          <cell r="I174">
            <v>0.93588134221765762</v>
          </cell>
        </row>
        <row r="183">
          <cell r="I183">
            <v>0.9226428984668763</v>
          </cell>
        </row>
        <row r="191">
          <cell r="I191">
            <v>8.3698853923777461E-2</v>
          </cell>
        </row>
      </sheetData>
      <sheetData sheetId="2"/>
      <sheetData sheetId="3"/>
      <sheetData sheetId="4"/>
      <sheetData sheetId="5">
        <row r="70">
          <cell r="I70">
            <v>1086782.5384615385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D668-7E4D-4A92-B46C-588298C7F94A}">
  <dimension ref="A1:H35"/>
  <sheetViews>
    <sheetView tabSelected="1" topLeftCell="A4" workbookViewId="0">
      <selection activeCell="E35" sqref="E35"/>
    </sheetView>
  </sheetViews>
  <sheetFormatPr defaultRowHeight="15"/>
  <cols>
    <col min="2" max="2" width="4.5703125" bestFit="1" customWidth="1"/>
    <col min="3" max="3" width="20.7109375" bestFit="1" customWidth="1"/>
    <col min="4" max="4" width="51.140625" bestFit="1" customWidth="1"/>
    <col min="5" max="5" width="12" bestFit="1" customWidth="1"/>
    <col min="6" max="6" width="8.28515625" bestFit="1" customWidth="1"/>
    <col min="7" max="7" width="9" bestFit="1" customWidth="1"/>
    <col min="8" max="8" width="9.28515625" bestFit="1" customWidth="1"/>
  </cols>
  <sheetData>
    <row r="1" spans="1:8">
      <c r="A1" s="39" t="s">
        <v>39</v>
      </c>
      <c r="B1" s="39"/>
      <c r="C1" s="39"/>
      <c r="D1" s="39"/>
      <c r="E1" s="39"/>
      <c r="F1" s="39"/>
      <c r="G1" s="39"/>
      <c r="H1" s="39"/>
    </row>
    <row r="2" spans="1:8">
      <c r="A2" s="39" t="s">
        <v>40</v>
      </c>
      <c r="B2" s="39"/>
      <c r="C2" s="39"/>
      <c r="D2" s="39"/>
      <c r="E2" s="39"/>
      <c r="F2" s="39"/>
      <c r="G2" s="39"/>
      <c r="H2" s="39"/>
    </row>
    <row r="3" spans="1:8">
      <c r="A3" s="40" t="str">
        <f>'[1]Act Att-H'!C7</f>
        <v>Cheyenne Light, Fuel &amp; Power</v>
      </c>
      <c r="B3" s="40"/>
      <c r="C3" s="40"/>
      <c r="D3" s="40"/>
      <c r="E3" s="40"/>
      <c r="F3" s="40"/>
      <c r="G3" s="40"/>
      <c r="H3" s="40"/>
    </row>
    <row r="4" spans="1:8">
      <c r="A4" s="41"/>
      <c r="B4" s="41"/>
      <c r="C4" s="41"/>
      <c r="D4" s="41"/>
      <c r="E4" s="41"/>
      <c r="F4" s="42"/>
      <c r="G4" s="41"/>
      <c r="H4" s="43" t="s">
        <v>41</v>
      </c>
    </row>
    <row r="5" spans="1:8">
      <c r="A5" s="44"/>
      <c r="B5" s="44"/>
      <c r="C5" s="44"/>
      <c r="D5" s="44"/>
      <c r="E5" s="44"/>
      <c r="F5" s="44"/>
      <c r="G5" s="44"/>
      <c r="H5" s="44"/>
    </row>
    <row r="6" spans="1:8" ht="51.75">
      <c r="A6" s="41"/>
      <c r="B6" s="45" t="s">
        <v>42</v>
      </c>
      <c r="C6" s="45" t="s">
        <v>43</v>
      </c>
      <c r="D6" s="45" t="s">
        <v>44</v>
      </c>
      <c r="E6" s="46" t="s">
        <v>45</v>
      </c>
      <c r="F6" s="46" t="s">
        <v>46</v>
      </c>
      <c r="G6" s="46" t="s">
        <v>47</v>
      </c>
      <c r="H6" s="46" t="s">
        <v>48</v>
      </c>
    </row>
    <row r="7" spans="1:8">
      <c r="A7" s="41"/>
      <c r="B7" s="47"/>
      <c r="C7" s="48" t="s">
        <v>49</v>
      </c>
      <c r="D7" s="49" t="s">
        <v>50</v>
      </c>
      <c r="E7" s="49" t="s">
        <v>51</v>
      </c>
      <c r="F7" s="49" t="s">
        <v>52</v>
      </c>
      <c r="G7" s="49" t="s">
        <v>53</v>
      </c>
      <c r="H7" s="49" t="s">
        <v>54</v>
      </c>
    </row>
    <row r="8" spans="1:8">
      <c r="A8" s="41"/>
      <c r="B8" s="50">
        <v>1</v>
      </c>
      <c r="C8" s="51" t="s">
        <v>55</v>
      </c>
      <c r="D8" s="41" t="s">
        <v>55</v>
      </c>
      <c r="E8" s="52">
        <f>'165020 Dues and Subs'!R3</f>
        <v>41478.370000000003</v>
      </c>
      <c r="F8" s="53" t="s">
        <v>56</v>
      </c>
      <c r="G8" s="54">
        <f>'[1]Act Att-H'!$I$174</f>
        <v>0.93588134221765762</v>
      </c>
      <c r="H8" s="55">
        <f t="shared" ref="H8:H32" si="0">G8*E8</f>
        <v>38818.832588600628</v>
      </c>
    </row>
    <row r="9" spans="1:8">
      <c r="A9" s="41"/>
      <c r="B9" s="50">
        <v>2</v>
      </c>
      <c r="C9" s="51" t="s">
        <v>57</v>
      </c>
      <c r="D9" s="41" t="s">
        <v>58</v>
      </c>
      <c r="E9" s="56">
        <f>'165020 Dues and Subs'!S5</f>
        <v>55543.245000000024</v>
      </c>
      <c r="F9" s="53" t="s">
        <v>56</v>
      </c>
      <c r="G9" s="54">
        <f>'[1]Act Att-H'!$I$174</f>
        <v>0.93588134221765762</v>
      </c>
      <c r="H9" s="55">
        <f t="shared" si="0"/>
        <v>51981.886681724223</v>
      </c>
    </row>
    <row r="10" spans="1:8">
      <c r="A10" s="41"/>
      <c r="B10" s="50">
        <v>3</v>
      </c>
      <c r="C10" s="51" t="s">
        <v>59</v>
      </c>
      <c r="D10" s="41" t="s">
        <v>60</v>
      </c>
      <c r="E10" s="56">
        <f>'165002 Insurance'!R2</f>
        <v>4555.8744230769225</v>
      </c>
      <c r="F10" s="53" t="s">
        <v>61</v>
      </c>
      <c r="G10" s="54">
        <f>'[1]Act Att-H'!$I$191</f>
        <v>8.3698853923777461E-2</v>
      </c>
      <c r="H10" s="55">
        <f t="shared" si="0"/>
        <v>381.32146783218923</v>
      </c>
    </row>
    <row r="11" spans="1:8">
      <c r="A11" s="41"/>
      <c r="B11" s="50">
        <v>4</v>
      </c>
      <c r="C11" s="51" t="s">
        <v>62</v>
      </c>
      <c r="D11" s="41" t="s">
        <v>63</v>
      </c>
      <c r="E11" s="56">
        <f>'165002 Insurance'!R7</f>
        <v>2583.3788461538466</v>
      </c>
      <c r="F11" s="53" t="s">
        <v>61</v>
      </c>
      <c r="G11" s="54">
        <f>'[1]Act Att-H'!$I$191</f>
        <v>8.3698853923777461E-2</v>
      </c>
      <c r="H11" s="55">
        <f t="shared" si="0"/>
        <v>216.22584867400758</v>
      </c>
    </row>
    <row r="12" spans="1:8">
      <c r="A12" s="41"/>
      <c r="B12" s="50">
        <v>5</v>
      </c>
      <c r="C12" s="51" t="s">
        <v>9</v>
      </c>
      <c r="D12" s="41" t="s">
        <v>64</v>
      </c>
      <c r="E12" s="56">
        <f>'165002 Insurance'!R3</f>
        <v>3937.700296153846</v>
      </c>
      <c r="F12" s="53" t="s">
        <v>61</v>
      </c>
      <c r="G12" s="54">
        <f>'[1]Act Att-H'!$I$191</f>
        <v>8.3698853923777461E-2</v>
      </c>
      <c r="H12" s="55">
        <f t="shared" si="0"/>
        <v>329.58100188339603</v>
      </c>
    </row>
    <row r="13" spans="1:8">
      <c r="A13" s="41"/>
      <c r="B13" s="50">
        <v>6</v>
      </c>
      <c r="C13" s="51" t="s">
        <v>31</v>
      </c>
      <c r="D13" s="41" t="s">
        <v>65</v>
      </c>
      <c r="E13" s="56">
        <f>'165002 Insurance'!R4</f>
        <v>2411.177203846154</v>
      </c>
      <c r="F13" s="53" t="s">
        <v>66</v>
      </c>
      <c r="G13" s="54">
        <v>0</v>
      </c>
      <c r="H13" s="55">
        <f t="shared" si="0"/>
        <v>0</v>
      </c>
    </row>
    <row r="14" spans="1:8">
      <c r="A14" s="41"/>
      <c r="B14" s="50">
        <v>7</v>
      </c>
      <c r="C14" s="51" t="s">
        <v>67</v>
      </c>
      <c r="D14" s="41" t="s">
        <v>68</v>
      </c>
      <c r="E14" s="56">
        <f>'165002 Insurance'!R6</f>
        <v>131148.96128205128</v>
      </c>
      <c r="F14" s="53" t="s">
        <v>66</v>
      </c>
      <c r="G14" s="54">
        <v>0</v>
      </c>
      <c r="H14" s="55">
        <f t="shared" si="0"/>
        <v>0</v>
      </c>
    </row>
    <row r="15" spans="1:8">
      <c r="A15" s="41"/>
      <c r="B15" s="50">
        <v>8</v>
      </c>
      <c r="C15" s="51" t="s">
        <v>5</v>
      </c>
      <c r="D15" s="41" t="s">
        <v>69</v>
      </c>
      <c r="E15" s="56">
        <f>'165002 Insurance'!R5</f>
        <v>153951.80538461541</v>
      </c>
      <c r="F15" s="53" t="s">
        <v>61</v>
      </c>
      <c r="G15" s="54">
        <f>'[1]Act Att-H'!$I$191</f>
        <v>8.3698853923777461E-2</v>
      </c>
      <c r="H15" s="55">
        <f t="shared" si="0"/>
        <v>12885.589670188741</v>
      </c>
    </row>
    <row r="16" spans="1:8">
      <c r="A16" s="41"/>
      <c r="B16" s="50">
        <v>9</v>
      </c>
      <c r="C16" s="51" t="s">
        <v>70</v>
      </c>
      <c r="D16" s="41" t="s">
        <v>71</v>
      </c>
      <c r="E16" s="56"/>
      <c r="F16" s="53" t="s">
        <v>61</v>
      </c>
      <c r="G16" s="54">
        <f>'[1]Act Att-H'!$I$191</f>
        <v>8.3698853923777461E-2</v>
      </c>
      <c r="H16" s="55">
        <f t="shared" si="0"/>
        <v>0</v>
      </c>
    </row>
    <row r="17" spans="1:8">
      <c r="A17" s="41"/>
      <c r="B17" s="50">
        <v>10</v>
      </c>
      <c r="C17" s="51" t="s">
        <v>72</v>
      </c>
      <c r="D17" s="41" t="s">
        <v>73</v>
      </c>
      <c r="E17" s="56">
        <f>Coal!B19</f>
        <v>638157.76923076925</v>
      </c>
      <c r="F17" s="53" t="s">
        <v>66</v>
      </c>
      <c r="G17" s="54">
        <v>0</v>
      </c>
      <c r="H17" s="55">
        <f t="shared" si="0"/>
        <v>0</v>
      </c>
    </row>
    <row r="18" spans="1:8">
      <c r="A18" s="41"/>
      <c r="B18" s="50">
        <v>11</v>
      </c>
      <c r="C18" s="57" t="s">
        <v>74</v>
      </c>
      <c r="D18" s="58" t="s">
        <v>75</v>
      </c>
      <c r="E18" s="56">
        <f>'165012 Other'!R6</f>
        <v>15736.5</v>
      </c>
      <c r="F18" s="59" t="s">
        <v>66</v>
      </c>
      <c r="G18" s="54">
        <f t="shared" ref="G18:G32" si="1">IF(F18=0,0, IF(F18="NA", NA, IF(F18="TP",TP, IF(F18="TE",TE,IF(F18="CE",CE,IF(F18="WS",WS,IF(F18="DA",DA, IF(F18="NP",NP))))))))</f>
        <v>0</v>
      </c>
      <c r="H18" s="55">
        <f t="shared" si="0"/>
        <v>0</v>
      </c>
    </row>
    <row r="19" spans="1:8">
      <c r="A19" s="41"/>
      <c r="B19" s="50">
        <v>12</v>
      </c>
      <c r="C19" s="57" t="s">
        <v>74</v>
      </c>
      <c r="D19" s="58" t="s">
        <v>76</v>
      </c>
      <c r="E19" s="56">
        <f>'165012 Other'!R7</f>
        <v>1107.6923076923076</v>
      </c>
      <c r="F19" s="59" t="s">
        <v>66</v>
      </c>
      <c r="G19" s="54">
        <f t="shared" si="1"/>
        <v>0</v>
      </c>
      <c r="H19" s="55">
        <f t="shared" si="0"/>
        <v>0</v>
      </c>
    </row>
    <row r="20" spans="1:8">
      <c r="A20" s="41"/>
      <c r="B20" s="50">
        <v>13</v>
      </c>
      <c r="C20" s="57" t="s">
        <v>74</v>
      </c>
      <c r="D20" s="58" t="s">
        <v>77</v>
      </c>
      <c r="E20" s="56">
        <f>'165012 Other'!R9</f>
        <v>807.69846153846106</v>
      </c>
      <c r="F20" s="59" t="s">
        <v>66</v>
      </c>
      <c r="G20" s="54">
        <f t="shared" si="1"/>
        <v>0</v>
      </c>
      <c r="H20" s="55">
        <f t="shared" si="0"/>
        <v>0</v>
      </c>
    </row>
    <row r="21" spans="1:8">
      <c r="A21" s="41"/>
      <c r="B21" s="50">
        <v>14</v>
      </c>
      <c r="C21" s="57" t="s">
        <v>78</v>
      </c>
      <c r="D21" s="58" t="s">
        <v>79</v>
      </c>
      <c r="E21" s="56">
        <f>'165012 Other'!R2</f>
        <v>35362.266153846154</v>
      </c>
      <c r="F21" s="59" t="s">
        <v>66</v>
      </c>
      <c r="G21" s="54">
        <f t="shared" si="1"/>
        <v>0</v>
      </c>
      <c r="H21" s="55">
        <f t="shared" si="0"/>
        <v>0</v>
      </c>
    </row>
    <row r="22" spans="1:8">
      <c r="A22" s="41"/>
      <c r="B22" s="50">
        <v>15</v>
      </c>
      <c r="C22" s="57"/>
      <c r="D22" s="58"/>
      <c r="E22" s="56"/>
      <c r="F22" s="59"/>
      <c r="G22" s="54">
        <f t="shared" si="1"/>
        <v>0</v>
      </c>
      <c r="H22" s="55">
        <f t="shared" si="0"/>
        <v>0</v>
      </c>
    </row>
    <row r="23" spans="1:8">
      <c r="A23" s="41"/>
      <c r="B23" s="50">
        <v>16</v>
      </c>
      <c r="C23" s="57"/>
      <c r="D23" s="58"/>
      <c r="E23" s="56"/>
      <c r="F23" s="59"/>
      <c r="G23" s="54">
        <f t="shared" si="1"/>
        <v>0</v>
      </c>
      <c r="H23" s="55">
        <f t="shared" si="0"/>
        <v>0</v>
      </c>
    </row>
    <row r="24" spans="1:8">
      <c r="A24" s="41"/>
      <c r="B24" s="50">
        <v>17</v>
      </c>
      <c r="C24" s="57"/>
      <c r="D24" s="58"/>
      <c r="E24" s="56"/>
      <c r="F24" s="59"/>
      <c r="G24" s="54">
        <f t="shared" si="1"/>
        <v>0</v>
      </c>
      <c r="H24" s="55">
        <f t="shared" si="0"/>
        <v>0</v>
      </c>
    </row>
    <row r="25" spans="1:8">
      <c r="A25" s="41"/>
      <c r="B25" s="50">
        <v>18</v>
      </c>
      <c r="C25" s="57"/>
      <c r="D25" s="58"/>
      <c r="E25" s="56"/>
      <c r="F25" s="59"/>
      <c r="G25" s="54">
        <f t="shared" si="1"/>
        <v>0</v>
      </c>
      <c r="H25" s="55">
        <f t="shared" si="0"/>
        <v>0</v>
      </c>
    </row>
    <row r="26" spans="1:8">
      <c r="A26" s="41"/>
      <c r="B26" s="50">
        <v>19</v>
      </c>
      <c r="C26" s="57"/>
      <c r="D26" s="58"/>
      <c r="E26" s="56"/>
      <c r="F26" s="59"/>
      <c r="G26" s="54">
        <f t="shared" si="1"/>
        <v>0</v>
      </c>
      <c r="H26" s="55">
        <f t="shared" si="0"/>
        <v>0</v>
      </c>
    </row>
    <row r="27" spans="1:8">
      <c r="A27" s="41"/>
      <c r="B27" s="50">
        <v>20</v>
      </c>
      <c r="C27" s="57"/>
      <c r="D27" s="58"/>
      <c r="E27" s="56"/>
      <c r="F27" s="59"/>
      <c r="G27" s="54">
        <f t="shared" si="1"/>
        <v>0</v>
      </c>
      <c r="H27" s="55">
        <f t="shared" si="0"/>
        <v>0</v>
      </c>
    </row>
    <row r="28" spans="1:8">
      <c r="A28" s="41"/>
      <c r="B28" s="50">
        <v>21</v>
      </c>
      <c r="C28" s="57"/>
      <c r="D28" s="58"/>
      <c r="E28" s="56"/>
      <c r="F28" s="59"/>
      <c r="G28" s="54">
        <f t="shared" si="1"/>
        <v>0</v>
      </c>
      <c r="H28" s="55">
        <f t="shared" si="0"/>
        <v>0</v>
      </c>
    </row>
    <row r="29" spans="1:8">
      <c r="A29" s="41"/>
      <c r="B29" s="50">
        <v>22</v>
      </c>
      <c r="C29" s="57"/>
      <c r="D29" s="58"/>
      <c r="E29" s="56"/>
      <c r="F29" s="59"/>
      <c r="G29" s="54">
        <f t="shared" si="1"/>
        <v>0</v>
      </c>
      <c r="H29" s="55">
        <f t="shared" si="0"/>
        <v>0</v>
      </c>
    </row>
    <row r="30" spans="1:8">
      <c r="A30" s="41"/>
      <c r="B30" s="50">
        <v>23</v>
      </c>
      <c r="C30" s="57"/>
      <c r="D30" s="58"/>
      <c r="E30" s="56"/>
      <c r="F30" s="59"/>
      <c r="G30" s="54">
        <f t="shared" si="1"/>
        <v>0</v>
      </c>
      <c r="H30" s="55">
        <f t="shared" si="0"/>
        <v>0</v>
      </c>
    </row>
    <row r="31" spans="1:8">
      <c r="A31" s="41"/>
      <c r="B31" s="50">
        <v>24</v>
      </c>
      <c r="C31" s="57"/>
      <c r="D31" s="58"/>
      <c r="E31" s="56"/>
      <c r="F31" s="59"/>
      <c r="G31" s="54">
        <f t="shared" si="1"/>
        <v>0</v>
      </c>
      <c r="H31" s="55">
        <f t="shared" si="0"/>
        <v>0</v>
      </c>
    </row>
    <row r="32" spans="1:8">
      <c r="A32" s="41"/>
      <c r="B32" s="50">
        <v>25</v>
      </c>
      <c r="C32" s="57"/>
      <c r="D32" s="58"/>
      <c r="E32" s="56"/>
      <c r="F32" s="59"/>
      <c r="G32" s="54">
        <f t="shared" si="1"/>
        <v>0</v>
      </c>
      <c r="H32" s="55">
        <f t="shared" si="0"/>
        <v>0</v>
      </c>
    </row>
    <row r="33" spans="1:8">
      <c r="A33" s="41"/>
      <c r="B33" s="50">
        <v>26</v>
      </c>
      <c r="C33" s="60" t="s">
        <v>80</v>
      </c>
      <c r="D33" s="60" t="s">
        <v>81</v>
      </c>
      <c r="E33" s="61">
        <f>SUM(E8:E32)</f>
        <v>1086782.4385897436</v>
      </c>
      <c r="F33" s="62"/>
      <c r="G33" s="63"/>
      <c r="H33" s="64">
        <f>SUM(H8:H32)</f>
        <v>104613.4372589032</v>
      </c>
    </row>
    <row r="34" spans="1:8">
      <c r="A34" s="41"/>
      <c r="B34" s="50">
        <v>27</v>
      </c>
      <c r="C34" s="41" t="s">
        <v>82</v>
      </c>
      <c r="D34" s="41"/>
      <c r="E34" s="65">
        <f>'[1]A4-Rate Base'!I70</f>
        <v>1086782.5384615385</v>
      </c>
      <c r="F34" s="66"/>
      <c r="G34" s="66"/>
      <c r="H34" s="66"/>
    </row>
    <row r="35" spans="1:8">
      <c r="A35" s="41"/>
      <c r="B35" s="50">
        <v>28</v>
      </c>
      <c r="C35" s="41" t="s">
        <v>83</v>
      </c>
      <c r="D35" s="41"/>
      <c r="E35" s="61">
        <f>E34-E33</f>
        <v>9.9871794926002622E-2</v>
      </c>
      <c r="F35" s="66"/>
      <c r="G35" s="66"/>
      <c r="H35" s="66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7100D-ECE1-47D5-AE64-965FF70F4D94}">
  <dimension ref="A4:B19"/>
  <sheetViews>
    <sheetView workbookViewId="0">
      <selection activeCell="C19" sqref="C19"/>
    </sheetView>
  </sheetViews>
  <sheetFormatPr defaultRowHeight="15"/>
  <cols>
    <col min="1" max="1" width="17.28515625" bestFit="1" customWidth="1"/>
    <col min="2" max="2" width="11.5703125" style="37" bestFit="1" customWidth="1"/>
  </cols>
  <sheetData>
    <row r="4" spans="1:2">
      <c r="B4" s="37" t="s">
        <v>37</v>
      </c>
    </row>
    <row r="5" spans="1:2">
      <c r="A5" s="35">
        <v>44196</v>
      </c>
      <c r="B5" s="37">
        <v>764067</v>
      </c>
    </row>
    <row r="6" spans="1:2">
      <c r="A6" s="35">
        <v>409469</v>
      </c>
      <c r="B6" s="37">
        <v>647584</v>
      </c>
    </row>
    <row r="7" spans="1:2">
      <c r="A7" s="35">
        <v>44255</v>
      </c>
      <c r="B7" s="37">
        <v>23707</v>
      </c>
    </row>
    <row r="8" spans="1:2">
      <c r="A8" s="35">
        <v>44286</v>
      </c>
      <c r="B8" s="37">
        <v>699549</v>
      </c>
    </row>
    <row r="9" spans="1:2">
      <c r="A9" s="35">
        <v>44316</v>
      </c>
      <c r="B9" s="37">
        <v>640267</v>
      </c>
    </row>
    <row r="10" spans="1:2">
      <c r="A10" s="35">
        <v>44347</v>
      </c>
      <c r="B10" s="37">
        <v>711212</v>
      </c>
    </row>
    <row r="11" spans="1:2">
      <c r="A11" s="35">
        <v>44377</v>
      </c>
      <c r="B11" s="37">
        <v>734919</v>
      </c>
    </row>
    <row r="12" spans="1:2">
      <c r="A12" s="35">
        <v>44408</v>
      </c>
      <c r="B12" s="37">
        <v>674876</v>
      </c>
    </row>
    <row r="13" spans="1:2">
      <c r="A13" s="35">
        <v>44438</v>
      </c>
      <c r="B13" s="37">
        <v>659174</v>
      </c>
    </row>
    <row r="14" spans="1:2">
      <c r="A14" s="35">
        <v>44469</v>
      </c>
      <c r="B14" s="37">
        <v>676237</v>
      </c>
    </row>
    <row r="15" spans="1:2">
      <c r="A15" s="35">
        <v>44500</v>
      </c>
      <c r="B15" s="37">
        <v>637589</v>
      </c>
    </row>
    <row r="16" spans="1:2">
      <c r="A16" s="35">
        <v>44530</v>
      </c>
      <c r="B16" s="37">
        <v>697969</v>
      </c>
    </row>
    <row r="17" spans="1:2">
      <c r="A17" s="35">
        <v>44561</v>
      </c>
      <c r="B17" s="37">
        <v>728901</v>
      </c>
    </row>
    <row r="19" spans="1:2">
      <c r="A19" t="s">
        <v>36</v>
      </c>
      <c r="B19" s="37">
        <f>SUM(B5:B18)/13</f>
        <v>638157.76923076925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7DDC6-ACE6-4266-8312-135C86AA5D9E}">
  <dimension ref="A1:R8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R9" sqref="R9"/>
    </sheetView>
  </sheetViews>
  <sheetFormatPr defaultRowHeight="15"/>
  <cols>
    <col min="1" max="1" width="12.85546875" bestFit="1" customWidth="1"/>
    <col min="2" max="2" width="6" bestFit="1" customWidth="1"/>
    <col min="3" max="3" width="9" bestFit="1" customWidth="1"/>
    <col min="4" max="4" width="16.42578125" bestFit="1" customWidth="1"/>
    <col min="5" max="16" width="16.42578125" customWidth="1"/>
    <col min="17" max="17" width="11.5703125" style="16" bestFit="1" customWidth="1"/>
    <col min="18" max="18" width="11.5703125" bestFit="1" customWidth="1"/>
  </cols>
  <sheetData>
    <row r="1" spans="1:18">
      <c r="E1" s="35">
        <v>44196</v>
      </c>
      <c r="F1" s="35">
        <v>44227</v>
      </c>
      <c r="G1" s="35">
        <v>44255</v>
      </c>
      <c r="H1" s="35">
        <v>44286</v>
      </c>
      <c r="I1" s="35">
        <v>44316</v>
      </c>
      <c r="J1" s="35">
        <v>44347</v>
      </c>
      <c r="K1" s="35">
        <v>44377</v>
      </c>
      <c r="L1" s="35">
        <v>44408</v>
      </c>
      <c r="M1" s="35">
        <v>44439</v>
      </c>
      <c r="N1" s="35">
        <v>44469</v>
      </c>
      <c r="O1" s="35">
        <v>44500</v>
      </c>
      <c r="P1" s="35">
        <v>44530</v>
      </c>
      <c r="Q1" s="35">
        <v>44561</v>
      </c>
      <c r="R1" s="35" t="s">
        <v>29</v>
      </c>
    </row>
    <row r="2" spans="1:18">
      <c r="A2" s="1" t="s">
        <v>0</v>
      </c>
      <c r="B2" s="2">
        <v>50187</v>
      </c>
      <c r="C2" t="s">
        <v>1</v>
      </c>
      <c r="D2" s="3" t="s">
        <v>2</v>
      </c>
      <c r="E2" s="16">
        <v>4727.4799999999996</v>
      </c>
      <c r="F2" s="16">
        <v>3939.5599999999995</v>
      </c>
      <c r="G2" s="16">
        <v>3151.6399999999994</v>
      </c>
      <c r="H2" s="16">
        <v>2363.7199999999993</v>
      </c>
      <c r="I2" s="16">
        <v>1575.7999999999993</v>
      </c>
      <c r="J2" s="16">
        <v>787.87999999999931</v>
      </c>
      <c r="K2" s="16">
        <v>-0.04</v>
      </c>
      <c r="L2" s="16">
        <v>9205.560833333333</v>
      </c>
      <c r="M2" s="16">
        <v>8368.6916666666657</v>
      </c>
      <c r="N2" s="16">
        <v>7531.8224999999993</v>
      </c>
      <c r="O2" s="16">
        <v>6694.9533333333329</v>
      </c>
      <c r="P2" s="16">
        <v>5858.0841666666665</v>
      </c>
      <c r="Q2" s="16">
        <v>5021.2150000000001</v>
      </c>
      <c r="R2" s="16">
        <f t="shared" ref="R2:R7" si="0">SUM(E2:Q2)/13</f>
        <v>4555.8744230769225</v>
      </c>
    </row>
    <row r="3" spans="1:18">
      <c r="A3" s="3" t="s">
        <v>6</v>
      </c>
      <c r="B3" s="2" t="s">
        <v>7</v>
      </c>
      <c r="C3" s="4" t="s">
        <v>8</v>
      </c>
      <c r="D3" s="3" t="s">
        <v>9</v>
      </c>
      <c r="E3" s="29">
        <v>6135.8399999999983</v>
      </c>
      <c r="F3" s="29">
        <f>8770.84*0.62</f>
        <v>5437.9207999999999</v>
      </c>
      <c r="G3" s="29">
        <f>7674.48*0.62</f>
        <v>4758.1776</v>
      </c>
      <c r="H3" s="29">
        <f>6578.12*0.62</f>
        <v>4078.4344000000001</v>
      </c>
      <c r="I3" s="29">
        <f>5481.76*0.62</f>
        <v>3398.6912000000002</v>
      </c>
      <c r="J3" s="29">
        <f>4385.4*0.62</f>
        <v>2718.9479999999999</v>
      </c>
      <c r="K3" s="29">
        <f>3289.04*0.62</f>
        <v>2039.2048</v>
      </c>
      <c r="L3" s="29">
        <f>2192.68*0.62</f>
        <v>1359.4615999999999</v>
      </c>
      <c r="M3" s="29">
        <f>1096.32*0.62</f>
        <v>679.71839999999997</v>
      </c>
      <c r="N3" s="29">
        <v>0</v>
      </c>
      <c r="O3" s="29">
        <f>12173.1591666667*0.62</f>
        <v>7547.3586833333538</v>
      </c>
      <c r="P3" s="29">
        <f>11066.5083333333*0.62</f>
        <v>6861.2351666666464</v>
      </c>
      <c r="Q3" s="29">
        <f>9959.86*0.62</f>
        <v>6175.1132000000007</v>
      </c>
      <c r="R3" s="16">
        <f t="shared" si="0"/>
        <v>3937.700296153846</v>
      </c>
    </row>
    <row r="4" spans="1:18">
      <c r="A4" s="1" t="s">
        <v>6</v>
      </c>
      <c r="B4" s="2" t="s">
        <v>7</v>
      </c>
      <c r="C4" s="4" t="s">
        <v>30</v>
      </c>
      <c r="D4" s="1" t="s">
        <v>31</v>
      </c>
      <c r="E4" s="16">
        <v>3731.4</v>
      </c>
      <c r="F4" s="29">
        <f>8770.84-F3</f>
        <v>3332.9192000000003</v>
      </c>
      <c r="G4" s="29">
        <f>7674.48-G3</f>
        <v>2916.3023999999996</v>
      </c>
      <c r="H4" s="29">
        <f>6578.12-H3</f>
        <v>2499.6855999999998</v>
      </c>
      <c r="I4" s="29">
        <f>5481.76-I3</f>
        <v>2083.0688</v>
      </c>
      <c r="J4" s="29">
        <f>4385.4-J3</f>
        <v>1666.4519999999998</v>
      </c>
      <c r="K4" s="29">
        <f>3289.04-K3</f>
        <v>1249.8352</v>
      </c>
      <c r="L4" s="29">
        <f>2192.68-L3</f>
        <v>833.21839999999997</v>
      </c>
      <c r="M4" s="29">
        <f>1096.32-M3</f>
        <v>416.60159999999996</v>
      </c>
      <c r="N4" s="16">
        <v>0</v>
      </c>
      <c r="O4" s="29">
        <f>12173.1591666667-O3</f>
        <v>4625.8004833333453</v>
      </c>
      <c r="P4" s="29">
        <f>11066.5083333333-P3</f>
        <v>4205.2731666666541</v>
      </c>
      <c r="Q4" s="29">
        <f>9959.86-Q3</f>
        <v>3784.7467999999999</v>
      </c>
      <c r="R4" s="16">
        <f t="shared" si="0"/>
        <v>2411.177203846154</v>
      </c>
    </row>
    <row r="5" spans="1:18">
      <c r="A5" s="3" t="s">
        <v>3</v>
      </c>
      <c r="B5" s="2">
        <v>24324</v>
      </c>
      <c r="C5" s="4" t="s">
        <v>4</v>
      </c>
      <c r="D5" s="3" t="s">
        <v>5</v>
      </c>
      <c r="E5" s="16">
        <v>225704.96999999997</v>
      </c>
      <c r="F5" s="16">
        <f>371586.666666667*0.54</f>
        <v>200656.80000000019</v>
      </c>
      <c r="G5" s="16">
        <f>325138.333333333*0.54</f>
        <v>175574.69999999984</v>
      </c>
      <c r="H5" s="16">
        <f>278690*0.54</f>
        <v>150492.6</v>
      </c>
      <c r="I5" s="16">
        <f>232241.666666667*0.54</f>
        <v>125410.50000000019</v>
      </c>
      <c r="J5" s="16">
        <f>185793.333333333*0.54</f>
        <v>100328.39999999982</v>
      </c>
      <c r="K5" s="16">
        <f>139345*0.54</f>
        <v>75246.3</v>
      </c>
      <c r="L5" s="16">
        <f>92896.6666666667*0.54</f>
        <v>50164.200000000019</v>
      </c>
      <c r="M5" s="16">
        <f>46448.3333333334*0.54</f>
        <v>25082.100000000039</v>
      </c>
      <c r="N5" s="16">
        <v>0</v>
      </c>
      <c r="O5" s="16">
        <f>592582.833333333*0.54</f>
        <v>319994.72999999986</v>
      </c>
      <c r="P5" s="16">
        <f>538711.666666667*0.54</f>
        <v>290904.30000000016</v>
      </c>
      <c r="Q5" s="16">
        <f>484840.5*0.54</f>
        <v>261813.87000000002</v>
      </c>
      <c r="R5" s="16">
        <f t="shared" si="0"/>
        <v>153951.80538461541</v>
      </c>
    </row>
    <row r="6" spans="1:18">
      <c r="A6" s="3" t="s">
        <v>3</v>
      </c>
      <c r="B6" s="2"/>
      <c r="C6" s="4"/>
      <c r="D6" s="3" t="s">
        <v>34</v>
      </c>
      <c r="E6" s="16">
        <v>192330</v>
      </c>
      <c r="F6" s="16">
        <f>371586.666666667-F5</f>
        <v>170929.86666666679</v>
      </c>
      <c r="G6" s="16">
        <f>325138.333333333-G5</f>
        <v>149563.63333333319</v>
      </c>
      <c r="H6" s="16">
        <f>278690-H5</f>
        <v>128197.4</v>
      </c>
      <c r="I6" s="16">
        <f>232241.666666667-I5</f>
        <v>106831.16666666682</v>
      </c>
      <c r="J6" s="16">
        <f>185793.333333333-J5</f>
        <v>85464.933333333174</v>
      </c>
      <c r="K6" s="16">
        <f>139345-K5</f>
        <v>64098.7</v>
      </c>
      <c r="L6" s="16">
        <f>92896.6666666667-L5</f>
        <v>42732.466666666682</v>
      </c>
      <c r="M6" s="16">
        <f>46448.3333333334-M5</f>
        <v>21366.233333333363</v>
      </c>
      <c r="N6" s="16">
        <v>0</v>
      </c>
      <c r="O6" s="16">
        <f>592582.83-O5</f>
        <v>272588.10000000009</v>
      </c>
      <c r="P6" s="16">
        <f>538711.666666667-P5</f>
        <v>247807.36666666681</v>
      </c>
      <c r="Q6" s="16">
        <f>484840.5-Q5</f>
        <v>223026.62999999998</v>
      </c>
      <c r="R6" s="16">
        <f t="shared" si="0"/>
        <v>131148.96128205128</v>
      </c>
    </row>
    <row r="7" spans="1:18">
      <c r="A7" s="3" t="s">
        <v>0</v>
      </c>
      <c r="B7" s="2"/>
      <c r="C7" s="4"/>
      <c r="D7" s="3" t="s">
        <v>35</v>
      </c>
      <c r="E7" s="38"/>
      <c r="F7" s="38"/>
      <c r="G7" s="38"/>
      <c r="H7" s="38"/>
      <c r="I7" s="38"/>
      <c r="J7" s="38"/>
      <c r="K7" s="38"/>
      <c r="L7" s="38">
        <v>7243.5916666666672</v>
      </c>
      <c r="M7" s="38">
        <v>6585.0833333333339</v>
      </c>
      <c r="N7" s="38">
        <v>5926.5750000000007</v>
      </c>
      <c r="O7" s="38">
        <v>5268.0666666666675</v>
      </c>
      <c r="P7" s="38">
        <v>4609.5583333333343</v>
      </c>
      <c r="Q7" s="38">
        <v>3951.0500000000011</v>
      </c>
      <c r="R7" s="38">
        <f t="shared" si="0"/>
        <v>2583.3788461538466</v>
      </c>
    </row>
    <row r="8" spans="1:18">
      <c r="A8" s="31"/>
      <c r="B8" s="31"/>
      <c r="C8" s="31"/>
      <c r="D8" s="30"/>
      <c r="E8" s="30">
        <f t="shared" ref="E8:Q8" si="1">SUM(E2:E7)</f>
        <v>432629.68999999994</v>
      </c>
      <c r="F8" s="30">
        <f t="shared" si="1"/>
        <v>384297.066666667</v>
      </c>
      <c r="G8" s="30">
        <f t="shared" si="1"/>
        <v>335964.45333333302</v>
      </c>
      <c r="H8" s="30">
        <f t="shared" si="1"/>
        <v>287631.83999999997</v>
      </c>
      <c r="I8" s="30">
        <f t="shared" si="1"/>
        <v>239299.22666666703</v>
      </c>
      <c r="J8" s="30">
        <f t="shared" si="1"/>
        <v>190966.61333333299</v>
      </c>
      <c r="K8" s="30">
        <f t="shared" si="1"/>
        <v>142634</v>
      </c>
      <c r="L8" s="30">
        <f t="shared" si="1"/>
        <v>111538.4991666667</v>
      </c>
      <c r="M8" s="30">
        <f t="shared" si="1"/>
        <v>62498.42833333341</v>
      </c>
      <c r="N8" s="30">
        <f t="shared" si="1"/>
        <v>13458.397499999999</v>
      </c>
      <c r="O8" s="30">
        <f t="shared" si="1"/>
        <v>616719.00916666666</v>
      </c>
      <c r="P8" s="30">
        <f t="shared" si="1"/>
        <v>560245.81750000035</v>
      </c>
      <c r="Q8" s="30">
        <f t="shared" si="1"/>
        <v>503772.62499999994</v>
      </c>
      <c r="R8" s="30">
        <f>SUM(R2:R7)</f>
        <v>298588.8974358975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76369-758B-4D72-90D4-83279463B7A7}">
  <dimension ref="A1:S10"/>
  <sheetViews>
    <sheetView workbookViewId="0">
      <selection activeCell="R11" sqref="R11"/>
    </sheetView>
  </sheetViews>
  <sheetFormatPr defaultRowHeight="15"/>
  <cols>
    <col min="1" max="1" width="5.85546875" bestFit="1" customWidth="1"/>
    <col min="2" max="2" width="6.5703125" bestFit="1" customWidth="1"/>
    <col min="3" max="3" width="17.5703125" bestFit="1" customWidth="1"/>
    <col min="4" max="4" width="35" bestFit="1" customWidth="1"/>
    <col min="5" max="5" width="11.5703125" bestFit="1" customWidth="1"/>
    <col min="6" max="6" width="11.28515625" bestFit="1" customWidth="1"/>
    <col min="7" max="7" width="12.7109375" bestFit="1" customWidth="1"/>
    <col min="8" max="12" width="11.28515625" bestFit="1" customWidth="1"/>
    <col min="13" max="16" width="11.5703125" bestFit="1" customWidth="1"/>
    <col min="17" max="17" width="11.5703125" style="16" bestFit="1" customWidth="1"/>
    <col min="18" max="18" width="10.5703125" bestFit="1" customWidth="1"/>
    <col min="19" max="19" width="10.140625" bestFit="1" customWidth="1"/>
  </cols>
  <sheetData>
    <row r="1" spans="1:19">
      <c r="E1" s="35">
        <v>44196</v>
      </c>
      <c r="F1" s="35">
        <v>44227</v>
      </c>
      <c r="G1" s="35">
        <v>44255</v>
      </c>
      <c r="H1" s="35">
        <v>44286</v>
      </c>
      <c r="I1" s="35">
        <v>44316</v>
      </c>
      <c r="J1" s="35">
        <v>44347</v>
      </c>
      <c r="K1" s="35">
        <v>44377</v>
      </c>
      <c r="L1" s="35">
        <v>44408</v>
      </c>
      <c r="M1" s="35">
        <v>44439</v>
      </c>
      <c r="N1" s="35">
        <v>44469</v>
      </c>
      <c r="O1" s="35">
        <v>44500</v>
      </c>
      <c r="P1" s="35">
        <v>44530</v>
      </c>
      <c r="Q1" s="35">
        <v>44561</v>
      </c>
      <c r="R1" s="35" t="s">
        <v>29</v>
      </c>
    </row>
    <row r="2" spans="1:19" ht="15.75">
      <c r="A2" s="5" t="s">
        <v>10</v>
      </c>
      <c r="B2" s="6">
        <v>50502</v>
      </c>
      <c r="C2" s="10" t="s">
        <v>11</v>
      </c>
      <c r="D2" s="36" t="s">
        <v>12</v>
      </c>
      <c r="E2" s="32">
        <v>0</v>
      </c>
      <c r="F2" s="32">
        <v>91666.67</v>
      </c>
      <c r="G2" s="32">
        <v>83333.34</v>
      </c>
      <c r="H2" s="32">
        <v>75000.009999999995</v>
      </c>
      <c r="I2" s="32">
        <v>66666.679999999993</v>
      </c>
      <c r="J2" s="32">
        <v>35758.679999999993</v>
      </c>
      <c r="K2" s="32">
        <v>30650.679999999993</v>
      </c>
      <c r="L2" s="32">
        <v>25542.679999999993</v>
      </c>
      <c r="M2" s="32">
        <v>20434.679999999993</v>
      </c>
      <c r="N2" s="32">
        <v>15326.679999999993</v>
      </c>
      <c r="O2" s="32">
        <v>10218.679999999993</v>
      </c>
      <c r="P2" s="32">
        <v>5110.679999999993</v>
      </c>
      <c r="Q2" s="32">
        <v>0</v>
      </c>
      <c r="R2" s="16">
        <f>SUM(E2:Q2)/13</f>
        <v>35362.266153846154</v>
      </c>
      <c r="S2" s="34"/>
    </row>
    <row r="3" spans="1:19" ht="15.75">
      <c r="A3" s="7" t="s">
        <v>13</v>
      </c>
      <c r="B3" s="5">
        <v>50502</v>
      </c>
      <c r="C3" s="10" t="s">
        <v>11</v>
      </c>
      <c r="D3" s="36" t="s">
        <v>12</v>
      </c>
      <c r="E3" s="32">
        <v>1.8189894035458565E-11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16">
        <f t="shared" ref="R3:R9" si="0">SUM(E3:Q3)/13</f>
        <v>1.3992226181121974E-12</v>
      </c>
      <c r="S3" s="34"/>
    </row>
    <row r="4" spans="1:19" ht="15.75">
      <c r="A4" s="7" t="s">
        <v>13</v>
      </c>
      <c r="B4" s="5">
        <v>50502</v>
      </c>
      <c r="C4" s="10" t="s">
        <v>14</v>
      </c>
      <c r="D4" s="36" t="s">
        <v>15</v>
      </c>
      <c r="E4" s="32">
        <v>0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6">
        <f t="shared" si="0"/>
        <v>0</v>
      </c>
      <c r="S4" s="34"/>
    </row>
    <row r="5" spans="1:19" ht="15.75">
      <c r="A5" s="9" t="s">
        <v>13</v>
      </c>
      <c r="B5" s="9">
        <v>50502</v>
      </c>
      <c r="C5" s="10" t="s">
        <v>32</v>
      </c>
      <c r="D5" s="11" t="s">
        <v>33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6">
        <f t="shared" si="0"/>
        <v>0</v>
      </c>
      <c r="S5" s="34"/>
    </row>
    <row r="6" spans="1:19" ht="15.75">
      <c r="A6" s="8" t="s">
        <v>13</v>
      </c>
      <c r="B6" s="9">
        <v>50502</v>
      </c>
      <c r="C6" s="10" t="s">
        <v>16</v>
      </c>
      <c r="D6" s="11" t="s">
        <v>38</v>
      </c>
      <c r="E6" s="32">
        <v>20000.000000000004</v>
      </c>
      <c r="F6" s="32"/>
      <c r="G6" s="32">
        <v>20000</v>
      </c>
      <c r="H6" s="32"/>
      <c r="I6" s="32"/>
      <c r="J6" s="32">
        <v>0</v>
      </c>
      <c r="K6" s="32">
        <v>24095.75</v>
      </c>
      <c r="L6" s="32">
        <v>24095.75</v>
      </c>
      <c r="M6" s="32">
        <v>20000</v>
      </c>
      <c r="N6" s="32">
        <v>24095.75</v>
      </c>
      <c r="O6" s="32">
        <v>24095.75</v>
      </c>
      <c r="P6" s="32">
        <v>24095.75</v>
      </c>
      <c r="Q6" s="32">
        <v>24095.75</v>
      </c>
      <c r="R6" s="16">
        <f t="shared" si="0"/>
        <v>15736.5</v>
      </c>
      <c r="S6" s="34"/>
    </row>
    <row r="7" spans="1:19" ht="15.75">
      <c r="A7" s="8" t="s">
        <v>13</v>
      </c>
      <c r="B7" s="9">
        <v>50502</v>
      </c>
      <c r="C7" s="10" t="s">
        <v>16</v>
      </c>
      <c r="D7" s="11" t="s">
        <v>17</v>
      </c>
      <c r="E7" s="32">
        <v>0</v>
      </c>
      <c r="F7" s="32"/>
      <c r="G7" s="32"/>
      <c r="H7" s="32"/>
      <c r="I7" s="32">
        <v>7200</v>
      </c>
      <c r="J7" s="32">
        <v>7200</v>
      </c>
      <c r="K7" s="32">
        <v>0</v>
      </c>
      <c r="L7" s="32"/>
      <c r="M7" s="32"/>
      <c r="N7" s="32"/>
      <c r="O7" s="32"/>
      <c r="P7" s="32"/>
      <c r="Q7" s="32"/>
      <c r="R7" s="16">
        <f t="shared" si="0"/>
        <v>1107.6923076923076</v>
      </c>
      <c r="S7" s="34"/>
    </row>
    <row r="8" spans="1:19" ht="15.75">
      <c r="A8" s="8" t="s">
        <v>13</v>
      </c>
      <c r="B8" s="9">
        <v>50502</v>
      </c>
      <c r="C8" s="10" t="s">
        <v>16</v>
      </c>
      <c r="D8" s="11" t="s">
        <v>18</v>
      </c>
      <c r="E8" s="32">
        <v>0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16">
        <f t="shared" si="0"/>
        <v>0</v>
      </c>
      <c r="S8" s="34"/>
    </row>
    <row r="9" spans="1:19" ht="16.5" thickBot="1">
      <c r="A9" s="12" t="s">
        <v>13</v>
      </c>
      <c r="B9" s="13">
        <v>50502</v>
      </c>
      <c r="C9" s="14" t="s">
        <v>16</v>
      </c>
      <c r="D9" s="15" t="s">
        <v>19</v>
      </c>
      <c r="E9" s="32">
        <v>1468.54</v>
      </c>
      <c r="F9" s="32">
        <v>734.27</v>
      </c>
      <c r="G9" s="32">
        <v>734.27</v>
      </c>
      <c r="H9" s="32">
        <v>756.29999999999973</v>
      </c>
      <c r="I9" s="32">
        <v>756.29999999999973</v>
      </c>
      <c r="J9" s="32">
        <v>756.29999999999973</v>
      </c>
      <c r="K9" s="32">
        <v>756.29999999999973</v>
      </c>
      <c r="L9" s="32">
        <v>756.29999999999973</v>
      </c>
      <c r="M9" s="32">
        <v>756.29999999999973</v>
      </c>
      <c r="N9" s="32">
        <v>756.29999999999973</v>
      </c>
      <c r="O9" s="32">
        <v>756.29999999999973</v>
      </c>
      <c r="P9" s="32">
        <v>756.29999999999973</v>
      </c>
      <c r="Q9" s="32">
        <v>756.29999999999973</v>
      </c>
      <c r="R9" s="16">
        <f t="shared" si="0"/>
        <v>807.69846153846106</v>
      </c>
      <c r="S9" s="34"/>
    </row>
    <row r="10" spans="1:19" ht="15.75">
      <c r="A10" s="8"/>
      <c r="B10" s="9"/>
      <c r="C10" s="10"/>
      <c r="D10" s="11"/>
      <c r="E10" s="33">
        <f t="shared" ref="E10:R10" si="1">SUM(E2:E9)</f>
        <v>21468.540000000023</v>
      </c>
      <c r="F10" s="33">
        <f t="shared" si="1"/>
        <v>92400.94</v>
      </c>
      <c r="G10" s="33">
        <f t="shared" si="1"/>
        <v>104067.61</v>
      </c>
      <c r="H10" s="33">
        <f t="shared" si="1"/>
        <v>75756.31</v>
      </c>
      <c r="I10" s="33">
        <f t="shared" si="1"/>
        <v>74622.98</v>
      </c>
      <c r="J10" s="33">
        <f t="shared" si="1"/>
        <v>43714.979999999996</v>
      </c>
      <c r="K10" s="33">
        <f t="shared" si="1"/>
        <v>55502.729999999996</v>
      </c>
      <c r="L10" s="33">
        <f t="shared" si="1"/>
        <v>50394.729999999996</v>
      </c>
      <c r="M10" s="33">
        <f t="shared" si="1"/>
        <v>41190.979999999996</v>
      </c>
      <c r="N10" s="33">
        <f t="shared" si="1"/>
        <v>40178.729999999996</v>
      </c>
      <c r="O10" s="33">
        <f t="shared" si="1"/>
        <v>35070.729999999996</v>
      </c>
      <c r="P10" s="33">
        <f t="shared" si="1"/>
        <v>29962.729999999992</v>
      </c>
      <c r="Q10" s="30">
        <f t="shared" si="1"/>
        <v>24852.05</v>
      </c>
      <c r="R10" s="16">
        <f t="shared" si="1"/>
        <v>53014.156923076924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7E022-7BC4-450C-8C0C-D7BFEF1DB170}">
  <dimension ref="A1:S7"/>
  <sheetViews>
    <sheetView zoomScaleNormal="100" workbookViewId="0">
      <selection activeCell="S4" sqref="S4"/>
    </sheetView>
  </sheetViews>
  <sheetFormatPr defaultRowHeight="15"/>
  <cols>
    <col min="1" max="1" width="16.140625" bestFit="1" customWidth="1"/>
    <col min="2" max="2" width="6" bestFit="1" customWidth="1"/>
    <col min="3" max="3" width="9" bestFit="1" customWidth="1"/>
    <col min="4" max="4" width="27.42578125" bestFit="1" customWidth="1"/>
    <col min="5" max="5" width="11.5703125" bestFit="1" customWidth="1"/>
    <col min="6" max="9" width="12.28515625" bestFit="1" customWidth="1"/>
    <col min="10" max="16" width="11.28515625" bestFit="1" customWidth="1"/>
    <col min="17" max="17" width="12.28515625" bestFit="1" customWidth="1"/>
    <col min="18" max="18" width="12.140625" bestFit="1" customWidth="1"/>
    <col min="19" max="19" width="10.5703125" bestFit="1" customWidth="1"/>
  </cols>
  <sheetData>
    <row r="1" spans="1:19" ht="15.75" thickBot="1">
      <c r="E1" s="35">
        <v>44196</v>
      </c>
      <c r="F1" s="35">
        <v>44227</v>
      </c>
      <c r="G1" s="35">
        <v>44255</v>
      </c>
      <c r="H1" s="35">
        <v>44286</v>
      </c>
      <c r="I1" s="35">
        <v>44316</v>
      </c>
      <c r="J1" s="35">
        <v>44347</v>
      </c>
      <c r="K1" s="35">
        <v>44377</v>
      </c>
      <c r="L1" s="35">
        <v>44408</v>
      </c>
      <c r="M1" s="35">
        <v>44439</v>
      </c>
      <c r="N1" s="35">
        <v>44469</v>
      </c>
      <c r="O1" s="35">
        <v>44500</v>
      </c>
      <c r="P1" s="35">
        <v>44530</v>
      </c>
      <c r="Q1" s="35">
        <v>44561</v>
      </c>
      <c r="R1" s="35" t="s">
        <v>29</v>
      </c>
    </row>
    <row r="2" spans="1:19">
      <c r="A2" s="17" t="s">
        <v>20</v>
      </c>
      <c r="B2" s="18" t="s">
        <v>21</v>
      </c>
      <c r="C2" s="19" t="s">
        <v>22</v>
      </c>
      <c r="D2" s="17" t="s">
        <v>23</v>
      </c>
      <c r="E2" s="16">
        <v>7.2759576141834259E-12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>
        <f>SUM(E2:Q2)/13</f>
        <v>5.5968904724487895E-13</v>
      </c>
    </row>
    <row r="3" spans="1:19">
      <c r="A3" s="20" t="s">
        <v>20</v>
      </c>
      <c r="B3" s="21" t="s">
        <v>21</v>
      </c>
      <c r="C3" s="22" t="s">
        <v>24</v>
      </c>
      <c r="D3" s="20" t="s">
        <v>23</v>
      </c>
      <c r="E3" s="16">
        <v>82956.740000000005</v>
      </c>
      <c r="F3" s="16">
        <v>76043.678333333344</v>
      </c>
      <c r="G3" s="16">
        <v>69130.616666666683</v>
      </c>
      <c r="H3" s="16">
        <v>62217.555000000015</v>
      </c>
      <c r="I3" s="16">
        <v>55304.493333333347</v>
      </c>
      <c r="J3" s="16">
        <v>48391.431666666678</v>
      </c>
      <c r="K3" s="16">
        <v>41478.37000000001</v>
      </c>
      <c r="L3" s="16">
        <v>34565.308333333342</v>
      </c>
      <c r="M3" s="16">
        <v>27652.246666666673</v>
      </c>
      <c r="N3" s="16">
        <v>20739.185000000005</v>
      </c>
      <c r="O3" s="16">
        <v>13826.123333333337</v>
      </c>
      <c r="P3" s="16">
        <v>6913.0616666666692</v>
      </c>
      <c r="Q3" s="16">
        <v>0</v>
      </c>
      <c r="R3" s="16">
        <f>SUM(E3:Q3)/13</f>
        <v>41478.370000000003</v>
      </c>
    </row>
    <row r="4" spans="1:19">
      <c r="A4" s="23" t="s">
        <v>25</v>
      </c>
      <c r="B4" s="24">
        <v>76400</v>
      </c>
      <c r="C4" s="25" t="s">
        <v>26</v>
      </c>
      <c r="D4" s="23" t="s">
        <v>27</v>
      </c>
      <c r="E4" s="16">
        <v>1.8189894035458565E-11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>
        <f>SUM(E4:Q4)/13</f>
        <v>1.3992226181121974E-12</v>
      </c>
    </row>
    <row r="5" spans="1:19" ht="15.75" thickBot="1">
      <c r="A5" s="26" t="s">
        <v>25</v>
      </c>
      <c r="B5" s="27">
        <v>76400</v>
      </c>
      <c r="C5" s="28" t="s">
        <v>28</v>
      </c>
      <c r="D5" s="26" t="s">
        <v>27</v>
      </c>
      <c r="E5" s="16">
        <v>97548.77</v>
      </c>
      <c r="F5" s="16">
        <v>89419.705833333341</v>
      </c>
      <c r="G5" s="16">
        <v>81290.641666666677</v>
      </c>
      <c r="H5" s="16">
        <v>73161.577500000014</v>
      </c>
      <c r="I5" s="16">
        <v>65032.513333333351</v>
      </c>
      <c r="J5" s="16">
        <v>56903.449166666687</v>
      </c>
      <c r="K5" s="16">
        <v>48774.385000000024</v>
      </c>
      <c r="L5" s="16">
        <v>40645.32083333336</v>
      </c>
      <c r="M5" s="16">
        <v>32516.256666666693</v>
      </c>
      <c r="N5" s="16">
        <v>24387.192500000026</v>
      </c>
      <c r="O5" s="16">
        <v>16258.128333333359</v>
      </c>
      <c r="P5" s="16">
        <v>8129.0641666666925</v>
      </c>
      <c r="Q5" s="16">
        <v>87995.18</v>
      </c>
      <c r="R5" s="16">
        <f>SUM(E5:Q5)/13</f>
        <v>55543.245000000024</v>
      </c>
      <c r="S5" s="34">
        <f>R5+R4</f>
        <v>55543.245000000024</v>
      </c>
    </row>
    <row r="6" spans="1:19">
      <c r="E6" s="30">
        <f>SUM(E2:E5)</f>
        <v>180505.51000000004</v>
      </c>
      <c r="F6" s="30">
        <f t="shared" ref="F6:Q6" si="0">SUM(F2:F5)</f>
        <v>165463.38416666668</v>
      </c>
      <c r="G6" s="30">
        <f t="shared" si="0"/>
        <v>150421.25833333336</v>
      </c>
      <c r="H6" s="30">
        <f t="shared" si="0"/>
        <v>135379.13250000004</v>
      </c>
      <c r="I6" s="30">
        <f t="shared" si="0"/>
        <v>120337.0066666667</v>
      </c>
      <c r="J6" s="30">
        <f t="shared" si="0"/>
        <v>105294.88083333336</v>
      </c>
      <c r="K6" s="30">
        <f t="shared" si="0"/>
        <v>90252.755000000034</v>
      </c>
      <c r="L6" s="30">
        <f t="shared" si="0"/>
        <v>75210.629166666709</v>
      </c>
      <c r="M6" s="30">
        <f t="shared" si="0"/>
        <v>60168.50333333337</v>
      </c>
      <c r="N6" s="30">
        <f t="shared" si="0"/>
        <v>45126.377500000031</v>
      </c>
      <c r="O6" s="30">
        <f t="shared" si="0"/>
        <v>30084.251666666696</v>
      </c>
      <c r="P6" s="30">
        <f t="shared" si="0"/>
        <v>15042.125833333361</v>
      </c>
      <c r="Q6" s="30">
        <f t="shared" si="0"/>
        <v>87995.18</v>
      </c>
      <c r="R6" s="16">
        <f>SUM(E6:Q6)/13</f>
        <v>97021.61500000002</v>
      </c>
    </row>
    <row r="7" spans="1:19">
      <c r="H7" s="34"/>
      <c r="I7" s="34"/>
      <c r="J7" s="34"/>
      <c r="K7" s="34"/>
      <c r="L7" s="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49E6B91F5E54409FB923E4B34219BD" ma:contentTypeVersion="6" ma:contentTypeDescription="Create a new document." ma:contentTypeScope="" ma:versionID="139bd069fa21e19b07c5447f517d1350">
  <xsd:schema xmlns:xsd="http://www.w3.org/2001/XMLSchema" xmlns:xs="http://www.w3.org/2001/XMLSchema" xmlns:p="http://schemas.microsoft.com/office/2006/metadata/properties" xmlns:ns2="cccc5702-8e6f-4795-9fed-868bb4a43c75" xmlns:ns3="2cf0024f-6414-4ff3-8cd1-9e447fe593bc" targetNamespace="http://schemas.microsoft.com/office/2006/metadata/properties" ma:root="true" ma:fieldsID="748ec03aa599f726f50cc02490a25cbd" ns2:_="" ns3:_="">
    <xsd:import namespace="cccc5702-8e6f-4795-9fed-868bb4a43c75"/>
    <xsd:import namespace="2cf0024f-6414-4ff3-8cd1-9e447fe593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c5702-8e6f-4795-9fed-868bb4a43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0024f-6414-4ff3-8cd1-9e447fe593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9FBB06-DB46-4870-AE71-783A2332D55F}"/>
</file>

<file path=customXml/itemProps2.xml><?xml version="1.0" encoding="utf-8"?>
<ds:datastoreItem xmlns:ds="http://schemas.openxmlformats.org/officeDocument/2006/customXml" ds:itemID="{A63578CE-05C1-4871-B0BB-3D1B8FE59FD6}"/>
</file>

<file path=customXml/itemProps3.xml><?xml version="1.0" encoding="utf-8"?>
<ds:datastoreItem xmlns:ds="http://schemas.openxmlformats.org/officeDocument/2006/customXml" ds:itemID="{9BD79406-FCFF-42D8-AF97-E9B7614277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A8-Prepmts</vt:lpstr>
      <vt:lpstr>Coal</vt:lpstr>
      <vt:lpstr>165002 Insurance</vt:lpstr>
      <vt:lpstr>165012 Other</vt:lpstr>
      <vt:lpstr>165020 Dues and Subs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Adelman, DJ</dc:creator>
  <cp:lastModifiedBy>Langworthy, Kristina</cp:lastModifiedBy>
  <dcterms:created xsi:type="dcterms:W3CDTF">2021-05-19T11:42:34Z</dcterms:created>
  <dcterms:modified xsi:type="dcterms:W3CDTF">2023-02-22T23:08:15Z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0x0101000949E6B91F5E54409FB923E4B34219BD</vt:lpwstr>
  </property>
</Properties>
</file>