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True Up\Files to OASIS\"/>
    </mc:Choice>
  </mc:AlternateContent>
  <xr:revisionPtr revIDLastSave="0" documentId="13_ncr:1_{9232563B-623A-4664-AE0B-109CCD3561E5}" xr6:coauthVersionLast="47" xr6:coauthVersionMax="47" xr10:uidLastSave="{00000000-0000-0000-0000-000000000000}"/>
  <bookViews>
    <workbookView xWindow="28680" yWindow="30" windowWidth="29040" windowHeight="15720" tabRatio="674" xr2:uid="{AC4A2CBA-6100-403F-A94B-F6B484ECB352}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'True-Up'!$A$1:$K$238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20" i="3"/>
  <c r="E45" i="41" l="1"/>
  <c r="D111" i="35" l="1"/>
  <c r="Q18" i="37" l="1"/>
  <c r="E176" i="35" l="1"/>
  <c r="J140" i="35"/>
  <c r="Q20" i="37" l="1"/>
  <c r="Q161" i="37" l="1"/>
  <c r="E128" i="37" l="1"/>
  <c r="D17" i="3"/>
  <c r="D11" i="3"/>
  <c r="E167" i="37"/>
  <c r="E171" i="37" s="1"/>
  <c r="E30" i="37"/>
  <c r="E74" i="37"/>
  <c r="E72" i="37"/>
  <c r="E18" i="37" s="1"/>
  <c r="E96" i="35"/>
  <c r="E102" i="35" s="1"/>
  <c r="E78" i="35"/>
  <c r="E86" i="35" s="1"/>
  <c r="E57" i="35" s="1"/>
  <c r="J42" i="24"/>
  <c r="J33" i="24"/>
  <c r="J34" i="24"/>
  <c r="J35" i="24"/>
  <c r="J36" i="24"/>
  <c r="J37" i="24"/>
  <c r="J38" i="24"/>
  <c r="J39" i="24"/>
  <c r="J40" i="24"/>
  <c r="J41" i="24"/>
  <c r="J32" i="24"/>
  <c r="J31" i="24"/>
  <c r="J22" i="24"/>
  <c r="J13" i="24"/>
  <c r="J14" i="24"/>
  <c r="J15" i="24"/>
  <c r="J16" i="24"/>
  <c r="J17" i="24"/>
  <c r="J18" i="24"/>
  <c r="J19" i="24"/>
  <c r="J20" i="24"/>
  <c r="J24" i="24" s="1"/>
  <c r="J21" i="24"/>
  <c r="J12" i="24"/>
  <c r="J11" i="24"/>
  <c r="O4" i="31"/>
  <c r="Q15" i="37"/>
  <c r="Q27" i="37"/>
  <c r="Q37" i="37" s="1"/>
  <c r="F15" i="37"/>
  <c r="J185" i="35"/>
  <c r="Q19" i="37"/>
  <c r="P19" i="37"/>
  <c r="O19" i="37"/>
  <c r="Q17" i="37"/>
  <c r="P17" i="37"/>
  <c r="O17" i="37"/>
  <c r="Q16" i="37"/>
  <c r="P16" i="37"/>
  <c r="O16" i="37"/>
  <c r="P15" i="37"/>
  <c r="O15" i="37"/>
  <c r="Q29" i="37"/>
  <c r="P29" i="37"/>
  <c r="O29" i="37"/>
  <c r="N29" i="37"/>
  <c r="M29" i="37"/>
  <c r="L29" i="37"/>
  <c r="K29" i="37"/>
  <c r="J29" i="37"/>
  <c r="I29" i="37"/>
  <c r="I39" i="37" s="1"/>
  <c r="H29" i="37"/>
  <c r="G29" i="37"/>
  <c r="F29" i="37"/>
  <c r="E29" i="37"/>
  <c r="E27" i="37"/>
  <c r="N19" i="37"/>
  <c r="M19" i="37"/>
  <c r="L19" i="37"/>
  <c r="K19" i="37"/>
  <c r="K39" i="37" s="1"/>
  <c r="J19" i="37"/>
  <c r="I19" i="37"/>
  <c r="H19" i="37"/>
  <c r="H39" i="37" s="1"/>
  <c r="G19" i="37"/>
  <c r="G39" i="37" s="1"/>
  <c r="F19" i="37"/>
  <c r="E19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M15" i="37"/>
  <c r="L15" i="37"/>
  <c r="K15" i="37"/>
  <c r="J15" i="37"/>
  <c r="I15" i="37"/>
  <c r="H15" i="37"/>
  <c r="G1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E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Q26" i="37"/>
  <c r="P27" i="37"/>
  <c r="O27" i="37"/>
  <c r="N27" i="37"/>
  <c r="N37" i="37" s="1"/>
  <c r="G27" i="37"/>
  <c r="F27" i="37"/>
  <c r="C85" i="37"/>
  <c r="C83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H26" i="37"/>
  <c r="H36" i="37" s="1"/>
  <c r="P26" i="37"/>
  <c r="P36" i="37" s="1"/>
  <c r="H27" i="37"/>
  <c r="H37" i="37" s="1"/>
  <c r="E15" i="37"/>
  <c r="L27" i="37"/>
  <c r="L37" i="37" s="1"/>
  <c r="E26" i="37"/>
  <c r="M26" i="37"/>
  <c r="F26" i="37"/>
  <c r="N26" i="37"/>
  <c r="J27" i="37"/>
  <c r="I27" i="37"/>
  <c r="I37" i="37" s="1"/>
  <c r="G26" i="37"/>
  <c r="G36" i="37" s="1"/>
  <c r="O26" i="37"/>
  <c r="K27" i="37"/>
  <c r="K37" i="37" s="1"/>
  <c r="M27" i="37"/>
  <c r="J26" i="37"/>
  <c r="K26" i="37"/>
  <c r="I26" i="37"/>
  <c r="F56" i="37"/>
  <c r="G51" i="37"/>
  <c r="E46" i="35" s="1"/>
  <c r="G58" i="37"/>
  <c r="E54" i="35" s="1"/>
  <c r="J54" i="35" s="1"/>
  <c r="H197" i="35"/>
  <c r="J197" i="35" s="1"/>
  <c r="I24" i="24"/>
  <c r="H24" i="24"/>
  <c r="G24" i="24"/>
  <c r="F24" i="24"/>
  <c r="E24" i="24"/>
  <c r="D24" i="24"/>
  <c r="E41" i="37"/>
  <c r="I44" i="24"/>
  <c r="H44" i="24"/>
  <c r="G44" i="24"/>
  <c r="F44" i="24"/>
  <c r="E44" i="24"/>
  <c r="D44" i="24"/>
  <c r="G64" i="37"/>
  <c r="E60" i="35"/>
  <c r="O3" i="31"/>
  <c r="J2" i="24"/>
  <c r="I206" i="24"/>
  <c r="J206" i="24"/>
  <c r="I128" i="24"/>
  <c r="J128" i="24"/>
  <c r="F14" i="41"/>
  <c r="F13" i="41"/>
  <c r="F12" i="41"/>
  <c r="I2" i="37"/>
  <c r="R2" i="37" s="1"/>
  <c r="H1" i="3"/>
  <c r="J64" i="35"/>
  <c r="K77" i="31"/>
  <c r="N53" i="31" s="1"/>
  <c r="D27" i="3"/>
  <c r="H31" i="35"/>
  <c r="H11" i="3"/>
  <c r="E106" i="35"/>
  <c r="G25" i="35"/>
  <c r="G45" i="35" s="1"/>
  <c r="G100" i="35" s="1"/>
  <c r="G81" i="35"/>
  <c r="G82" i="35" s="1"/>
  <c r="G83" i="35"/>
  <c r="A12" i="3"/>
  <c r="A13" i="3" s="1"/>
  <c r="A14" i="3" s="1"/>
  <c r="A15" i="3" s="1"/>
  <c r="A16" i="3" s="1"/>
  <c r="A17" i="3" s="1"/>
  <c r="A18" i="3" s="1"/>
  <c r="A19" i="3" s="1"/>
  <c r="A20" i="3" s="1"/>
  <c r="G12" i="3"/>
  <c r="H119" i="3"/>
  <c r="H120" i="3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I114" i="24"/>
  <c r="I115" i="24"/>
  <c r="A16" i="37"/>
  <c r="A17" i="37" s="1"/>
  <c r="R21" i="37"/>
  <c r="C25" i="37"/>
  <c r="C35" i="37" s="1"/>
  <c r="C28" i="37"/>
  <c r="C38" i="37" s="1"/>
  <c r="C30" i="37"/>
  <c r="C40" i="37" s="1"/>
  <c r="C31" i="37"/>
  <c r="C41" i="37" s="1"/>
  <c r="R31" i="37"/>
  <c r="E31" i="35" s="1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50" i="35" s="1"/>
  <c r="G62" i="37"/>
  <c r="G63" i="37"/>
  <c r="E59" i="35" s="1"/>
  <c r="E65" i="37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E32" i="31"/>
  <c r="J194" i="35"/>
  <c r="E199" i="35" s="1"/>
  <c r="E200" i="35" s="1"/>
  <c r="F198" i="35" s="1"/>
  <c r="J198" i="35" s="1"/>
  <c r="A16" i="35"/>
  <c r="A17" i="35" s="1"/>
  <c r="C25" i="35"/>
  <c r="C35" i="35" s="1"/>
  <c r="H25" i="35"/>
  <c r="C28" i="35"/>
  <c r="C38" i="35" s="1"/>
  <c r="G28" i="35"/>
  <c r="G29" i="35"/>
  <c r="C30" i="35"/>
  <c r="C40" i="35" s="1"/>
  <c r="G30" i="35"/>
  <c r="C31" i="35"/>
  <c r="C41" i="35" s="1"/>
  <c r="G31" i="35"/>
  <c r="G47" i="35"/>
  <c r="G48" i="35"/>
  <c r="G50" i="35" s="1"/>
  <c r="G51" i="35" s="1"/>
  <c r="I65" i="35"/>
  <c r="J65" i="35"/>
  <c r="G73" i="35"/>
  <c r="G74" i="35"/>
  <c r="G78" i="35"/>
  <c r="G84" i="35"/>
  <c r="D85" i="35"/>
  <c r="C89" i="35"/>
  <c r="C91" i="35"/>
  <c r="G97" i="35"/>
  <c r="D101" i="35"/>
  <c r="G101" i="35"/>
  <c r="I124" i="35"/>
  <c r="J124" i="35"/>
  <c r="H174" i="35"/>
  <c r="H175" i="35"/>
  <c r="H198" i="35"/>
  <c r="J199" i="35"/>
  <c r="I202" i="35"/>
  <c r="J202" i="35"/>
  <c r="D10" i="41"/>
  <c r="B22" i="41"/>
  <c r="B23" i="41"/>
  <c r="B24" i="41"/>
  <c r="A29" i="41"/>
  <c r="A30" i="41"/>
  <c r="A31" i="41" s="1"/>
  <c r="A32" i="41" s="1"/>
  <c r="A33" i="41" s="1"/>
  <c r="A34" i="41" s="1"/>
  <c r="B42" i="41"/>
  <c r="B44" i="41"/>
  <c r="B45" i="41"/>
  <c r="B46" i="41"/>
  <c r="G50" i="37"/>
  <c r="E45" i="35" s="1"/>
  <c r="J80" i="35"/>
  <c r="J123" i="35"/>
  <c r="H85" i="35"/>
  <c r="H91" i="35" s="1"/>
  <c r="J91" i="35" s="1"/>
  <c r="J201" i="35"/>
  <c r="G52" i="37"/>
  <c r="E47" i="35" s="1"/>
  <c r="G53" i="37"/>
  <c r="E48" i="35" s="1"/>
  <c r="G55" i="37"/>
  <c r="E51" i="35" s="1"/>
  <c r="F65" i="37"/>
  <c r="E136" i="35"/>
  <c r="J44" i="24"/>
  <c r="E56" i="37"/>
  <c r="J158" i="35"/>
  <c r="E28" i="37"/>
  <c r="N18" i="37"/>
  <c r="N20" i="37"/>
  <c r="M18" i="37"/>
  <c r="M20" i="37"/>
  <c r="O20" i="37"/>
  <c r="O18" i="37"/>
  <c r="F18" i="37"/>
  <c r="F20" i="37"/>
  <c r="P20" i="37"/>
  <c r="P18" i="37"/>
  <c r="G20" i="37"/>
  <c r="G18" i="37"/>
  <c r="H20" i="37"/>
  <c r="H18" i="37"/>
  <c r="I20" i="37"/>
  <c r="I18" i="37"/>
  <c r="J18" i="37"/>
  <c r="J20" i="37"/>
  <c r="K20" i="37"/>
  <c r="K18" i="37"/>
  <c r="L18" i="37"/>
  <c r="L20" i="37"/>
  <c r="E58" i="35"/>
  <c r="M53" i="31"/>
  <c r="E39" i="37"/>
  <c r="D22" i="3"/>
  <c r="N52" i="31"/>
  <c r="O39" i="37"/>
  <c r="I22" i="37"/>
  <c r="J37" i="37"/>
  <c r="I36" i="37"/>
  <c r="O37" i="37"/>
  <c r="M30" i="37"/>
  <c r="M28" i="37"/>
  <c r="P30" i="37"/>
  <c r="P28" i="37"/>
  <c r="F30" i="37"/>
  <c r="F28" i="37"/>
  <c r="Q30" i="37"/>
  <c r="Q40" i="37" s="1"/>
  <c r="Q28" i="37"/>
  <c r="Q38" i="37" s="1"/>
  <c r="N30" i="37"/>
  <c r="N28" i="37"/>
  <c r="J30" i="37"/>
  <c r="J28" i="37"/>
  <c r="I30" i="37"/>
  <c r="I40" i="37" s="1"/>
  <c r="I28" i="37"/>
  <c r="O30" i="37"/>
  <c r="O28" i="37"/>
  <c r="H28" i="37"/>
  <c r="H30" i="37"/>
  <c r="G28" i="37"/>
  <c r="G30" i="37"/>
  <c r="G40" i="37" s="1"/>
  <c r="K30" i="37"/>
  <c r="K40" i="37" s="1"/>
  <c r="K28" i="37"/>
  <c r="K38" i="37" s="1"/>
  <c r="L39" i="37"/>
  <c r="Q39" i="37"/>
  <c r="F39" i="37"/>
  <c r="L30" i="37"/>
  <c r="L28" i="37"/>
  <c r="F15" i="41" l="1"/>
  <c r="G14" i="41" s="1"/>
  <c r="N36" i="37"/>
  <c r="E147" i="35"/>
  <c r="A18" i="35"/>
  <c r="A19" i="35" s="1"/>
  <c r="J85" i="35"/>
  <c r="G22" i="37"/>
  <c r="P22" i="37"/>
  <c r="H22" i="37"/>
  <c r="M39" i="37"/>
  <c r="R41" i="37"/>
  <c r="G38" i="37"/>
  <c r="H40" i="37"/>
  <c r="O38" i="37"/>
  <c r="P37" i="37"/>
  <c r="L38" i="37"/>
  <c r="O40" i="37"/>
  <c r="P40" i="37"/>
  <c r="E21" i="35"/>
  <c r="J21" i="35" s="1"/>
  <c r="L22" i="37"/>
  <c r="L40" i="37"/>
  <c r="N39" i="37"/>
  <c r="E76" i="37"/>
  <c r="E20" i="37"/>
  <c r="F36" i="37"/>
  <c r="G37" i="37"/>
  <c r="R19" i="37"/>
  <c r="E19" i="35" s="1"/>
  <c r="G65" i="37"/>
  <c r="N22" i="37"/>
  <c r="E36" i="37"/>
  <c r="R15" i="37"/>
  <c r="E15" i="35" s="1"/>
  <c r="M22" i="37"/>
  <c r="K36" i="37"/>
  <c r="J36" i="37"/>
  <c r="Q36" i="37"/>
  <c r="P38" i="37"/>
  <c r="M37" i="37"/>
  <c r="F40" i="37"/>
  <c r="J39" i="37"/>
  <c r="J40" i="37"/>
  <c r="M40" i="37"/>
  <c r="P39" i="37"/>
  <c r="E37" i="37"/>
  <c r="L36" i="37"/>
  <c r="E61" i="35"/>
  <c r="F37" i="37"/>
  <c r="H38" i="37"/>
  <c r="M38" i="37"/>
  <c r="M36" i="37"/>
  <c r="O36" i="37"/>
  <c r="R29" i="37"/>
  <c r="E29" i="35" s="1"/>
  <c r="E39" i="35" s="1"/>
  <c r="O22" i="37"/>
  <c r="N40" i="37"/>
  <c r="G56" i="37"/>
  <c r="E52" i="35"/>
  <c r="N54" i="31"/>
  <c r="J22" i="37"/>
  <c r="J38" i="37"/>
  <c r="F38" i="37"/>
  <c r="R18" i="37"/>
  <c r="F22" i="37"/>
  <c r="A18" i="37"/>
  <c r="A20" i="35"/>
  <c r="J200" i="35"/>
  <c r="E107" i="35" s="1"/>
  <c r="E41" i="35"/>
  <c r="J31" i="35"/>
  <c r="J41" i="35" s="1"/>
  <c r="N38" i="37"/>
  <c r="G22" i="41"/>
  <c r="D28" i="3"/>
  <c r="D30" i="3" s="1"/>
  <c r="R30" i="37"/>
  <c r="E30" i="35" s="1"/>
  <c r="H12" i="3"/>
  <c r="G13" i="3"/>
  <c r="H13" i="3" s="1"/>
  <c r="R28" i="37"/>
  <c r="E28" i="35" s="1"/>
  <c r="B22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R16" i="37"/>
  <c r="K22" i="37"/>
  <c r="R27" i="37"/>
  <c r="E27" i="35" s="1"/>
  <c r="J165" i="35" s="1"/>
  <c r="I38" i="37"/>
  <c r="R26" i="37"/>
  <c r="E26" i="35" s="1"/>
  <c r="J155" i="35" s="1"/>
  <c r="Q22" i="37"/>
  <c r="E38" i="37"/>
  <c r="R17" i="37"/>
  <c r="G15" i="41" l="1"/>
  <c r="G12" i="41"/>
  <c r="H12" i="41" s="1"/>
  <c r="G13" i="41"/>
  <c r="H13" i="41" s="1"/>
  <c r="E23" i="41" s="1"/>
  <c r="F23" i="41" s="1"/>
  <c r="H14" i="41"/>
  <c r="E24" i="41" s="1"/>
  <c r="F24" i="41" s="1"/>
  <c r="R39" i="37"/>
  <c r="E16" i="35"/>
  <c r="R36" i="37"/>
  <c r="A21" i="35"/>
  <c r="G23" i="41"/>
  <c r="H14" i="3"/>
  <c r="A19" i="37"/>
  <c r="J169" i="35"/>
  <c r="J166" i="35"/>
  <c r="R37" i="37"/>
  <c r="E17" i="35"/>
  <c r="E40" i="37"/>
  <c r="R20" i="37"/>
  <c r="E22" i="37"/>
  <c r="E18" i="35"/>
  <c r="R38" i="37"/>
  <c r="J157" i="35"/>
  <c r="J159" i="35" s="1"/>
  <c r="J160" i="35"/>
  <c r="D31" i="3"/>
  <c r="D34" i="3"/>
  <c r="D33" i="3"/>
  <c r="D32" i="3"/>
  <c r="H15" i="41" l="1"/>
  <c r="E22" i="41"/>
  <c r="E25" i="41" s="1"/>
  <c r="E43" i="41" s="1"/>
  <c r="E38" i="35"/>
  <c r="R40" i="37"/>
  <c r="E20" i="35"/>
  <c r="E40" i="35" s="1"/>
  <c r="G24" i="41"/>
  <c r="H24" i="41" s="1"/>
  <c r="H23" i="41"/>
  <c r="J147" i="35"/>
  <c r="E37" i="35"/>
  <c r="D22" i="35"/>
  <c r="A22" i="35"/>
  <c r="A23" i="35" s="1"/>
  <c r="A24" i="35" s="1"/>
  <c r="A25" i="35" s="1"/>
  <c r="R22" i="37"/>
  <c r="J162" i="35"/>
  <c r="H26" i="35" s="1"/>
  <c r="J26" i="35" s="1"/>
  <c r="A20" i="37"/>
  <c r="E89" i="35"/>
  <c r="J136" i="35"/>
  <c r="E36" i="35"/>
  <c r="E22" i="35" l="1"/>
  <c r="J148" i="35"/>
  <c r="J152" i="35"/>
  <c r="E181" i="35"/>
  <c r="J142" i="35"/>
  <c r="J139" i="35"/>
  <c r="J141" i="35" s="1"/>
  <c r="E180" i="35"/>
  <c r="A21" i="37"/>
  <c r="E90" i="35"/>
  <c r="E92" i="35" s="1"/>
  <c r="E116" i="35" s="1"/>
  <c r="D35" i="35"/>
  <c r="A26" i="35"/>
  <c r="E182" i="35" l="1"/>
  <c r="F180" i="35" s="1"/>
  <c r="D22" i="37"/>
  <c r="A22" i="37"/>
  <c r="A23" i="37" s="1"/>
  <c r="A24" i="37" s="1"/>
  <c r="A25" i="37" s="1"/>
  <c r="J144" i="35"/>
  <c r="F173" i="35" s="1"/>
  <c r="A27" i="35"/>
  <c r="D36" i="35"/>
  <c r="E155" i="35"/>
  <c r="F181" i="35" l="1"/>
  <c r="F182" i="35" s="1"/>
  <c r="E165" i="35"/>
  <c r="A28" i="35"/>
  <c r="D37" i="35"/>
  <c r="H59" i="35"/>
  <c r="J59" i="35" s="1"/>
  <c r="H173" i="35"/>
  <c r="H176" i="35" s="1"/>
  <c r="J176" i="35" s="1"/>
  <c r="H77" i="35"/>
  <c r="G180" i="35"/>
  <c r="H180" i="35" s="1"/>
  <c r="J182" i="35" s="1"/>
  <c r="H89" i="35"/>
  <c r="J89" i="35" s="1"/>
  <c r="H16" i="35"/>
  <c r="J16" i="35" s="1"/>
  <c r="D35" i="37"/>
  <c r="A26" i="37"/>
  <c r="H58" i="35" l="1"/>
  <c r="J58" i="35" s="1"/>
  <c r="H20" i="35"/>
  <c r="J77" i="35"/>
  <c r="H84" i="35"/>
  <c r="J84" i="35" s="1"/>
  <c r="H78" i="35"/>
  <c r="J78" i="35" s="1"/>
  <c r="J36" i="35"/>
  <c r="H96" i="35"/>
  <c r="H18" i="35"/>
  <c r="A29" i="35"/>
  <c r="D38" i="35"/>
  <c r="A27" i="37"/>
  <c r="D36" i="37"/>
  <c r="A30" i="35" l="1"/>
  <c r="D39" i="35"/>
  <c r="H19" i="35"/>
  <c r="J19" i="35" s="1"/>
  <c r="J18" i="35"/>
  <c r="H28" i="35"/>
  <c r="H97" i="35"/>
  <c r="J97" i="35" s="1"/>
  <c r="J96" i="35"/>
  <c r="H30" i="35"/>
  <c r="J30" i="35" s="1"/>
  <c r="J20" i="35"/>
  <c r="A28" i="37"/>
  <c r="D37" i="37"/>
  <c r="J40" i="35" l="1"/>
  <c r="J22" i="35"/>
  <c r="H22" i="35" s="1"/>
  <c r="A31" i="35"/>
  <c r="D40" i="35"/>
  <c r="A29" i="37"/>
  <c r="D38" i="37"/>
  <c r="H29" i="35"/>
  <c r="J29" i="35" s="1"/>
  <c r="J39" i="35" s="1"/>
  <c r="J28" i="35"/>
  <c r="H79" i="35"/>
  <c r="J32" i="35" l="1"/>
  <c r="H83" i="35"/>
  <c r="J83" i="35" s="1"/>
  <c r="H81" i="35"/>
  <c r="H90" i="35"/>
  <c r="J90" i="35" s="1"/>
  <c r="J92" i="35" s="1"/>
  <c r="J79" i="35"/>
  <c r="H99" i="35"/>
  <c r="H60" i="35"/>
  <c r="J60" i="35" s="1"/>
  <c r="J38" i="35"/>
  <c r="J42" i="35" s="1"/>
  <c r="A30" i="37"/>
  <c r="D39" i="37"/>
  <c r="A32" i="35"/>
  <c r="A33" i="35" s="1"/>
  <c r="A34" i="35" s="1"/>
  <c r="A35" i="35" s="1"/>
  <c r="D41" i="35"/>
  <c r="D32" i="35"/>
  <c r="A31" i="37" l="1"/>
  <c r="D40" i="37"/>
  <c r="A36" i="35"/>
  <c r="A37" i="35" s="1"/>
  <c r="A38" i="35" s="1"/>
  <c r="A39" i="35" s="1"/>
  <c r="A40" i="35" s="1"/>
  <c r="A41" i="35" s="1"/>
  <c r="A42" i="35" s="1"/>
  <c r="H101" i="35"/>
  <c r="J101" i="35" s="1"/>
  <c r="J99" i="35"/>
  <c r="H82" i="35"/>
  <c r="J82" i="35" s="1"/>
  <c r="J81" i="35"/>
  <c r="J86" i="35" s="1"/>
  <c r="J57" i="35" s="1"/>
  <c r="J61" i="35" s="1"/>
  <c r="J102" i="35" l="1"/>
  <c r="A43" i="35"/>
  <c r="A44" i="35" s="1"/>
  <c r="A45" i="35" s="1"/>
  <c r="D42" i="35"/>
  <c r="A32" i="37"/>
  <c r="A33" i="37" s="1"/>
  <c r="A34" i="37" s="1"/>
  <c r="A35" i="37" s="1"/>
  <c r="D41" i="37"/>
  <c r="D32" i="37"/>
  <c r="A36" i="37" l="1"/>
  <c r="A37" i="37" s="1"/>
  <c r="A38" i="37" s="1"/>
  <c r="A39" i="37" s="1"/>
  <c r="A40" i="37" s="1"/>
  <c r="A41" i="37" s="1"/>
  <c r="A42" i="37" s="1"/>
  <c r="A48" i="37" s="1"/>
  <c r="A49" i="37" s="1"/>
  <c r="A50" i="37" s="1"/>
  <c r="A46" i="35"/>
  <c r="A47" i="35" s="1"/>
  <c r="A48" i="35" s="1"/>
  <c r="A50" i="35" s="1"/>
  <c r="A51" i="35" s="1"/>
  <c r="A52" i="35" s="1"/>
  <c r="D52" i="35" l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53" i="35"/>
  <c r="A54" i="35" s="1"/>
  <c r="A55" i="35" s="1"/>
  <c r="A56" i="35" s="1"/>
  <c r="A57" i="35" s="1"/>
  <c r="D42" i="37"/>
  <c r="A62" i="37" l="1"/>
  <c r="A63" i="37" s="1"/>
  <c r="A64" i="37" s="1"/>
  <c r="A65" i="37" s="1"/>
  <c r="D56" i="37"/>
  <c r="A58" i="35"/>
  <c r="A59" i="35" s="1"/>
  <c r="A60" i="35" s="1"/>
  <c r="A61" i="35" s="1"/>
  <c r="D61" i="35" l="1"/>
  <c r="A62" i="35"/>
  <c r="A63" i="35" s="1"/>
  <c r="D63" i="35"/>
  <c r="D65" i="37"/>
  <c r="A77" i="35" l="1"/>
  <c r="A78" i="35" l="1"/>
  <c r="A79" i="35" s="1"/>
  <c r="A80" i="35" s="1"/>
  <c r="A81" i="35" s="1"/>
  <c r="A82" i="35" s="1"/>
  <c r="A83" i="35" s="1"/>
  <c r="A84" i="35" s="1"/>
  <c r="A85" i="35" s="1"/>
  <c r="A86" i="35" s="1"/>
  <c r="C86" i="35" l="1"/>
  <c r="D57" i="35"/>
  <c r="A87" i="35"/>
  <c r="A88" i="35" s="1"/>
  <c r="A89" i="35" s="1"/>
  <c r="A90" i="35" l="1"/>
  <c r="A91" i="35" s="1"/>
  <c r="A92" i="35" s="1"/>
  <c r="C92" i="35"/>
  <c r="A93" i="35" l="1"/>
  <c r="A94" i="35" s="1"/>
  <c r="A95" i="35" s="1"/>
  <c r="A96" i="35" s="1"/>
  <c r="A97" i="35" l="1"/>
  <c r="A98" i="35" s="1"/>
  <c r="A99" i="35" s="1"/>
  <c r="A100" i="35" s="1"/>
  <c r="A101" i="35" s="1"/>
  <c r="A102" i="35" s="1"/>
  <c r="C102" i="35"/>
  <c r="A103" i="35" l="1"/>
  <c r="A104" i="35" s="1"/>
  <c r="A105" i="35" s="1"/>
  <c r="A106" i="35" s="1"/>
  <c r="A107" i="35" s="1"/>
  <c r="A108" i="35" l="1"/>
  <c r="A109" i="35" s="1"/>
  <c r="A110" i="35" s="1"/>
  <c r="A111" i="35" s="1"/>
  <c r="A112" i="35" l="1"/>
  <c r="A113" i="35" s="1"/>
  <c r="A114" i="35" s="1"/>
  <c r="C116" i="35" l="1"/>
  <c r="A115" i="35"/>
  <c r="A116" i="35" s="1"/>
  <c r="A117" i="35" l="1"/>
  <c r="A118" i="35" s="1"/>
  <c r="A119" i="35" s="1"/>
  <c r="A120" i="35" s="1"/>
  <c r="C120" i="35"/>
  <c r="D52" i="31" l="1"/>
  <c r="A136" i="35"/>
  <c r="A137" i="35" l="1"/>
  <c r="A138" i="35" s="1"/>
  <c r="A139" i="35" s="1"/>
  <c r="A140" i="35" l="1"/>
  <c r="A141" i="35" s="1"/>
  <c r="C139" i="35"/>
  <c r="A142" i="35" l="1"/>
  <c r="A143" i="35" s="1"/>
  <c r="A144" i="35" s="1"/>
  <c r="A145" i="35" s="1"/>
  <c r="A146" i="35" s="1"/>
  <c r="A147" i="35" s="1"/>
  <c r="C141" i="35"/>
  <c r="A148" i="35" l="1"/>
  <c r="A149" i="35" s="1"/>
  <c r="A150" i="35" s="1"/>
  <c r="C152" i="35"/>
  <c r="C144" i="35"/>
  <c r="A151" i="35" l="1"/>
  <c r="A152" i="35" s="1"/>
  <c r="A153" i="35" s="1"/>
  <c r="A154" i="35" s="1"/>
  <c r="A155" i="35" s="1"/>
  <c r="C140" i="35"/>
  <c r="C142" i="35"/>
  <c r="C150" i="35"/>
  <c r="A156" i="35" l="1"/>
  <c r="A157" i="35" s="1"/>
  <c r="A158" i="35" l="1"/>
  <c r="C159" i="35"/>
  <c r="C157" i="35"/>
  <c r="A159" i="35" l="1"/>
  <c r="C160" i="35"/>
  <c r="A160" i="35" l="1"/>
  <c r="A161" i="35" s="1"/>
  <c r="A162" i="35" s="1"/>
  <c r="A163" i="35" s="1"/>
  <c r="A164" i="35" s="1"/>
  <c r="A165" i="35" s="1"/>
  <c r="C162" i="35"/>
  <c r="A166" i="35" l="1"/>
  <c r="A167" i="35" s="1"/>
  <c r="C158" i="35" l="1"/>
  <c r="C169" i="35"/>
  <c r="A168" i="35"/>
  <c r="A169" i="35" s="1"/>
  <c r="A170" i="35" s="1"/>
  <c r="A171" i="35" s="1"/>
  <c r="A172" i="35" s="1"/>
  <c r="A173" i="35" s="1"/>
  <c r="A174" i="35" s="1"/>
  <c r="C167" i="35"/>
  <c r="A175" i="35" l="1"/>
  <c r="A176" i="35" s="1"/>
  <c r="A177" i="35" s="1"/>
  <c r="A178" i="35" s="1"/>
  <c r="A179" i="35" s="1"/>
  <c r="A180" i="35" s="1"/>
  <c r="A181" i="35" l="1"/>
  <c r="A182" i="35" s="1"/>
  <c r="A183" i="35" s="1"/>
  <c r="A184" i="35" s="1"/>
  <c r="A185" i="35" s="1"/>
  <c r="A186" i="35" s="1"/>
  <c r="A187" i="35" s="1"/>
  <c r="A188" i="35" s="1"/>
  <c r="A189" i="35" s="1"/>
  <c r="A190" i="35" s="1"/>
  <c r="C176" i="35"/>
  <c r="A191" i="35" l="1"/>
  <c r="A192" i="35" s="1"/>
  <c r="A193" i="35" s="1"/>
  <c r="A194" i="35" s="1"/>
  <c r="E194" i="35"/>
  <c r="C182" i="35"/>
  <c r="D199" i="35" l="1"/>
  <c r="A195" i="35"/>
  <c r="A196" i="35" s="1"/>
  <c r="A197" i="35" s="1"/>
  <c r="A198" i="35" l="1"/>
  <c r="A199" i="35" s="1"/>
  <c r="A200" i="35" s="1"/>
  <c r="C114" i="35" s="1"/>
  <c r="C108" i="35" l="1"/>
  <c r="C200" i="35"/>
  <c r="I87" i="37" l="1"/>
  <c r="I25" i="37"/>
  <c r="L87" i="37"/>
  <c r="L25" i="37"/>
  <c r="E25" i="37"/>
  <c r="E87" i="37"/>
  <c r="H87" i="37"/>
  <c r="H25" i="37"/>
  <c r="Q87" i="37"/>
  <c r="Q25" i="37"/>
  <c r="K87" i="37"/>
  <c r="K25" i="37"/>
  <c r="F87" i="37"/>
  <c r="F25" i="37"/>
  <c r="J87" i="37"/>
  <c r="J25" i="37"/>
  <c r="G87" i="37"/>
  <c r="G25" i="37"/>
  <c r="M87" i="37" l="1"/>
  <c r="M25" i="37"/>
  <c r="G35" i="37"/>
  <c r="G42" i="37" s="1"/>
  <c r="G32" i="37"/>
  <c r="H35" i="37"/>
  <c r="H42" i="37" s="1"/>
  <c r="H32" i="37"/>
  <c r="H149" i="37"/>
  <c r="G149" i="37"/>
  <c r="E149" i="37"/>
  <c r="E150" i="37" s="1"/>
  <c r="P149" i="37"/>
  <c r="J149" i="37"/>
  <c r="L149" i="37"/>
  <c r="Q149" i="37"/>
  <c r="F149" i="37"/>
  <c r="N149" i="37"/>
  <c r="K149" i="37"/>
  <c r="M149" i="37"/>
  <c r="I149" i="37"/>
  <c r="O149" i="37"/>
  <c r="E35" i="37"/>
  <c r="E42" i="37" s="1"/>
  <c r="E32" i="37"/>
  <c r="J32" i="37"/>
  <c r="J35" i="37"/>
  <c r="J42" i="37" s="1"/>
  <c r="F35" i="37"/>
  <c r="F42" i="37" s="1"/>
  <c r="F32" i="37"/>
  <c r="L35" i="37"/>
  <c r="L42" i="37" s="1"/>
  <c r="L32" i="37"/>
  <c r="N87" i="37"/>
  <c r="N25" i="37"/>
  <c r="Q35" i="37"/>
  <c r="Q42" i="37" s="1"/>
  <c r="Q32" i="37"/>
  <c r="I35" i="37"/>
  <c r="I42" i="37" s="1"/>
  <c r="I32" i="37"/>
  <c r="P87" i="37"/>
  <c r="P25" i="37"/>
  <c r="R25" i="37" s="1"/>
  <c r="K35" i="37"/>
  <c r="K42" i="37" s="1"/>
  <c r="K32" i="37"/>
  <c r="O87" i="37"/>
  <c r="O25" i="37"/>
  <c r="E25" i="35" l="1"/>
  <c r="R35" i="37"/>
  <c r="R42" i="37" s="1"/>
  <c r="R32" i="37"/>
  <c r="P35" i="37"/>
  <c r="P42" i="37" s="1"/>
  <c r="P32" i="37"/>
  <c r="N35" i="37"/>
  <c r="N42" i="37" s="1"/>
  <c r="N32" i="37"/>
  <c r="M35" i="37"/>
  <c r="M42" i="37" s="1"/>
  <c r="M32" i="37"/>
  <c r="O35" i="37"/>
  <c r="O42" i="37" s="1"/>
  <c r="O32" i="37"/>
  <c r="E32" i="35" l="1"/>
  <c r="E42" i="35" s="1"/>
  <c r="H42" i="35" s="1"/>
  <c r="E35" i="35"/>
  <c r="H46" i="35" l="1"/>
  <c r="J46" i="35" s="1"/>
  <c r="H47" i="35"/>
  <c r="H48" i="35" l="1"/>
  <c r="J48" i="35" s="1"/>
  <c r="J47" i="35"/>
  <c r="H50" i="35"/>
  <c r="J50" i="35" l="1"/>
  <c r="H51" i="35"/>
  <c r="J51" i="35" s="1"/>
  <c r="J52" i="35" l="1"/>
  <c r="J63" i="35" s="1"/>
  <c r="J113" i="35" s="1"/>
  <c r="J111" i="35" s="1"/>
  <c r="J116" i="35" l="1"/>
  <c r="J120" i="35" l="1"/>
  <c r="M52" i="31" s="1"/>
  <c r="M54" i="31" s="1"/>
  <c r="D22" i="41"/>
  <c r="F22" i="41" l="1"/>
  <c r="D25" i="41"/>
  <c r="E42" i="41" s="1"/>
  <c r="H22" i="41" l="1"/>
  <c r="H25" i="41" s="1"/>
  <c r="F28" i="41" s="1"/>
  <c r="F25" i="41"/>
  <c r="E44" i="41" s="1"/>
  <c r="E46" i="41" s="1"/>
  <c r="F30" i="41" l="1"/>
  <c r="F29" i="41"/>
  <c r="F32" i="41" l="1"/>
  <c r="F34" i="41" s="1"/>
  <c r="F31" i="41"/>
  <c r="F33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Hoffman, Cody</author>
  </authors>
  <commentList>
    <comment ref="D5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<sst xmlns="http://schemas.openxmlformats.org/spreadsheetml/2006/main" count="851" uniqueCount="480">
  <si>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</si>
  <si>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</si>
  <si>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</si>
  <si>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</si>
  <si>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</si>
  <si>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</si>
  <si>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</si>
  <si>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</si>
  <si>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</si>
  <si>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</si>
  <si>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</si>
  <si>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</si>
  <si>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</si>
  <si>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</si>
  <si>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</si>
  <si>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</si>
  <si>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</si>
  <si>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</si>
  <si>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</si>
  <si>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</si>
  <si>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</si>
  <si>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</si>
  <si>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</si>
  <si>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</si>
  <si>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</si>
  <si>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</si>
  <si>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</si>
  <si>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</si>
  <si>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</si>
  <si>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</si>
  <si>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</si>
  <si>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</si>
  <si>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</si>
  <si>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</si>
  <si>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</si>
  <si>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</si>
  <si>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</si>
  <si>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</si>
  <si>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</si>
  <si>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</si>
  <si>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</si>
  <si>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</si>
  <si>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</si>
  <si>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</si>
  <si>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</si>
  <si>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</si>
  <si>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</si>
  <si>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</si>
  <si>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</si>
  <si>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</si>
  <si>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</si>
  <si>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</si>
  <si>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</si>
  <si>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</si>
  <si>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</si>
  <si>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</si>
  <si>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</si>
  <si>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</si>
  <si>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</si>
  <si>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</si>
  <si>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</si>
  <si>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</si>
  <si>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</si>
  <si>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</si>
  <si>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</si>
  <si>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</si>
  <si>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</si>
  <si>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</si>
  <si>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</si>
  <si>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</si>
  <si>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</si>
  <si>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</si>
  <si>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</si>
  <si>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</si>
  <si>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</si>
  <si>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</si>
  <si>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</si>
  <si>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</si>
  <si>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</si>
  <si>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</si>
  <si>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</si>
  <si>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</si>
  <si>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</si>
  <si>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</si>
  <si>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</si>
  <si>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</si>
  <si>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</si>
  <si>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</si>
  <si>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</si>
  <si>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</si>
  <si>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</si>
  <si>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</si>
  <si>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</si>
  <si>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</si>
  <si>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</si>
  <si>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</si>
  <si>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</si>
  <si>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</si>
  <si>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</si>
  <si>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</si>
  <si>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</si>
  <si>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</si>
  <si>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</si>
  <si>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</si>
  <si>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</si>
  <si>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</si>
  <si>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</si>
  <si>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</si>
  <si>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</si>
  <si>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</si>
  <si>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</si>
  <si>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</si>
  <si>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</si>
  <si>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</si>
  <si>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</si>
  <si>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</si>
  <si>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</si>
  <si>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</si>
  <si>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</si>
  <si>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</si>
  <si>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</si>
  <si>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</si>
  <si>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</si>
  <si>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</si>
  <si>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</si>
  <si>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</si>
  <si>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</si>
  <si>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</si>
  <si>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</si>
  <si>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</si>
  <si>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</si>
  <si>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</si>
  <si>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</si>
  <si>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</si>
  <si>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</si>
  <si>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</si>
  <si>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</si>
  <si>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</si>
  <si>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</si>
  <si>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</si>
  <si>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</si>
  <si>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</si>
  <si>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</si>
  <si>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</si>
  <si>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</si>
  <si>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</si>
  <si>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</si>
  <si>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</si>
  <si>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</si>
  <si>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</si>
  <si>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</si>
  <si>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</si>
  <si>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</si>
  <si>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</si>
  <si>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</si>
  <si>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</si>
  <si>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</si>
  <si>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</si>
  <si>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</si>
  <si>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</si>
  <si>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</si>
  <si>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</si>
  <si>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</si>
  <si>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</si>
  <si>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</si>
  <si>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</si>
  <si>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</si>
  <si>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</si>
  <si>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</si>
  <si>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</si>
  <si>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</si>
  <si>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</si>
  <si>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</si>
  <si>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</si>
  <si>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</si>
  <si>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</si>
  <si>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</si>
  <si>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</si>
  <si>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</si>
  <si>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</si>
  <si>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</si>
  <si>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</si>
  <si>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</si>
  <si>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</si>
  <si>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</si>
  <si>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</si>
  <si>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</si>
  <si>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</si>
  <si>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</si>
  <si>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</si>
  <si>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</si>
  <si>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</si>
  <si>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</si>
  <si>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</si>
  <si>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</si>
  <si>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</si>
  <si>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</si>
  <si>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</si>
  <si>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</si>
  <si>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</si>
  <si>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</si>
  <si>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</si>
  <si>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</si>
  <si>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</si>
  <si>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</si>
  <si>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</si>
  <si>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</si>
  <si>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</si>
  <si>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</si>
  <si>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</si>
  <si>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</si>
  <si>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</si>
  <si>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</si>
  <si>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</si>
  <si>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</si>
  <si>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</si>
  <si>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</si>
  <si>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</si>
  <si>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</si>
  <si>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</si>
  <si>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</si>
  <si>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</si>
  <si>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</si>
  <si>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</si>
  <si>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</si>
  <si>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</si>
  <si>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</si>
  <si>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</si>
  <si>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</si>
  <si>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</si>
  <si>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</si>
  <si>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</si>
  <si>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</si>
  <si>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</si>
  <si>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</si>
  <si>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</si>
  <si>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</si>
  <si>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</si>
  <si>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</si>
  <si>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</si>
  <si>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</si>
  <si>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</si>
  <si>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</si>
  <si>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</si>
  <si>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</si>
  <si>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</si>
  <si>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</si>
  <si>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</si>
  <si>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</si>
  <si>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</si>
  <si>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</si>
  <si>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</si>
  <si>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</si>
  <si>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</si>
  <si>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</si>
  <si>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</si>
  <si>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</si>
  <si>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</si>
  <si>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</si>
  <si>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</si>
  <si>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</si>
  <si>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</si>
  <si>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</si>
  <si>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</si>
  <si>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</si>
  <si>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</si>
  <si>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</si>
  <si>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</si>
  <si>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</si>
  <si>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</si>
  <si>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</si>
  <si>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</si>
  <si>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</si>
  <si>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</si>
  <si>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</si>
  <si>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</si>
  <si>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</si>
  <si>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</si>
  <si>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</si>
  <si>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</si>
  <si>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</si>
  <si>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</si>
  <si>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</si>
  <si>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</si>
  <si>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</si>
  <si>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</si>
  <si>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</si>
  <si>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</si>
  <si>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</si>
  <si>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</si>
  <si>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</si>
  <si>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</si>
  <si>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</si>
  <si>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</si>
  <si>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</si>
  <si>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</si>
  <si>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</si>
  <si>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</si>
  <si>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</si>
  <si>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</si>
  <si>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</si>
  <si>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</si>
  <si>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</si>
  <si>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</si>
  <si>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</si>
  <si>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</si>
  <si>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</si>
  <si>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</si>
  <si>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</si>
  <si>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</si>
  <si>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</si>
  <si>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</si>
  <si>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</si>
  <si>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</si>
  <si>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</si>
  <si>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</si>
  <si>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</si>
  <si>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</si>
  <si>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</si>
  <si>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</si>
  <si>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</si>
  <si>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</si>
  <si>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</si>
  <si>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</si>
  <si>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</si>
  <si>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</si>
  <si>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</si>
  <si>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</si>
  <si>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</si>
  <si>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</si>
  <si>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</si>
  <si>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</si>
  <si>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</si>
  <si>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</si>
  <si>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</si>
  <si>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</si>
  <si>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</si>
  <si>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</si>
  <si>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</si>
  <si>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</si>
  <si>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</si>
  <si>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</si>
  <si>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</si>
  <si>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</si>
  <si>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</si>
  <si>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</si>
  <si>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</si>
  <si>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</si>
  <si>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</si>
  <si>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</si>
  <si>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</si>
  <si>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</si>
  <si>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</si>
  <si>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</si>
  <si>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</si>
  <si>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</si>
  <si>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</si>
  <si>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</si>
  <si>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</si>
  <si>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</si>
  <si>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</si>
  <si>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</si>
  <si>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</si>
  <si>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</si>
  <si>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</si>
  <si>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</si>
  <si>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</si>
  <si>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</si>
  <si>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</si>
  <si>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</si>
  <si>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</si>
  <si>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</si>
  <si>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</si>
  <si>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</si>
  <si>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</si>
  <si>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</si>
  <si>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</si>
  <si>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</si>
  <si>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</si>
  <si>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</si>
  <si>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</si>
  <si>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</si>
  <si>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</si>
  <si>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</si>
  <si>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</si>
  <si>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</si>
  <si>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</si>
  <si>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</si>
  <si>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</si>
  <si>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</si>
  <si>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</si>
  <si>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</si>
  <si>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</si>
  <si>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</si>
  <si>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</si>
  <si>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</si>
  <si>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</si>
  <si>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</si>
  <si>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</si>
  <si>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</si>
  <si>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</si>
  <si>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</si>
  <si>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</si>
  <si>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</si>
  <si>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</si>
  <si>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</si>
  <si>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</si>
  <si>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</si>
  <si>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</si>
  <si>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</si>
  <si>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</si>
  <si>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</si>
  <si>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</si>
  <si>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</si>
  <si>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</si>
  <si>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</si>
  <si>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</si>
  <si>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</si>
  <si>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</si>
  <si>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</si>
  <si>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</si>
  <si>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</si>
  <si>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</si>
  <si>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</si>
  <si>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</si>
  <si>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</si>
  <si>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</si>
  <si>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</si>
  <si>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</si>
  <si>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</si>
  <si>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</si>
  <si>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</si>
  <si>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</si>
  <si>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</si>
  <si>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</si>
  <si>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</si>
  <si>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</si>
  <si>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</si>
  <si>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</si>
  <si>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</si>
  <si>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</si>
  <si>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</si>
  <si>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</si>
  <si>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</si>
  <si>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</si>
  <si>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</si>
  <si>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</si>
  <si>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</si>
  <si>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</si>
  <si>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Adjust Accum to FERC Accum</t>
  </si>
  <si>
    <t>Total RWIP to Adjust</t>
  </si>
  <si>
    <t>RWIP</t>
  </si>
  <si>
    <t>Accrued Retirements</t>
  </si>
  <si>
    <t>207.96.g - line 6</t>
  </si>
  <si>
    <t>Date: May 31, 2024</t>
  </si>
  <si>
    <t>TRUE UP OF RATES FOR CALENDAR YEAR 2023</t>
  </si>
  <si>
    <t>12/31/22 &amp; 12/31/23 average balance</t>
  </si>
  <si>
    <r>
      <t>2023 Actual Load Data</t>
    </r>
    <r>
      <rPr>
        <b/>
        <vertAlign val="superscript"/>
        <sz val="12"/>
        <rFont val="Arial"/>
        <family val="2"/>
      </rPr>
      <t>1</t>
    </r>
  </si>
  <si>
    <r>
      <t>2024 Projected Load Data</t>
    </r>
    <r>
      <rPr>
        <b/>
        <vertAlign val="superscript"/>
        <sz val="12"/>
        <rFont val="Arial"/>
        <family val="2"/>
      </rPr>
      <t>2</t>
    </r>
  </si>
  <si>
    <t>Effective August 1, 2023</t>
  </si>
  <si>
    <t>O&amp;M - Acct 561 (2022)</t>
  </si>
  <si>
    <t>Actual Expenses (2023)</t>
  </si>
  <si>
    <t>Actual 2023 Load</t>
  </si>
  <si>
    <t>HP Removal Less ARO</t>
  </si>
  <si>
    <t>CPGS Land Sale</t>
  </si>
  <si>
    <t>no reserve, so assets won't equal reserve on pending retirements</t>
  </si>
  <si>
    <t>From PP</t>
  </si>
  <si>
    <t>for below)</t>
  </si>
  <si>
    <t>Allocated plant from PP</t>
  </si>
  <si>
    <t>(RWIP accounted</t>
  </si>
  <si>
    <t>Other reserve calculation</t>
  </si>
  <si>
    <t>comes from UI file</t>
  </si>
  <si>
    <t>34a</t>
  </si>
  <si>
    <t>See Worksheet EDIT-DDIT-Tracking (line 358, col (j))</t>
  </si>
  <si>
    <t>Amortization of EDIT/DDIT (Net) (Note J)</t>
  </si>
  <si>
    <t>See Worksheet EDIT-DDIT-Tracking (line 355, col (h))</t>
  </si>
  <si>
    <t>J</t>
  </si>
  <si>
    <t>The amounts reported in this line include the applicable tax gross up.  Column 3 Company Total will not be populated as allocation to transmission occurs on Worksheet EDIT-DDIT-Tracking.</t>
  </si>
  <si>
    <t xml:space="preserve">  EDIT/DDIT (Net) - Transmission Only</t>
  </si>
  <si>
    <t>(See Workpaper 7 2023 Actual Load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</si>
</sst>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mmm\-yyyy"/>
    <numFmt numFmtId="181" formatCode="0.0000%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  <numFmt numFmtId="202" formatCode="_(* #,##0.0000000_);_(* \(#,##0.0000000\);_(* &quot;-&quot;??_);_(@_)"/>
    <numFmt numFmtId="203" formatCode="_(* #,##0.000000000_);_(* \(#,##0.000000000\);_(* &quot;-&quot;??_);_(@_)"/>
  </numFmts>
  <fonts count="92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172" fontId="0" fillId="0" borderId="0" applyProtection="0"/>
    <xf numFmtId="0" fontId="6" fillId="0" borderId="0"/>
    <xf numFmtId="3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0" fontId="6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38" fontId="45" fillId="0" borderId="0" applyBorder="0" applyAlignment="0"/>
    <xf numFmtId="184" fontId="42" fillId="20" borderId="1">
      <alignment horizontal="center" vertical="center"/>
    </xf>
    <xf numFmtId="185" fontId="6" fillId="0" borderId="2">
      <alignment horizontal="left"/>
    </xf>
    <xf numFmtId="0" fontId="46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7" fillId="0" borderId="0" applyNumberFormat="0" applyFill="0" applyBorder="0" applyAlignment="0" applyProtection="0"/>
    <xf numFmtId="186" fontId="48" fillId="0" borderId="3" applyNumberFormat="0" applyFill="0" applyAlignment="0" applyProtection="0">
      <alignment horizontal="center"/>
    </xf>
    <xf numFmtId="187" fontId="48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49" fillId="0" borderId="0" applyFill="0">
      <alignment vertical="top"/>
    </xf>
    <xf numFmtId="0" fontId="50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49" fillId="0" borderId="0" applyFill="0">
      <alignment wrapText="1"/>
    </xf>
    <xf numFmtId="0" fontId="50" fillId="0" borderId="0" applyFill="0">
      <alignment horizontal="left" vertical="top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2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3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4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5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6" fillId="0" borderId="0" applyFill="0">
      <alignment horizontal="center" vertical="center" wrapText="1"/>
    </xf>
    <xf numFmtId="0" fontId="57" fillId="0" borderId="0" applyFill="0">
      <alignment horizontal="center" vertical="center" wrapText="1"/>
    </xf>
    <xf numFmtId="37" fontId="55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8" fillId="0" borderId="0">
      <alignment horizontal="center" wrapText="1"/>
    </xf>
    <xf numFmtId="0" fontId="59" fillId="0" borderId="0" applyFill="0">
      <alignment horizontal="center" wrapText="1"/>
    </xf>
    <xf numFmtId="0" fontId="25" fillId="21" borderId="7" applyNumberFormat="0" applyAlignment="0" applyProtection="0"/>
    <xf numFmtId="0" fontId="25" fillId="21" borderId="7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43" fontId="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1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63" fillId="0" borderId="0" applyFont="0" applyFill="0" applyBorder="0" applyAlignment="0" applyProtection="0"/>
    <xf numFmtId="189" fontId="6" fillId="0" borderId="2">
      <alignment horizontal="center"/>
    </xf>
    <xf numFmtId="190" fontId="6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6" fillId="0" borderId="0">
      <protection locked="0"/>
    </xf>
    <xf numFmtId="0" fontId="63" fillId="0" borderId="0"/>
    <xf numFmtId="0" fontId="64" fillId="0" borderId="0"/>
    <xf numFmtId="0" fontId="65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38" fontId="10" fillId="23" borderId="0" applyNumberFormat="0" applyBorder="0" applyAlignment="0" applyProtection="0"/>
    <xf numFmtId="0" fontId="66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7" fillId="0" borderId="0">
      <alignment horizontal="center"/>
    </xf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8" fillId="0" borderId="14" applyNumberFormat="0" applyFill="0" applyAlignment="0" applyProtection="0"/>
    <xf numFmtId="0" fontId="32" fillId="7" borderId="7" applyNumberFormat="0" applyAlignment="0" applyProtection="0"/>
    <xf numFmtId="10" fontId="10" fillId="24" borderId="2" applyNumberFormat="0" applyBorder="0" applyAlignment="0" applyProtection="0"/>
    <xf numFmtId="0" fontId="32" fillId="7" borderId="7" applyNumberFormat="0" applyAlignment="0" applyProtection="0"/>
    <xf numFmtId="0" fontId="10" fillId="23" borderId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193" fontId="6" fillId="0" borderId="2">
      <alignment horizontal="center"/>
    </xf>
    <xf numFmtId="194" fontId="69" fillId="0" borderId="0"/>
    <xf numFmtId="17" fontId="70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43" fontId="71" fillId="0" borderId="0" applyNumberFormat="0" applyFill="0" applyBorder="0" applyAlignment="0" applyProtection="0"/>
    <xf numFmtId="0" fontId="48" fillId="0" borderId="0" applyNumberFormat="0" applyFill="0" applyAlignment="0" applyProtection="0"/>
    <xf numFmtId="37" fontId="72" fillId="0" borderId="0"/>
    <xf numFmtId="197" fontId="73" fillId="0" borderId="0"/>
    <xf numFmtId="172" fontId="1" fillId="0" borderId="0" applyProtection="0"/>
    <xf numFmtId="0" fontId="6" fillId="0" borderId="0"/>
    <xf numFmtId="0" fontId="89" fillId="0" borderId="0"/>
    <xf numFmtId="0" fontId="61" fillId="0" borderId="0"/>
    <xf numFmtId="0" fontId="6" fillId="0" borderId="0"/>
    <xf numFmtId="0" fontId="86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7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5" fillId="21" borderId="17" applyNumberFormat="0" applyAlignment="0" applyProtection="0"/>
    <xf numFmtId="0" fontId="35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3">
      <alignment horizontal="center"/>
    </xf>
    <xf numFmtId="3" fontId="36" fillId="0" borderId="0" applyFont="0" applyFill="0" applyBorder="0" applyAlignment="0" applyProtection="0"/>
    <xf numFmtId="0" fontId="36" fillId="27" borderId="0" applyNumberFormat="0" applyFont="0" applyBorder="0" applyAlignment="0" applyProtection="0"/>
    <xf numFmtId="37" fontId="10" fillId="23" borderId="0" applyFill="0">
      <alignment horizontal="right"/>
    </xf>
    <xf numFmtId="0" fontId="55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4" fillId="0" borderId="0" applyFill="0"/>
    <xf numFmtId="0" fontId="10" fillId="0" borderId="0" applyFill="0">
      <alignment horizontal="left"/>
    </xf>
    <xf numFmtId="199" fontId="10" fillId="0" borderId="4" applyFill="0">
      <alignment horizontal="right"/>
    </xf>
    <xf numFmtId="0" fontId="6" fillId="0" borderId="0" applyNumberFormat="0" applyFont="0" applyBorder="0" applyAlignment="0"/>
    <xf numFmtId="0" fontId="52" fillId="0" borderId="0" applyFill="0">
      <alignment horizontal="left" indent="1"/>
    </xf>
    <xf numFmtId="0" fontId="55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5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4" fillId="0" borderId="0">
      <alignment horizontal="left" indent="4"/>
    </xf>
    <xf numFmtId="0" fontId="10" fillId="0" borderId="0" applyFill="0">
      <alignment horizontal="left"/>
    </xf>
    <xf numFmtId="37" fontId="55" fillId="0" borderId="0" applyFill="0">
      <alignment horizontal="right"/>
    </xf>
    <xf numFmtId="0" fontId="6" fillId="0" borderId="0" applyNumberFormat="0" applyFont="0" applyBorder="0" applyAlignment="0"/>
    <xf numFmtId="0" fontId="56" fillId="0" borderId="0">
      <alignment horizontal="left" indent="5"/>
    </xf>
    <xf numFmtId="0" fontId="55" fillId="0" borderId="0" applyFill="0">
      <alignment horizontal="left"/>
    </xf>
    <xf numFmtId="37" fontId="55" fillId="0" borderId="0" applyFill="0">
      <alignment horizontal="right"/>
    </xf>
    <xf numFmtId="0" fontId="6" fillId="0" borderId="0" applyNumberFormat="0" applyFont="0" applyFill="0" applyBorder="0" applyAlignment="0"/>
    <xf numFmtId="0" fontId="58" fillId="0" borderId="0" applyFill="0">
      <alignment horizontal="left" indent="6"/>
    </xf>
    <xf numFmtId="0" fontId="55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6" fillId="0" borderId="0" applyNumberFormat="0" applyAlignment="0">
      <alignment horizontal="centerContinuous"/>
    </xf>
    <xf numFmtId="0" fontId="48" fillId="0" borderId="4" applyNumberFormat="0" applyFill="0" applyAlignment="0" applyProtection="0"/>
    <xf numFmtId="37" fontId="77" fillId="0" borderId="0" applyNumberFormat="0">
      <alignment horizontal="left"/>
    </xf>
    <xf numFmtId="200" fontId="6" fillId="0" borderId="2">
      <alignment horizontal="center" wrapText="1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0" fontId="6" fillId="0" borderId="0" applyFill="0" applyBorder="0" applyAlignment="0" applyProtection="0">
      <alignment wrapText="1"/>
    </xf>
    <xf numFmtId="37" fontId="78" fillId="0" borderId="0" applyNumberFormat="0">
      <alignment horizontal="left"/>
    </xf>
    <xf numFmtId="37" fontId="79" fillId="0" borderId="0" applyNumberFormat="0">
      <alignment horizontal="left"/>
    </xf>
    <xf numFmtId="37" fontId="80" fillId="0" borderId="0" applyNumberFormat="0">
      <alignment horizontal="left"/>
    </xf>
    <xf numFmtId="194" fontId="81" fillId="0" borderId="0"/>
    <xf numFmtId="40" fontId="82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3" fillId="0" borderId="14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83">
    <xf numFmtId="172" fontId="0" fillId="0" borderId="0" xfId="0"/>
    <xf numFmtId="173" fontId="6" fillId="0" borderId="0" xfId="105" applyNumberFormat="1" applyFont="1" applyFill="1"/>
    <xf numFmtId="0" fontId="6" fillId="0" borderId="0" xfId="171"/>
    <xf numFmtId="0" fontId="6" fillId="0" borderId="19" xfId="169" applyBorder="1" applyAlignment="1">
      <alignment horizontal="center"/>
    </xf>
    <xf numFmtId="0" fontId="6" fillId="0" borderId="20" xfId="169" applyBorder="1" applyAlignment="1">
      <alignment horizontal="center"/>
    </xf>
    <xf numFmtId="0" fontId="6" fillId="0" borderId="21" xfId="169" applyBorder="1" applyAlignment="1">
      <alignment horizontal="center"/>
    </xf>
    <xf numFmtId="0" fontId="6" fillId="0" borderId="0" xfId="169" applyAlignment="1">
      <alignment horizontal="center"/>
    </xf>
    <xf numFmtId="0" fontId="6" fillId="0" borderId="22" xfId="169" applyBorder="1" applyAlignment="1">
      <alignment horizontal="center"/>
    </xf>
    <xf numFmtId="0" fontId="6" fillId="0" borderId="3" xfId="169" applyBorder="1" applyAlignment="1">
      <alignment horizontal="center"/>
    </xf>
    <xf numFmtId="0" fontId="6" fillId="0" borderId="21" xfId="169" applyBorder="1"/>
    <xf numFmtId="1" fontId="6" fillId="0" borderId="23" xfId="169" applyNumberFormat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21" xfId="169" quotePrefix="1" applyBorder="1" applyAlignment="1">
      <alignment horizontal="left"/>
    </xf>
    <xf numFmtId="0" fontId="6" fillId="0" borderId="20" xfId="169" applyBorder="1"/>
    <xf numFmtId="0" fontId="6" fillId="0" borderId="0" xfId="169"/>
    <xf numFmtId="0" fontId="6" fillId="0" borderId="22" xfId="169" quotePrefix="1" applyBorder="1" applyAlignment="1">
      <alignment horizontal="left"/>
    </xf>
    <xf numFmtId="0" fontId="6" fillId="0" borderId="3" xfId="169" applyBorder="1"/>
    <xf numFmtId="0" fontId="6" fillId="0" borderId="0" xfId="169" applyAlignment="1">
      <alignment horizontal="left"/>
    </xf>
    <xf numFmtId="173" fontId="16" fillId="0" borderId="0" xfId="105" applyNumberFormat="1" applyFont="1" applyFill="1"/>
    <xf numFmtId="173" fontId="3" fillId="0" borderId="0" xfId="105" applyNumberFormat="1" applyFont="1" applyFill="1" applyBorder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177" fontId="14" fillId="0" borderId="0" xfId="112" applyNumberFormat="1" applyFont="1" applyFill="1" applyAlignment="1">
      <alignment horizontal="right"/>
    </xf>
    <xf numFmtId="174" fontId="44" fillId="0" borderId="0" xfId="171" applyNumberFormat="1" applyFont="1"/>
    <xf numFmtId="0" fontId="17" fillId="0" borderId="0" xfId="0" applyNumberFormat="1" applyFont="1" applyAlignment="1">
      <alignment horizontal="center"/>
    </xf>
    <xf numFmtId="0" fontId="6" fillId="0" borderId="3" xfId="171" applyBorder="1" applyAlignment="1">
      <alignment horizontal="center" wrapText="1"/>
    </xf>
    <xf numFmtId="173" fontId="6" fillId="0" borderId="0" xfId="171" applyNumberFormat="1"/>
    <xf numFmtId="173" fontId="6" fillId="0" borderId="3" xfId="171" applyNumberFormat="1" applyBorder="1"/>
    <xf numFmtId="1" fontId="6" fillId="0" borderId="0" xfId="169" applyNumberFormat="1" applyAlignment="1">
      <alignment horizontal="center"/>
    </xf>
    <xf numFmtId="43" fontId="14" fillId="0" borderId="0" xfId="105" applyFont="1" applyFill="1" applyAlignment="1"/>
    <xf numFmtId="173" fontId="3" fillId="0" borderId="0" xfId="105" applyNumberFormat="1" applyFont="1" applyFill="1" applyAlignment="1">
      <alignment horizontal="center"/>
    </xf>
    <xf numFmtId="0" fontId="6" fillId="0" borderId="19" xfId="169" applyBorder="1"/>
    <xf numFmtId="172" fontId="6" fillId="0" borderId="0" xfId="0" applyFont="1" applyAlignment="1">
      <alignment horizontal="right"/>
    </xf>
    <xf numFmtId="10" fontId="6" fillId="0" borderId="0" xfId="180" applyNumberFormat="1" applyFill="1"/>
    <xf numFmtId="10" fontId="3" fillId="0" borderId="0" xfId="180" applyNumberFormat="1" applyFont="1" applyFill="1" applyAlignment="1"/>
    <xf numFmtId="0" fontId="14" fillId="0" borderId="0" xfId="171" applyFont="1"/>
    <xf numFmtId="0" fontId="3" fillId="0" borderId="0" xfId="105" applyNumberFormat="1" applyFont="1" applyFill="1" applyAlignment="1"/>
    <xf numFmtId="1" fontId="6" fillId="0" borderId="25" xfId="169" applyNumberFormat="1" applyBorder="1" applyAlignment="1">
      <alignment horizontal="center"/>
    </xf>
    <xf numFmtId="0" fontId="6" fillId="0" borderId="0" xfId="171" applyAlignment="1">
      <alignment horizontal="center"/>
    </xf>
    <xf numFmtId="0" fontId="6" fillId="0" borderId="0" xfId="171" applyAlignment="1">
      <alignment horizontal="right"/>
    </xf>
    <xf numFmtId="0" fontId="14" fillId="0" borderId="0" xfId="171" applyFont="1" applyAlignment="1">
      <alignment horizontal="center"/>
    </xf>
    <xf numFmtId="174" fontId="6" fillId="0" borderId="0" xfId="112" applyNumberFormat="1" applyFont="1" applyFill="1"/>
    <xf numFmtId="0" fontId="6" fillId="0" borderId="3" xfId="171" applyBorder="1" applyAlignment="1">
      <alignment horizontal="center"/>
    </xf>
    <xf numFmtId="0" fontId="6" fillId="0" borderId="3" xfId="171" applyBorder="1"/>
    <xf numFmtId="0" fontId="6" fillId="0" borderId="0" xfId="171" applyAlignment="1">
      <alignment horizontal="center" wrapText="1"/>
    </xf>
    <xf numFmtId="44" fontId="6" fillId="0" borderId="0" xfId="112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/>
    <xf numFmtId="9" fontId="6" fillId="0" borderId="0" xfId="180" applyFill="1"/>
    <xf numFmtId="44" fontId="6" fillId="0" borderId="0" xfId="171" applyNumberFormat="1"/>
    <xf numFmtId="41" fontId="6" fillId="0" borderId="0" xfId="171" applyNumberFormat="1"/>
    <xf numFmtId="44" fontId="6" fillId="0" borderId="3" xfId="171" applyNumberFormat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/>
    <xf numFmtId="174" fontId="6" fillId="0" borderId="3" xfId="171" applyNumberFormat="1" applyBorder="1"/>
    <xf numFmtId="43" fontId="6" fillId="0" borderId="0" xfId="171" applyNumberFormat="1"/>
    <xf numFmtId="0" fontId="6" fillId="0" borderId="0" xfId="171" quotePrefix="1"/>
    <xf numFmtId="178" fontId="6" fillId="0" borderId="0" xfId="112" applyNumberFormat="1" applyFill="1"/>
    <xf numFmtId="179" fontId="6" fillId="0" borderId="0" xfId="112" applyNumberFormat="1" applyFill="1"/>
    <xf numFmtId="0" fontId="14" fillId="0" borderId="0" xfId="171" applyFont="1" applyAlignment="1">
      <alignment horizontal="right"/>
    </xf>
    <xf numFmtId="172" fontId="17" fillId="0" borderId="0" xfId="0" applyFont="1" applyAlignment="1">
      <alignment horizontal="center"/>
    </xf>
    <xf numFmtId="172" fontId="17" fillId="0" borderId="4" xfId="0" applyFont="1" applyBorder="1" applyAlignment="1">
      <alignment horizontal="center"/>
    </xf>
    <xf numFmtId="0" fontId="6" fillId="0" borderId="31" xfId="169" applyBorder="1" applyAlignment="1">
      <alignment horizontal="center"/>
    </xf>
    <xf numFmtId="0" fontId="6" fillId="0" borderId="32" xfId="169" applyBorder="1" applyAlignment="1">
      <alignment horizontal="center"/>
    </xf>
    <xf numFmtId="0" fontId="6" fillId="0" borderId="33" xfId="169" applyBorder="1" applyAlignment="1">
      <alignment horizontal="center"/>
    </xf>
    <xf numFmtId="0" fontId="6" fillId="0" borderId="32" xfId="169" applyBorder="1"/>
    <xf numFmtId="0" fontId="6" fillId="0" borderId="25" xfId="169" applyBorder="1"/>
    <xf numFmtId="0" fontId="6" fillId="0" borderId="9" xfId="169" applyBorder="1"/>
    <xf numFmtId="1" fontId="6" fillId="0" borderId="34" xfId="169" applyNumberFormat="1" applyBorder="1" applyAlignment="1">
      <alignment horizontal="center"/>
    </xf>
    <xf numFmtId="1" fontId="6" fillId="0" borderId="9" xfId="169" applyNumberFormat="1" applyBorder="1" applyAlignment="1">
      <alignment horizontal="center"/>
    </xf>
    <xf numFmtId="10" fontId="6" fillId="0" borderId="0" xfId="169" applyNumberFormat="1"/>
    <xf numFmtId="43" fontId="6" fillId="0" borderId="0" xfId="105" applyFill="1"/>
    <xf numFmtId="10" fontId="6" fillId="0" borderId="0" xfId="169" applyNumberFormat="1" applyAlignment="1">
      <alignment horizontal="center"/>
    </xf>
    <xf numFmtId="173" fontId="17" fillId="0" borderId="0" xfId="105" applyNumberFormat="1" applyFont="1" applyFill="1" applyAlignment="1"/>
    <xf numFmtId="181" fontId="17" fillId="0" borderId="6" xfId="180" applyNumberFormat="1" applyFont="1" applyFill="1" applyBorder="1" applyAlignment="1"/>
    <xf numFmtId="173" fontId="3" fillId="0" borderId="3" xfId="105" applyNumberFormat="1" applyFont="1" applyFill="1" applyBorder="1" applyAlignment="1"/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10" fontId="3" fillId="0" borderId="3" xfId="180" applyNumberFormat="1" applyFont="1" applyFill="1" applyBorder="1" applyAlignment="1"/>
    <xf numFmtId="201" fontId="3" fillId="0" borderId="0" xfId="180" applyNumberFormat="1" applyFont="1" applyFill="1" applyAlignment="1">
      <alignment horizontal="right"/>
    </xf>
    <xf numFmtId="43" fontId="3" fillId="0" borderId="0" xfId="105" applyFont="1" applyFill="1" applyProtection="1">
      <protection locked="0"/>
    </xf>
    <xf numFmtId="44" fontId="10" fillId="0" borderId="0" xfId="112" applyFont="1" applyFill="1"/>
    <xf numFmtId="173" fontId="3" fillId="0" borderId="4" xfId="105" applyNumberFormat="1" applyFont="1" applyFill="1" applyBorder="1" applyAlignment="1"/>
    <xf numFmtId="1" fontId="6" fillId="0" borderId="0" xfId="169" applyNumberFormat="1"/>
    <xf numFmtId="181" fontId="6" fillId="0" borderId="0" xfId="180" applyNumberFormat="1" applyFont="1" applyFill="1" applyAlignment="1"/>
    <xf numFmtId="43" fontId="0" fillId="0" borderId="28" xfId="105" applyFont="1" applyFill="1" applyBorder="1" applyAlignment="1"/>
    <xf numFmtId="43" fontId="0" fillId="0" borderId="6" xfId="105" applyFont="1" applyFill="1" applyBorder="1"/>
    <xf numFmtId="42" fontId="6" fillId="0" borderId="0" xfId="171" applyNumberFormat="1"/>
    <xf numFmtId="42" fontId="6" fillId="0" borderId="3" xfId="171" applyNumberFormat="1" applyBorder="1"/>
    <xf numFmtId="173" fontId="0" fillId="0" borderId="0" xfId="105" applyNumberFormat="1" applyFont="1" applyFill="1" applyBorder="1"/>
    <xf numFmtId="43" fontId="0" fillId="0" borderId="0" xfId="105" applyFont="1" applyFill="1"/>
    <xf numFmtId="173" fontId="1" fillId="0" borderId="0" xfId="105" applyNumberFormat="1" applyFont="1" applyFill="1" applyBorder="1"/>
    <xf numFmtId="43" fontId="6" fillId="0" borderId="3" xfId="171" applyNumberFormat="1" applyBorder="1"/>
    <xf numFmtId="1" fontId="6" fillId="0" borderId="19" xfId="169" applyNumberFormat="1" applyBorder="1" applyAlignment="1">
      <alignment horizontal="center"/>
    </xf>
    <xf numFmtId="1" fontId="6" fillId="0" borderId="21" xfId="169" applyNumberFormat="1" applyBorder="1" applyAlignment="1">
      <alignment horizontal="center"/>
    </xf>
    <xf numFmtId="1" fontId="6" fillId="0" borderId="22" xfId="169" applyNumberFormat="1" applyBorder="1" applyAlignment="1">
      <alignment horizontal="center"/>
    </xf>
    <xf numFmtId="1" fontId="6" fillId="0" borderId="31" xfId="169" applyNumberFormat="1" applyBorder="1" applyAlignment="1">
      <alignment horizontal="center"/>
    </xf>
    <xf numFmtId="1" fontId="6" fillId="0" borderId="32" xfId="169" applyNumberFormat="1" applyBorder="1" applyAlignment="1">
      <alignment horizontal="center"/>
    </xf>
    <xf numFmtId="1" fontId="6" fillId="0" borderId="33" xfId="169" applyNumberFormat="1" applyBorder="1" applyAlignment="1">
      <alignment horizontal="center"/>
    </xf>
    <xf numFmtId="0" fontId="6" fillId="0" borderId="38" xfId="169" applyBorder="1" applyAlignment="1">
      <alignment horizontal="center"/>
    </xf>
    <xf numFmtId="0" fontId="6" fillId="0" borderId="39" xfId="169" applyBorder="1" applyAlignment="1">
      <alignment horizontal="center"/>
    </xf>
    <xf numFmtId="1" fontId="6" fillId="0" borderId="38" xfId="169" applyNumberFormat="1" applyBorder="1" applyAlignment="1">
      <alignment horizontal="center"/>
    </xf>
    <xf numFmtId="1" fontId="6" fillId="0" borderId="20" xfId="169" applyNumberFormat="1" applyBorder="1" applyAlignment="1">
      <alignment horizontal="center"/>
    </xf>
    <xf numFmtId="1" fontId="6" fillId="0" borderId="39" xfId="169" applyNumberFormat="1" applyBorder="1" applyAlignment="1">
      <alignment horizontal="center"/>
    </xf>
    <xf numFmtId="1" fontId="6" fillId="0" borderId="40" xfId="169" applyNumberFormat="1" applyBorder="1" applyAlignment="1">
      <alignment horizontal="center"/>
    </xf>
    <xf numFmtId="0" fontId="6" fillId="0" borderId="40" xfId="169" applyBorder="1" applyAlignment="1">
      <alignment horizontal="center"/>
    </xf>
    <xf numFmtId="202" fontId="0" fillId="0" borderId="0" xfId="105" applyNumberFormat="1" applyFont="1" applyFill="1" applyBorder="1"/>
    <xf numFmtId="43" fontId="10" fillId="0" borderId="0" xfId="105" applyFont="1" applyFill="1"/>
    <xf numFmtId="1" fontId="6" fillId="0" borderId="0" xfId="169" applyNumberFormat="1" applyAlignment="1">
      <alignment horizontal="left"/>
    </xf>
    <xf numFmtId="0" fontId="91" fillId="0" borderId="0" xfId="171" applyFont="1"/>
    <xf numFmtId="172" fontId="0" fillId="0" borderId="0" xfId="0" applyAlignment="1">
      <alignment horizontal="right"/>
    </xf>
    <xf numFmtId="201" fontId="0" fillId="0" borderId="0" xfId="0" applyNumberFormat="1" applyAlignment="1">
      <alignment horizontal="right"/>
    </xf>
    <xf numFmtId="172" fontId="3" fillId="0" borderId="0" xfId="0" applyFont="1"/>
    <xf numFmtId="172" fontId="5" fillId="0" borderId="0" xfId="0" applyFont="1"/>
    <xf numFmtId="172" fontId="3" fillId="0" borderId="0" xfId="0" applyFont="1" applyAlignment="1">
      <alignment horizontal="right"/>
    </xf>
    <xf numFmtId="0" fontId="3" fillId="0" borderId="0" xfId="0" applyNumberFormat="1" applyFont="1"/>
    <xf numFmtId="172" fontId="2" fillId="0" borderId="0" xfId="0" applyFont="1"/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3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172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NumberFormat="1" applyFont="1" applyAlignment="1" applyProtection="1">
      <alignment horizontal="left"/>
      <protection locked="0"/>
    </xf>
    <xf numFmtId="172" fontId="3" fillId="0" borderId="0" xfId="0" applyFont="1" applyAlignment="1">
      <alignment horizontal="left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/>
    <xf numFmtId="165" fontId="3" fillId="0" borderId="0" xfId="0" applyNumberFormat="1" applyFont="1"/>
    <xf numFmtId="182" fontId="3" fillId="0" borderId="0" xfId="0" applyNumberFormat="1" applyFont="1"/>
    <xf numFmtId="3" fontId="3" fillId="0" borderId="3" xfId="0" applyNumberFormat="1" applyFont="1" applyBorder="1"/>
    <xf numFmtId="0" fontId="3" fillId="0" borderId="0" xfId="0" applyNumberFormat="1" applyFont="1" applyProtection="1">
      <protection locked="0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172" fontId="3" fillId="0" borderId="3" xfId="0" applyFont="1" applyBorder="1"/>
    <xf numFmtId="3" fontId="3" fillId="0" borderId="35" xfId="0" applyNumberFormat="1" applyFont="1" applyBorder="1"/>
    <xf numFmtId="201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left"/>
    </xf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>
      <alignment horizontal="right"/>
    </xf>
    <xf numFmtId="172" fontId="3" fillId="0" borderId="0" xfId="0" quotePrefix="1" applyFont="1"/>
    <xf numFmtId="167" fontId="3" fillId="0" borderId="0" xfId="0" applyNumberFormat="1" applyFont="1"/>
    <xf numFmtId="3" fontId="3" fillId="0" borderId="36" xfId="0" applyNumberFormat="1" applyFont="1" applyBorder="1"/>
    <xf numFmtId="3" fontId="3" fillId="0" borderId="10" xfId="0" applyNumberFormat="1" applyFont="1" applyBorder="1"/>
    <xf numFmtId="0" fontId="3" fillId="0" borderId="3" xfId="0" applyNumberFormat="1" applyFont="1" applyBorder="1" applyProtection="1">
      <protection locked="0"/>
    </xf>
    <xf numFmtId="0" fontId="3" fillId="0" borderId="3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/>
    <xf numFmtId="182" fontId="3" fillId="0" borderId="0" xfId="0" applyNumberFormat="1" applyFont="1" applyAlignment="1">
      <alignment horizontal="right"/>
    </xf>
    <xf numFmtId="3" fontId="3" fillId="0" borderId="0" xfId="163" applyNumberFormat="1" applyFont="1"/>
    <xf numFmtId="172" fontId="3" fillId="0" borderId="6" xfId="0" applyFont="1" applyBorder="1"/>
    <xf numFmtId="0" fontId="3" fillId="0" borderId="6" xfId="0" applyNumberFormat="1" applyFont="1" applyBorder="1"/>
    <xf numFmtId="0" fontId="3" fillId="0" borderId="6" xfId="0" applyNumberFormat="1" applyFont="1" applyBorder="1" applyProtection="1">
      <protection locked="0"/>
    </xf>
    <xf numFmtId="3" fontId="3" fillId="0" borderId="3" xfId="0" applyNumberFormat="1" applyFont="1" applyBorder="1" applyAlignment="1">
      <alignment horizontal="center"/>
    </xf>
    <xf numFmtId="4" fontId="3" fillId="0" borderId="0" xfId="0" applyNumberFormat="1" applyFont="1"/>
    <xf numFmtId="6" fontId="3" fillId="0" borderId="0" xfId="174" applyNumberFormat="1" applyFont="1"/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166" fontId="3" fillId="0" borderId="0" xfId="0" applyNumberFormat="1" applyFont="1" applyAlignment="1" applyProtection="1">
      <alignment horizontal="center"/>
      <protection locked="0"/>
    </xf>
    <xf numFmtId="169" fontId="2" fillId="0" borderId="0" xfId="0" applyNumberFormat="1" applyFont="1"/>
    <xf numFmtId="0" fontId="42" fillId="0" borderId="0" xfId="0" applyNumberFormat="1" applyFont="1"/>
    <xf numFmtId="0" fontId="3" fillId="0" borderId="4" xfId="0" applyNumberFormat="1" applyFont="1" applyBorder="1"/>
    <xf numFmtId="172" fontId="42" fillId="0" borderId="0" xfId="0" applyFont="1"/>
    <xf numFmtId="169" fontId="0" fillId="0" borderId="0" xfId="0" applyNumberFormat="1"/>
    <xf numFmtId="0" fontId="3" fillId="0" borderId="0" xfId="0" quotePrefix="1" applyNumberFormat="1" applyFont="1"/>
    <xf numFmtId="49" fontId="3" fillId="0" borderId="3" xfId="0" applyNumberFormat="1" applyFont="1" applyBorder="1" applyAlignment="1">
      <alignment horizontal="center"/>
    </xf>
    <xf numFmtId="0" fontId="3" fillId="0" borderId="0" xfId="172" applyFont="1" applyAlignment="1">
      <alignment horizontal="left"/>
    </xf>
    <xf numFmtId="10" fontId="3" fillId="0" borderId="0" xfId="0" applyNumberFormat="1" applyFont="1"/>
    <xf numFmtId="168" fontId="3" fillId="0" borderId="0" xfId="0" applyNumberFormat="1" applyFont="1"/>
    <xf numFmtId="3" fontId="3" fillId="0" borderId="0" xfId="0" quotePrefix="1" applyNumberFormat="1" applyFont="1"/>
    <xf numFmtId="203" fontId="2" fillId="0" borderId="0" xfId="105" applyNumberFormat="1" applyFont="1" applyFill="1"/>
    <xf numFmtId="172" fontId="3" fillId="0" borderId="0" xfId="0" applyFont="1" applyProtection="1">
      <protection locked="0"/>
    </xf>
    <xf numFmtId="169" fontId="3" fillId="0" borderId="0" xfId="0" applyNumberFormat="1" applyFont="1" applyProtection="1">
      <protection locked="0"/>
    </xf>
    <xf numFmtId="172" fontId="3" fillId="0" borderId="0" xfId="0" applyFont="1" applyProtection="1"/>
    <xf numFmtId="43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172" fontId="3" fillId="0" borderId="0" xfId="0" applyFont="1" applyAlignment="1">
      <alignment horizontal="center"/>
    </xf>
    <xf numFmtId="172" fontId="0" fillId="0" borderId="0" xfId="0" applyAlignment="1">
      <alignment horizontal="center"/>
    </xf>
    <xf numFmtId="172" fontId="17" fillId="0" borderId="0" xfId="0" applyFont="1"/>
    <xf numFmtId="201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172" fontId="14" fillId="0" borderId="0" xfId="0" applyFont="1"/>
    <xf numFmtId="172" fontId="6" fillId="0" borderId="0" xfId="0" applyFont="1"/>
    <xf numFmtId="172" fontId="17" fillId="0" borderId="0" xfId="0" applyFont="1" applyAlignment="1">
      <alignment horizontal="right"/>
    </xf>
    <xf numFmtId="172" fontId="41" fillId="0" borderId="0" xfId="0" applyFont="1"/>
    <xf numFmtId="0" fontId="17" fillId="0" borderId="0" xfId="170" applyFont="1" applyAlignment="1">
      <alignment horizontal="center"/>
    </xf>
    <xf numFmtId="0" fontId="17" fillId="0" borderId="0" xfId="170" applyFont="1" applyAlignment="1">
      <alignment horizontal="left"/>
    </xf>
    <xf numFmtId="0" fontId="17" fillId="0" borderId="0" xfId="170" applyFont="1"/>
    <xf numFmtId="0" fontId="6" fillId="0" borderId="0" xfId="170" applyAlignment="1">
      <alignment horizontal="center"/>
    </xf>
    <xf numFmtId="0" fontId="6" fillId="0" borderId="0" xfId="170" applyAlignment="1">
      <alignment horizontal="left"/>
    </xf>
    <xf numFmtId="16" fontId="17" fillId="0" borderId="0" xfId="170" applyNumberFormat="1" applyFont="1" applyAlignment="1">
      <alignment horizontal="center"/>
    </xf>
    <xf numFmtId="172" fontId="12" fillId="0" borderId="0" xfId="0" applyFont="1"/>
    <xf numFmtId="7" fontId="14" fillId="0" borderId="6" xfId="0" applyNumberFormat="1" applyFont="1" applyBorder="1"/>
    <xf numFmtId="172" fontId="16" fillId="0" borderId="0" xfId="0" applyFont="1"/>
    <xf numFmtId="172" fontId="16" fillId="0" borderId="0" xfId="0" applyFont="1" applyAlignment="1">
      <alignment horizontal="center"/>
    </xf>
    <xf numFmtId="172" fontId="16" fillId="0" borderId="4" xfId="0" applyFont="1" applyBorder="1" applyAlignment="1">
      <alignment horizontal="center"/>
    </xf>
    <xf numFmtId="0" fontId="6" fillId="0" borderId="0" xfId="172"/>
    <xf numFmtId="44" fontId="6" fillId="0" borderId="0" xfId="172" applyNumberFormat="1"/>
    <xf numFmtId="0" fontId="6" fillId="0" borderId="0" xfId="172" applyAlignment="1">
      <alignment horizontal="center"/>
    </xf>
    <xf numFmtId="44" fontId="6" fillId="0" borderId="0" xfId="172" applyNumberFormat="1" applyAlignment="1">
      <alignment horizontal="center"/>
    </xf>
    <xf numFmtId="0" fontId="6" fillId="0" borderId="4" xfId="172" applyBorder="1" applyAlignment="1">
      <alignment horizontal="center"/>
    </xf>
    <xf numFmtId="0" fontId="6" fillId="0" borderId="4" xfId="172" applyBorder="1"/>
    <xf numFmtId="44" fontId="6" fillId="0" borderId="4" xfId="172" applyNumberFormat="1" applyBorder="1" applyAlignment="1">
      <alignment horizontal="center"/>
    </xf>
    <xf numFmtId="0" fontId="14" fillId="0" borderId="0" xfId="172" applyFont="1"/>
    <xf numFmtId="10" fontId="6" fillId="0" borderId="0" xfId="172" applyNumberFormat="1"/>
    <xf numFmtId="0" fontId="6" fillId="0" borderId="0" xfId="172" applyAlignment="1">
      <alignment horizontal="right"/>
    </xf>
    <xf numFmtId="172" fontId="1" fillId="0" borderId="0" xfId="0" applyFont="1" applyAlignment="1">
      <alignment horizontal="right"/>
    </xf>
    <xf numFmtId="172" fontId="1" fillId="0" borderId="0" xfId="0" applyFont="1"/>
    <xf numFmtId="172" fontId="21" fillId="0" borderId="0" xfId="0" applyFont="1"/>
    <xf numFmtId="183" fontId="3" fillId="0" borderId="0" xfId="0" applyNumberFormat="1" applyFont="1" applyAlignment="1">
      <alignment horizontal="center"/>
    </xf>
    <xf numFmtId="3" fontId="43" fillId="0" borderId="0" xfId="0" applyNumberFormat="1" applyFont="1"/>
    <xf numFmtId="3" fontId="90" fillId="0" borderId="0" xfId="0" applyNumberFormat="1" applyFont="1" applyAlignment="1">
      <alignment horizontal="center"/>
    </xf>
    <xf numFmtId="172" fontId="0" fillId="0" borderId="37" xfId="0" applyBorder="1"/>
    <xf numFmtId="172" fontId="0" fillId="0" borderId="6" xfId="0" applyBorder="1"/>
    <xf numFmtId="172" fontId="1" fillId="0" borderId="26" xfId="0" applyFont="1" applyBorder="1"/>
    <xf numFmtId="172" fontId="0" fillId="0" borderId="27" xfId="0" applyBorder="1"/>
    <xf numFmtId="172" fontId="1" fillId="0" borderId="28" xfId="0" applyFont="1" applyBorder="1"/>
    <xf numFmtId="43" fontId="1" fillId="0" borderId="0" xfId="105" applyFont="1" applyFill="1"/>
    <xf numFmtId="172" fontId="0" fillId="0" borderId="29" xfId="0" applyBorder="1"/>
    <xf numFmtId="172" fontId="0" fillId="0" borderId="4" xfId="0" applyBorder="1"/>
    <xf numFmtId="173" fontId="0" fillId="0" borderId="4" xfId="0" applyNumberFormat="1" applyBorder="1"/>
    <xf numFmtId="172" fontId="1" fillId="0" borderId="30" xfId="0" applyFont="1" applyBorder="1"/>
    <xf numFmtId="43" fontId="1" fillId="0" borderId="0" xfId="105" applyFont="1" applyFill="1" applyBorder="1"/>
    <xf numFmtId="172" fontId="0" fillId="0" borderId="28" xfId="0" applyBorder="1"/>
    <xf numFmtId="172" fontId="0" fillId="0" borderId="30" xfId="0" applyBorder="1"/>
    <xf numFmtId="0" fontId="10" fillId="0" borderId="0" xfId="174" applyFont="1"/>
    <xf numFmtId="0" fontId="6" fillId="0" borderId="0" xfId="174"/>
    <xf numFmtId="0" fontId="10" fillId="0" borderId="0" xfId="174" applyFont="1" applyAlignment="1">
      <alignment horizontal="right"/>
    </xf>
    <xf numFmtId="0" fontId="13" fillId="0" borderId="0" xfId="174" applyFont="1" applyAlignment="1">
      <alignment horizontal="right"/>
    </xf>
    <xf numFmtId="0" fontId="16" fillId="0" borderId="0" xfId="174" applyFont="1"/>
    <xf numFmtId="0" fontId="14" fillId="0" borderId="0" xfId="174" applyFont="1" applyAlignment="1">
      <alignment horizontal="left"/>
    </xf>
    <xf numFmtId="0" fontId="10" fillId="0" borderId="0" xfId="174" applyFont="1" applyAlignment="1">
      <alignment horizontal="center"/>
    </xf>
    <xf numFmtId="0" fontId="10" fillId="0" borderId="4" xfId="174" applyFont="1" applyBorder="1" applyAlignment="1">
      <alignment horizontal="center"/>
    </xf>
    <xf numFmtId="0" fontId="12" fillId="0" borderId="0" xfId="174" applyFont="1"/>
    <xf numFmtId="164" fontId="10" fillId="0" borderId="0" xfId="174" applyNumberFormat="1" applyFont="1"/>
    <xf numFmtId="0" fontId="13" fillId="0" borderId="0" xfId="174" applyFont="1"/>
    <xf numFmtId="173" fontId="10" fillId="0" borderId="24" xfId="174" applyNumberFormat="1" applyFont="1" applyBorder="1"/>
    <xf numFmtId="6" fontId="13" fillId="0" borderId="24" xfId="174" applyNumberFormat="1" applyFont="1" applyBorder="1"/>
    <xf numFmtId="43" fontId="10" fillId="0" borderId="0" xfId="174" applyNumberFormat="1" applyFont="1"/>
    <xf numFmtId="3" fontId="10" fillId="0" borderId="0" xfId="174" applyNumberFormat="1" applyFont="1"/>
    <xf numFmtId="6" fontId="10" fillId="0" borderId="0" xfId="174" applyNumberFormat="1" applyFont="1"/>
    <xf numFmtId="0" fontId="15" fillId="0" borderId="0" xfId="174" applyFont="1"/>
    <xf numFmtId="0" fontId="10" fillId="0" borderId="0" xfId="174" quotePrefix="1" applyFont="1" applyAlignment="1">
      <alignment horizontal="left"/>
    </xf>
    <xf numFmtId="3" fontId="14" fillId="0" borderId="0" xfId="174" applyNumberFormat="1" applyFont="1"/>
    <xf numFmtId="0" fontId="8" fillId="0" borderId="0" xfId="174" applyFont="1"/>
    <xf numFmtId="0" fontId="8" fillId="0" borderId="0" xfId="174" applyFont="1" applyAlignment="1">
      <alignment horizontal="left"/>
    </xf>
    <xf numFmtId="0" fontId="5" fillId="0" borderId="0" xfId="174" applyFont="1"/>
    <xf numFmtId="0" fontId="9" fillId="0" borderId="0" xfId="174" applyFont="1"/>
    <xf numFmtId="0" fontId="11" fillId="0" borderId="0" xfId="174" applyFont="1" applyAlignment="1">
      <alignment horizontal="center"/>
    </xf>
    <xf numFmtId="0" fontId="11" fillId="0" borderId="0" xfId="174" applyFont="1"/>
    <xf numFmtId="0" fontId="10" fillId="0" borderId="0" xfId="173" applyFont="1"/>
    <xf numFmtId="175" fontId="6" fillId="0" borderId="0" xfId="171" applyNumberFormat="1"/>
    <xf numFmtId="176" fontId="6" fillId="0" borderId="0" xfId="171" applyNumberFormat="1"/>
    <xf numFmtId="0" fontId="14" fillId="0" borderId="0" xfId="171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72" fontId="5" fillId="0" borderId="0" xfId="0" applyFont="1" applyAlignment="1">
      <alignment horizontal="center"/>
    </xf>
    <xf numFmtId="0" fontId="14" fillId="0" borderId="0" xfId="172" applyFont="1" applyAlignment="1">
      <alignment horizontal="center"/>
    </xf>
    <xf numFmtId="0" fontId="5" fillId="0" borderId="41" xfId="171" applyFont="1" applyBorder="1" applyAlignment="1">
      <alignment horizontal="center"/>
    </xf>
    <xf numFmtId="0" fontId="5" fillId="0" borderId="10" xfId="171" applyFont="1" applyBorder="1" applyAlignment="1">
      <alignment horizontal="center"/>
    </xf>
    <xf numFmtId="0" fontId="5" fillId="0" borderId="42" xfId="171" applyFont="1" applyBorder="1" applyAlignment="1">
      <alignment horizontal="center"/>
    </xf>
    <xf numFmtId="0" fontId="14" fillId="0" borderId="0" xfId="174" applyFont="1" applyAlignment="1">
      <alignment horizontal="center"/>
    </xf>
  </cellXfs>
  <cellStyles count="245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 5" xfId="110" xr:uid="{00000000-0005-0000-0000-00006D000000}"/>
    <cellStyle name="Comma0 - Style1" xfId="111" xr:uid="{00000000-0005-0000-0000-00006E000000}"/>
    <cellStyle name="Currency" xfId="112" builtinId="4"/>
    <cellStyle name="Currency 2" xfId="113" xr:uid="{00000000-0005-0000-0000-000070000000}"/>
    <cellStyle name="Currency 2 2" xfId="114" xr:uid="{00000000-0005-0000-0000-000071000000}"/>
    <cellStyle name="Currency 3" xfId="115" xr:uid="{00000000-0005-0000-0000-000072000000}"/>
    <cellStyle name="Date" xfId="116" xr:uid="{00000000-0005-0000-0000-000073000000}"/>
    <cellStyle name="Euro" xfId="117" xr:uid="{00000000-0005-0000-0000-000074000000}"/>
    <cellStyle name="Explanatory Text" xfId="118" builtinId="53" customBuiltin="1"/>
    <cellStyle name="Explanatory Text 2" xfId="119" xr:uid="{00000000-0005-0000-0000-000076000000}"/>
    <cellStyle name="Fixed" xfId="120" xr:uid="{00000000-0005-0000-0000-000077000000}"/>
    <cellStyle name="Fixed1 - Style1" xfId="121" xr:uid="{00000000-0005-0000-0000-000078000000}"/>
    <cellStyle name="Gilsans" xfId="122" xr:uid="{00000000-0005-0000-0000-000079000000}"/>
    <cellStyle name="Gilsansl" xfId="123" xr:uid="{00000000-0005-0000-0000-00007A000000}"/>
    <cellStyle name="Good" xfId="124" builtinId="26" customBuiltin="1"/>
    <cellStyle name="Good 2" xfId="125" xr:uid="{00000000-0005-0000-0000-00007C000000}"/>
    <cellStyle name="Grey" xfId="126" xr:uid="{00000000-0005-0000-0000-00007D000000}"/>
    <cellStyle name="HEADER" xfId="127" xr:uid="{00000000-0005-0000-0000-00007E000000}"/>
    <cellStyle name="Header1" xfId="128" xr:uid="{00000000-0005-0000-0000-00007F000000}"/>
    <cellStyle name="Header2" xfId="129" xr:uid="{00000000-0005-0000-0000-000080000000}"/>
    <cellStyle name="Heading" xfId="130" xr:uid="{00000000-0005-0000-0000-000081000000}"/>
    <cellStyle name="Heading 1" xfId="131" builtinId="16" customBuiltin="1"/>
    <cellStyle name="Heading 1 2" xfId="132" xr:uid="{00000000-0005-0000-0000-000083000000}"/>
    <cellStyle name="Heading 2" xfId="133" builtinId="17" customBuiltin="1"/>
    <cellStyle name="Heading 2 2" xfId="134" xr:uid="{00000000-0005-0000-0000-000085000000}"/>
    <cellStyle name="Heading 3" xfId="135" builtinId="18" customBuiltin="1"/>
    <cellStyle name="Heading 3 2" xfId="136" xr:uid="{00000000-0005-0000-0000-000087000000}"/>
    <cellStyle name="Heading 4" xfId="137" builtinId="19" customBuiltin="1"/>
    <cellStyle name="Heading 4 2" xfId="138" xr:uid="{00000000-0005-0000-0000-000089000000}"/>
    <cellStyle name="Heading1" xfId="139" xr:uid="{00000000-0005-0000-0000-00008A000000}"/>
    <cellStyle name="Heading2" xfId="140" xr:uid="{00000000-0005-0000-0000-00008B000000}"/>
    <cellStyle name="HIGHLIGHT" xfId="141" xr:uid="{00000000-0005-0000-0000-00008C000000}"/>
    <cellStyle name="Input" xfId="142" builtinId="20" customBuiltin="1"/>
    <cellStyle name="Input [yellow]" xfId="143" xr:uid="{00000000-0005-0000-0000-00008E000000}"/>
    <cellStyle name="Input 2" xfId="144" xr:uid="{00000000-0005-0000-0000-00008F000000}"/>
    <cellStyle name="Lines" xfId="145" xr:uid="{00000000-0005-0000-0000-000090000000}"/>
    <cellStyle name="Linked Cell" xfId="146" builtinId="24" customBuiltin="1"/>
    <cellStyle name="Linked Cell 2" xfId="147" xr:uid="{00000000-0005-0000-0000-000092000000}"/>
    <cellStyle name="MEM SSN" xfId="148" xr:uid="{00000000-0005-0000-0000-000093000000}"/>
    <cellStyle name="Mine" xfId="149" xr:uid="{00000000-0005-0000-0000-000094000000}"/>
    <cellStyle name="mmm-yy" xfId="150" xr:uid="{00000000-0005-0000-0000-000095000000}"/>
    <cellStyle name="Monétaire [0]_pldt" xfId="151" xr:uid="{00000000-0005-0000-0000-000096000000}"/>
    <cellStyle name="Monétaire_pldt" xfId="152" xr:uid="{00000000-0005-0000-0000-000097000000}"/>
    <cellStyle name="Neutral" xfId="153" builtinId="28" customBuiltin="1"/>
    <cellStyle name="Neutral 2" xfId="154" xr:uid="{00000000-0005-0000-0000-000099000000}"/>
    <cellStyle name="New" xfId="155" xr:uid="{00000000-0005-0000-0000-00009A000000}"/>
    <cellStyle name="No Border" xfId="156" xr:uid="{00000000-0005-0000-0000-00009B000000}"/>
    <cellStyle name="no dec" xfId="157" xr:uid="{00000000-0005-0000-0000-00009C000000}"/>
    <cellStyle name="Normal" xfId="0" builtinId="0"/>
    <cellStyle name="Normal - Style1" xfId="158" xr:uid="{00000000-0005-0000-0000-00009E000000}"/>
    <cellStyle name="Normal 2" xfId="159" xr:uid="{00000000-0005-0000-0000-00009F000000}"/>
    <cellStyle name="Normal 2 2" xfId="160" xr:uid="{00000000-0005-0000-0000-0000A0000000}"/>
    <cellStyle name="Normal 3" xfId="161" xr:uid="{00000000-0005-0000-0000-0000A1000000}"/>
    <cellStyle name="Normal 3 2" xfId="162" xr:uid="{00000000-0005-0000-0000-0000A2000000}"/>
    <cellStyle name="Normal 3 5" xfId="163" xr:uid="{00000000-0005-0000-0000-0000A3000000}"/>
    <cellStyle name="Normal 4" xfId="164" xr:uid="{00000000-0005-0000-0000-0000A4000000}"/>
    <cellStyle name="Normal 4 2" xfId="165" xr:uid="{00000000-0005-0000-0000-0000A5000000}"/>
    <cellStyle name="Normal CEN" xfId="166" xr:uid="{00000000-0005-0000-0000-0000A6000000}"/>
    <cellStyle name="Normal Centered" xfId="167" xr:uid="{00000000-0005-0000-0000-0000A7000000}"/>
    <cellStyle name="NORMAL CTR" xfId="168" xr:uid="{00000000-0005-0000-0000-0000A8000000}"/>
    <cellStyle name="Normal_2002 AREA LOADS FOR JNT TARIFF" xfId="169" xr:uid="{00000000-0005-0000-0000-0000A9000000}"/>
    <cellStyle name="Normal_Capital True-up" xfId="170" xr:uid="{00000000-0005-0000-0000-0000AA000000}"/>
    <cellStyle name="Normal_CU AC Rate Design" xfId="171" xr:uid="{00000000-0005-0000-0000-0000AB000000}"/>
    <cellStyle name="Normal_PRECorp2002HeintzResponse 8-21-03" xfId="172" xr:uid="{00000000-0005-0000-0000-0000AC000000}"/>
    <cellStyle name="Normal_Sheet1" xfId="173" xr:uid="{00000000-0005-0000-0000-0000AD000000}"/>
    <cellStyle name="Normal_TopSheet Type Ancillaries Worksheet-Updated 81903" xfId="174" xr:uid="{00000000-0005-0000-0000-0000AE000000}"/>
    <cellStyle name="Note" xfId="175" builtinId="10" customBuiltin="1"/>
    <cellStyle name="Note 2" xfId="176" xr:uid="{00000000-0005-0000-0000-0000B0000000}"/>
    <cellStyle name="nUMBER" xfId="177" xr:uid="{00000000-0005-0000-0000-0000B1000000}"/>
    <cellStyle name="Output" xfId="178" builtinId="21" customBuiltin="1"/>
    <cellStyle name="Output 2" xfId="179" xr:uid="{00000000-0005-0000-0000-0000B3000000}"/>
    <cellStyle name="Percent" xfId="180" builtinId="5"/>
    <cellStyle name="Percent [2]" xfId="181" xr:uid="{00000000-0005-0000-0000-0000B5000000}"/>
    <cellStyle name="Percent 14" xfId="182" xr:uid="{00000000-0005-0000-0000-0000B6000000}"/>
    <cellStyle name="Percent 2" xfId="183" xr:uid="{00000000-0005-0000-0000-0000B7000000}"/>
    <cellStyle name="PSChar" xfId="184" xr:uid="{00000000-0005-0000-0000-0000B8000000}"/>
    <cellStyle name="PSDate" xfId="185" xr:uid="{00000000-0005-0000-0000-0000B9000000}"/>
    <cellStyle name="PSDec" xfId="186" xr:uid="{00000000-0005-0000-0000-0000BA000000}"/>
    <cellStyle name="PSHeading" xfId="187" xr:uid="{00000000-0005-0000-0000-0000BB000000}"/>
    <cellStyle name="PSInt" xfId="188" xr:uid="{00000000-0005-0000-0000-0000BC000000}"/>
    <cellStyle name="PSSpacer" xfId="189" xr:uid="{00000000-0005-0000-0000-0000BD000000}"/>
    <cellStyle name="R00A" xfId="190" xr:uid="{00000000-0005-0000-0000-0000BE000000}"/>
    <cellStyle name="R00B" xfId="191" xr:uid="{00000000-0005-0000-0000-0000BF000000}"/>
    <cellStyle name="R00L" xfId="192" xr:uid="{00000000-0005-0000-0000-0000C0000000}"/>
    <cellStyle name="R01A" xfId="193" xr:uid="{00000000-0005-0000-0000-0000C1000000}"/>
    <cellStyle name="R01B" xfId="194" xr:uid="{00000000-0005-0000-0000-0000C2000000}"/>
    <cellStyle name="R01H" xfId="195" xr:uid="{00000000-0005-0000-0000-0000C3000000}"/>
    <cellStyle name="R01L" xfId="196" xr:uid="{00000000-0005-0000-0000-0000C4000000}"/>
    <cellStyle name="R02A" xfId="197" xr:uid="{00000000-0005-0000-0000-0000C5000000}"/>
    <cellStyle name="R02B" xfId="198" xr:uid="{00000000-0005-0000-0000-0000C6000000}"/>
    <cellStyle name="R02H" xfId="199" xr:uid="{00000000-0005-0000-0000-0000C7000000}"/>
    <cellStyle name="R02L" xfId="200" xr:uid="{00000000-0005-0000-0000-0000C8000000}"/>
    <cellStyle name="R03A" xfId="201" xr:uid="{00000000-0005-0000-0000-0000C9000000}"/>
    <cellStyle name="R03B" xfId="202" xr:uid="{00000000-0005-0000-0000-0000CA000000}"/>
    <cellStyle name="R03H" xfId="203" xr:uid="{00000000-0005-0000-0000-0000CB000000}"/>
    <cellStyle name="R03L" xfId="204" xr:uid="{00000000-0005-0000-0000-0000CC000000}"/>
    <cellStyle name="R04A" xfId="205" xr:uid="{00000000-0005-0000-0000-0000CD000000}"/>
    <cellStyle name="R04B" xfId="206" xr:uid="{00000000-0005-0000-0000-0000CE000000}"/>
    <cellStyle name="R04H" xfId="207" xr:uid="{00000000-0005-0000-0000-0000CF000000}"/>
    <cellStyle name="R04L" xfId="208" xr:uid="{00000000-0005-0000-0000-0000D0000000}"/>
    <cellStyle name="R05A" xfId="209" xr:uid="{00000000-0005-0000-0000-0000D1000000}"/>
    <cellStyle name="R05B" xfId="210" xr:uid="{00000000-0005-0000-0000-0000D2000000}"/>
    <cellStyle name="R05H" xfId="211" xr:uid="{00000000-0005-0000-0000-0000D3000000}"/>
    <cellStyle name="R05L" xfId="212" xr:uid="{00000000-0005-0000-0000-0000D4000000}"/>
    <cellStyle name="R06A" xfId="213" xr:uid="{00000000-0005-0000-0000-0000D5000000}"/>
    <cellStyle name="R06B" xfId="214" xr:uid="{00000000-0005-0000-0000-0000D6000000}"/>
    <cellStyle name="R06H" xfId="215" xr:uid="{00000000-0005-0000-0000-0000D7000000}"/>
    <cellStyle name="R06L" xfId="216" xr:uid="{00000000-0005-0000-0000-0000D8000000}"/>
    <cellStyle name="R07A" xfId="217" xr:uid="{00000000-0005-0000-0000-0000D9000000}"/>
    <cellStyle name="R07B" xfId="218" xr:uid="{00000000-0005-0000-0000-0000DA000000}"/>
    <cellStyle name="R07H" xfId="219" xr:uid="{00000000-0005-0000-0000-0000DB000000}"/>
    <cellStyle name="R07L" xfId="220" xr:uid="{00000000-0005-0000-0000-0000DC000000}"/>
    <cellStyle name="Resource Detail" xfId="221" xr:uid="{00000000-0005-0000-0000-0000DD000000}"/>
    <cellStyle name="Shade" xfId="222" xr:uid="{00000000-0005-0000-0000-0000DE000000}"/>
    <cellStyle name="single acct" xfId="223" xr:uid="{00000000-0005-0000-0000-0000DF000000}"/>
    <cellStyle name="Single Border" xfId="224" xr:uid="{00000000-0005-0000-0000-0000E0000000}"/>
    <cellStyle name="Small Page Heading" xfId="225" xr:uid="{00000000-0005-0000-0000-0000E1000000}"/>
    <cellStyle name="ssn" xfId="226" xr:uid="{00000000-0005-0000-0000-0000E2000000}"/>
    <cellStyle name="Style 1" xfId="227" xr:uid="{00000000-0005-0000-0000-0000E3000000}"/>
    <cellStyle name="Style 2" xfId="228" xr:uid="{00000000-0005-0000-0000-0000E4000000}"/>
    <cellStyle name="Style 27" xfId="229" xr:uid="{00000000-0005-0000-0000-0000E5000000}"/>
    <cellStyle name="Style 28" xfId="230" xr:uid="{00000000-0005-0000-0000-0000E6000000}"/>
    <cellStyle name="Table Sub Heading" xfId="231" xr:uid="{00000000-0005-0000-0000-0000E7000000}"/>
    <cellStyle name="Table Title" xfId="232" xr:uid="{00000000-0005-0000-0000-0000E8000000}"/>
    <cellStyle name="Table Units" xfId="233" xr:uid="{00000000-0005-0000-0000-0000E9000000}"/>
    <cellStyle name="Theirs" xfId="234" xr:uid="{00000000-0005-0000-0000-0000EA000000}"/>
    <cellStyle name="Times New Roman" xfId="235" xr:uid="{00000000-0005-0000-0000-0000EB000000}"/>
    <cellStyle name="Title" xfId="236" builtinId="15" customBuiltin="1"/>
    <cellStyle name="Title 2" xfId="237" xr:uid="{00000000-0005-0000-0000-0000ED000000}"/>
    <cellStyle name="Total" xfId="238" builtinId="25" customBuiltin="1"/>
    <cellStyle name="Total 2" xfId="239" xr:uid="{00000000-0005-0000-0000-0000EF000000}"/>
    <cellStyle name="Unprot" xfId="240" xr:uid="{00000000-0005-0000-0000-0000F0000000}"/>
    <cellStyle name="Unprot$" xfId="241" xr:uid="{00000000-0005-0000-0000-0000F1000000}"/>
    <cellStyle name="Unprotect" xfId="242" xr:uid="{00000000-0005-0000-0000-0000F2000000}"/>
    <cellStyle name="Warning Text" xfId="243" builtinId="11" customBuiltin="1"/>
    <cellStyle name="Warning Text 2" xfId="244" xr:uid="{00000000-0005-0000-0000-0000F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6"/>
  <sheetViews>
    <sheetView tabSelected="1" workbookViewId="0">
      <selection activeCell="L14" sqref="L14"/>
    </sheetView>
  </sheetViews>
  <sheetFormatPr defaultColWidth="7.109375" defaultRowHeight="12.75"/>
  <cols>
    <col min="1" max="1" width="3.88671875" style="38" customWidth="1"/>
    <col min="2" max="2" width="7.109375" style="2" customWidth="1"/>
    <col min="3" max="3" width="6.88671875" style="2" customWidth="1"/>
    <col min="4" max="4" width="11.5546875" style="2" customWidth="1"/>
    <col min="5" max="5" width="11.5546875" style="2" bestFit="1" customWidth="1"/>
    <col min="6" max="6" width="12.109375" style="2" customWidth="1"/>
    <col min="7" max="7" width="8.88671875" style="2" bestFit="1" customWidth="1"/>
    <col min="8" max="8" width="9.5546875" style="2" bestFit="1" customWidth="1"/>
    <col min="9" max="9" width="7.109375" style="2" customWidth="1"/>
    <col min="10" max="10" width="8.88671875" style="2" bestFit="1" customWidth="1"/>
    <col min="11" max="11" width="7.109375" style="2" customWidth="1"/>
    <col min="12" max="12" width="11.44140625" style="2" customWidth="1"/>
    <col min="13" max="16384" width="7.109375" style="2"/>
  </cols>
  <sheetData>
    <row r="1" spans="1:11">
      <c r="H1" s="39" t="s">
        <v>454</v>
      </c>
    </row>
    <row r="3" spans="1:11" ht="15" customHeight="1">
      <c r="A3" s="272" t="s">
        <v>360</v>
      </c>
      <c r="B3" s="272"/>
      <c r="C3" s="272"/>
      <c r="D3" s="272"/>
      <c r="E3" s="272"/>
      <c r="F3" s="272"/>
      <c r="G3" s="272"/>
      <c r="H3" s="272"/>
    </row>
    <row r="4" spans="1:11" ht="15" customHeight="1">
      <c r="A4" s="272" t="s">
        <v>77</v>
      </c>
      <c r="B4" s="272"/>
      <c r="C4" s="272"/>
      <c r="D4" s="272"/>
      <c r="E4" s="272"/>
      <c r="F4" s="272"/>
      <c r="G4" s="272"/>
      <c r="H4" s="272"/>
    </row>
    <row r="6" spans="1:11">
      <c r="A6" s="35" t="s">
        <v>70</v>
      </c>
    </row>
    <row r="8" spans="1:11">
      <c r="A8" s="38">
        <v>1</v>
      </c>
      <c r="B8" s="2" t="s">
        <v>114</v>
      </c>
      <c r="H8" s="41">
        <v>1081814</v>
      </c>
    </row>
    <row r="10" spans="1:11" ht="39" thickBot="1">
      <c r="D10" s="42" t="str">
        <f>+B20</f>
        <v>Entity</v>
      </c>
      <c r="E10" s="43"/>
      <c r="F10" s="25" t="s">
        <v>164</v>
      </c>
      <c r="G10" s="42" t="s">
        <v>254</v>
      </c>
      <c r="H10" s="25" t="s">
        <v>362</v>
      </c>
    </row>
    <row r="11" spans="1:11">
      <c r="D11" s="38"/>
      <c r="F11" s="44"/>
      <c r="G11" s="38"/>
      <c r="H11" s="44"/>
    </row>
    <row r="12" spans="1:11">
      <c r="A12" s="38">
        <v>2</v>
      </c>
      <c r="D12" s="2" t="s">
        <v>363</v>
      </c>
      <c r="F12" s="45">
        <f>+L22</f>
        <v>31.367660721048708</v>
      </c>
      <c r="G12" s="46">
        <f>+F12/F$15</f>
        <v>0.62498827876867047</v>
      </c>
      <c r="H12" s="41">
        <f>+H$8*G12</f>
        <v>676121.06980785052</v>
      </c>
      <c r="J12" s="47"/>
      <c r="K12" s="48"/>
    </row>
    <row r="13" spans="1:11">
      <c r="A13" s="38">
        <v>3</v>
      </c>
      <c r="D13" s="2" t="s">
        <v>364</v>
      </c>
      <c r="F13" s="49">
        <f>+L23</f>
        <v>16.673426147222379</v>
      </c>
      <c r="G13" s="46">
        <f>+F13/F$15</f>
        <v>0.33221144546288839</v>
      </c>
      <c r="H13" s="41">
        <f>+H$8*G13</f>
        <v>359390.99266198912</v>
      </c>
      <c r="J13" s="50"/>
      <c r="K13" s="48"/>
    </row>
    <row r="14" spans="1:11" ht="13.5" thickBot="1">
      <c r="A14" s="38">
        <v>4</v>
      </c>
      <c r="D14" s="43" t="s">
        <v>365</v>
      </c>
      <c r="E14" s="43"/>
      <c r="F14" s="51">
        <f>+L24</f>
        <v>2.1481115321343611</v>
      </c>
      <c r="G14" s="52">
        <f>+F14/F$15</f>
        <v>4.2800275768441205E-2</v>
      </c>
      <c r="H14" s="53">
        <f>+H$8*G14</f>
        <v>46301.937530160452</v>
      </c>
      <c r="J14" s="50"/>
      <c r="K14" s="48"/>
    </row>
    <row r="15" spans="1:11">
      <c r="A15" s="38">
        <v>5</v>
      </c>
      <c r="D15" s="2" t="s">
        <v>198</v>
      </c>
      <c r="F15" s="49">
        <f>SUM(F12:F14)</f>
        <v>50.189198400405445</v>
      </c>
      <c r="G15" s="54">
        <f>+F15/F$15</f>
        <v>1</v>
      </c>
      <c r="H15" s="55">
        <f>SUM(H12:H14)</f>
        <v>1081814</v>
      </c>
      <c r="J15" s="47"/>
    </row>
    <row r="18" spans="1:18">
      <c r="A18" s="35" t="s">
        <v>366</v>
      </c>
      <c r="E18" s="35" t="s">
        <v>455</v>
      </c>
    </row>
    <row r="20" spans="1:18" ht="39" thickBot="1">
      <c r="B20" s="43" t="s">
        <v>367</v>
      </c>
      <c r="C20" s="43"/>
      <c r="D20" s="25" t="s">
        <v>165</v>
      </c>
      <c r="E20" s="25" t="s">
        <v>167</v>
      </c>
      <c r="F20" s="25" t="s">
        <v>368</v>
      </c>
      <c r="G20" s="25" t="s">
        <v>462</v>
      </c>
      <c r="H20" s="25" t="s">
        <v>309</v>
      </c>
      <c r="Q20" s="113"/>
    </row>
    <row r="21" spans="1:18">
      <c r="M21" s="2" t="s">
        <v>392</v>
      </c>
      <c r="Q21" s="113"/>
    </row>
    <row r="22" spans="1:18">
      <c r="A22" s="38">
        <v>6</v>
      </c>
      <c r="B22" s="2" t="str">
        <f>+D12</f>
        <v>Black Hills</v>
      </c>
      <c r="D22" s="23">
        <f>'True-Up'!J116</f>
        <v>31007775.920503251</v>
      </c>
      <c r="E22" s="55">
        <f>-H12</f>
        <v>-676121.06980785052</v>
      </c>
      <c r="F22" s="55">
        <f>+E22+D22</f>
        <v>30331654.850695401</v>
      </c>
      <c r="G22" s="1">
        <f>+'WP7 CU AC LOADS'!J24*1000</f>
        <v>966972.16666666651</v>
      </c>
      <c r="H22" s="57">
        <f>+F22/G22</f>
        <v>31.367660721046683</v>
      </c>
      <c r="J22" s="270" t="s">
        <v>119</v>
      </c>
      <c r="L22" s="271">
        <v>31.367660721048708</v>
      </c>
      <c r="M22" s="2" t="s">
        <v>393</v>
      </c>
      <c r="Q22" s="113"/>
      <c r="R22" s="57"/>
    </row>
    <row r="23" spans="1:18">
      <c r="A23" s="38">
        <v>7</v>
      </c>
      <c r="B23" s="2" t="str">
        <f>+D13</f>
        <v>Basin Electric</v>
      </c>
      <c r="D23" s="91">
        <v>16482130</v>
      </c>
      <c r="E23" s="55">
        <f>-H13</f>
        <v>-359390.99266198912</v>
      </c>
      <c r="F23" s="55">
        <f>+E23+D23</f>
        <v>16122739.007338012</v>
      </c>
      <c r="G23" s="26">
        <f>+G22</f>
        <v>966972.16666666651</v>
      </c>
      <c r="H23" s="57">
        <f>+F23/G23</f>
        <v>16.673426147224177</v>
      </c>
      <c r="J23" s="270" t="s">
        <v>119</v>
      </c>
      <c r="L23" s="271">
        <v>16.673426147222379</v>
      </c>
      <c r="M23" s="2" t="s">
        <v>394</v>
      </c>
      <c r="Q23" s="113"/>
      <c r="R23" s="57"/>
    </row>
    <row r="24" spans="1:18" ht="13.5" thickBot="1">
      <c r="A24" s="38">
        <v>8</v>
      </c>
      <c r="B24" s="43" t="str">
        <f>+D14</f>
        <v>PRECorp</v>
      </c>
      <c r="C24" s="43"/>
      <c r="D24" s="92">
        <v>2123466</v>
      </c>
      <c r="E24" s="56">
        <f>-H14</f>
        <v>-46301.937530160452</v>
      </c>
      <c r="F24" s="56">
        <f>+E24+D24</f>
        <v>2077164.0624698396</v>
      </c>
      <c r="G24" s="27">
        <f>+G23</f>
        <v>966972.16666666651</v>
      </c>
      <c r="H24" s="96">
        <f>+F24/G24</f>
        <v>2.1481115321345925</v>
      </c>
      <c r="J24" s="270" t="s">
        <v>119</v>
      </c>
      <c r="L24" s="271">
        <v>2.1481115321343611</v>
      </c>
      <c r="M24" s="2" t="s">
        <v>395</v>
      </c>
      <c r="Q24" s="113"/>
      <c r="R24" s="57"/>
    </row>
    <row r="25" spans="1:18">
      <c r="A25" s="38">
        <v>9</v>
      </c>
      <c r="B25" s="2" t="s">
        <v>198</v>
      </c>
      <c r="D25" s="55">
        <f>SUM(D22:D24)</f>
        <v>49613371.920503251</v>
      </c>
      <c r="E25" s="55">
        <f>SUM(E22:E24)</f>
        <v>-1081814</v>
      </c>
      <c r="F25" s="55">
        <f>SUM(F22:F24)</f>
        <v>48531557.920503251</v>
      </c>
      <c r="H25" s="57">
        <f>SUM(H22:H24)</f>
        <v>50.189198400405452</v>
      </c>
      <c r="Q25" s="113"/>
    </row>
    <row r="26" spans="1:18">
      <c r="F26" s="55"/>
      <c r="G26" s="26"/>
      <c r="H26" s="57"/>
      <c r="Q26" s="113"/>
    </row>
    <row r="27" spans="1:18">
      <c r="A27" s="35" t="s">
        <v>369</v>
      </c>
    </row>
    <row r="28" spans="1:18">
      <c r="A28" s="38">
        <v>10</v>
      </c>
      <c r="D28" s="2" t="s">
        <v>370</v>
      </c>
      <c r="F28" s="45">
        <f>+H25</f>
        <v>50.189198400405452</v>
      </c>
      <c r="G28" s="58" t="s">
        <v>371</v>
      </c>
    </row>
    <row r="29" spans="1:18">
      <c r="A29" s="38">
        <f t="shared" ref="A29:A34" si="0">+A28+1</f>
        <v>11</v>
      </c>
      <c r="D29" s="2" t="s">
        <v>372</v>
      </c>
      <c r="F29" s="45">
        <f>ROUND(F28/12,2)</f>
        <v>4.18</v>
      </c>
      <c r="G29" s="58" t="s">
        <v>373</v>
      </c>
    </row>
    <row r="30" spans="1:18">
      <c r="A30" s="38">
        <f t="shared" si="0"/>
        <v>12</v>
      </c>
      <c r="D30" s="2" t="s">
        <v>374</v>
      </c>
      <c r="F30" s="45">
        <f>ROUND(F28/52,2)</f>
        <v>0.97</v>
      </c>
      <c r="G30" s="58" t="s">
        <v>375</v>
      </c>
    </row>
    <row r="31" spans="1:18">
      <c r="A31" s="38">
        <f t="shared" si="0"/>
        <v>13</v>
      </c>
      <c r="D31" s="2" t="s">
        <v>376</v>
      </c>
      <c r="E31" s="2" t="s">
        <v>377</v>
      </c>
      <c r="F31" s="59">
        <f>+F30/6</f>
        <v>0.16166666666666665</v>
      </c>
      <c r="G31" s="58" t="s">
        <v>378</v>
      </c>
    </row>
    <row r="32" spans="1:18">
      <c r="A32" s="38">
        <f t="shared" si="0"/>
        <v>14</v>
      </c>
      <c r="D32" s="2" t="s">
        <v>379</v>
      </c>
      <c r="E32" s="2" t="s">
        <v>380</v>
      </c>
      <c r="F32" s="59">
        <f>+F30/7</f>
        <v>0.13857142857142857</v>
      </c>
      <c r="G32" s="58" t="s">
        <v>378</v>
      </c>
    </row>
    <row r="33" spans="1:7">
      <c r="A33" s="38">
        <f t="shared" si="0"/>
        <v>15</v>
      </c>
      <c r="D33" s="2" t="s">
        <v>381</v>
      </c>
      <c r="E33" s="2" t="s">
        <v>382</v>
      </c>
      <c r="F33" s="60">
        <f>+F31/16</f>
        <v>1.0104166666666666E-2</v>
      </c>
      <c r="G33" s="58" t="s">
        <v>383</v>
      </c>
    </row>
    <row r="34" spans="1:7">
      <c r="A34" s="38">
        <f t="shared" si="0"/>
        <v>16</v>
      </c>
      <c r="D34" s="2" t="s">
        <v>384</v>
      </c>
      <c r="E34" s="2" t="s">
        <v>385</v>
      </c>
      <c r="F34" s="60">
        <f>+F32/24</f>
        <v>5.7738095238095239E-3</v>
      </c>
      <c r="G34" s="58" t="s">
        <v>383</v>
      </c>
    </row>
    <row r="40" spans="1:7">
      <c r="A40" s="35" t="s">
        <v>386</v>
      </c>
    </row>
    <row r="42" spans="1:7">
      <c r="B42" s="2" t="str">
        <f>+D20</f>
        <v>Component Annual Revenue Requirements</v>
      </c>
      <c r="E42" s="55">
        <f>+D25</f>
        <v>49613371.920503251</v>
      </c>
    </row>
    <row r="43" spans="1:7">
      <c r="B43" s="2" t="s">
        <v>361</v>
      </c>
      <c r="E43" s="55">
        <f>+E25</f>
        <v>-1081814</v>
      </c>
    </row>
    <row r="44" spans="1:7">
      <c r="B44" s="2" t="str">
        <f>+F20</f>
        <v>Net Revenue Requirements</v>
      </c>
      <c r="E44" s="55">
        <f>+F25</f>
        <v>48531557.920503251</v>
      </c>
    </row>
    <row r="45" spans="1:7">
      <c r="B45" s="2" t="str">
        <f>+G20</f>
        <v>Actual 2023 Load</v>
      </c>
      <c r="E45" s="26">
        <f>+G22</f>
        <v>966972.16666666651</v>
      </c>
    </row>
    <row r="46" spans="1:7">
      <c r="B46" s="2" t="str">
        <f>+H20</f>
        <v>Annual Rate</v>
      </c>
      <c r="E46" s="45">
        <f>+E44/E45</f>
        <v>50.189198400405452</v>
      </c>
    </row>
  </sheetData>
  <mergeCells count="2">
    <mergeCell ref="A3:H3"/>
    <mergeCell ref="A4:H4"/>
  </mergeCells>
  <phoneticPr fontId="20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239"/>
  <sheetViews>
    <sheetView topLeftCell="A92" zoomScale="80" zoomScaleNormal="80" workbookViewId="0">
      <selection activeCell="J118" sqref="J118"/>
    </sheetView>
  </sheetViews>
  <sheetFormatPr defaultRowHeight="15"/>
  <cols>
    <col min="1" max="1" width="6" customWidth="1"/>
    <col min="2" max="2" width="1.44140625" customWidth="1"/>
    <col min="3" max="3" width="41.109375" customWidth="1"/>
    <col min="4" max="4" width="34.5546875" customWidth="1"/>
    <col min="5" max="5" width="15.109375" customWidth="1"/>
    <col min="6" max="6" width="7.88671875" customWidth="1"/>
    <col min="7" max="7" width="11.88671875" bestFit="1" customWidth="1"/>
    <col min="8" max="8" width="14" customWidth="1"/>
    <col min="9" max="9" width="4.88671875" customWidth="1"/>
    <col min="10" max="10" width="16.33203125" bestFit="1" customWidth="1"/>
    <col min="11" max="11" width="0.109375" customWidth="1"/>
    <col min="12" max="12" width="14.44140625" bestFit="1" customWidth="1"/>
    <col min="13" max="13" width="13.44140625" bestFit="1" customWidth="1"/>
    <col min="14" max="15" width="14.44140625" bestFit="1" customWidth="1"/>
  </cols>
  <sheetData>
    <row r="1" spans="1:40">
      <c r="I1" s="114" t="s">
        <v>417</v>
      </c>
      <c r="J1" s="115">
        <v>45443</v>
      </c>
    </row>
    <row r="2" spans="1:40" ht="15.75">
      <c r="A2" s="116"/>
      <c r="B2" s="116"/>
      <c r="C2" s="116"/>
      <c r="D2" s="117"/>
      <c r="E2" s="116"/>
      <c r="F2" s="116"/>
      <c r="G2" s="116"/>
      <c r="I2" s="118" t="s">
        <v>166</v>
      </c>
      <c r="J2" s="119">
        <v>2023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</row>
    <row r="3" spans="1:40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5" customHeight="1">
      <c r="A4" s="273" t="s">
        <v>321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5.75">
      <c r="A5" s="274" t="s">
        <v>195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</row>
    <row r="6" spans="1:40">
      <c r="A6" s="116"/>
      <c r="B6" s="116"/>
      <c r="C6" s="119"/>
      <c r="D6" s="119"/>
      <c r="F6" s="119"/>
      <c r="G6" s="119"/>
      <c r="H6" s="119"/>
      <c r="I6" s="119"/>
      <c r="J6" s="119"/>
      <c r="K6" s="119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</row>
    <row r="7" spans="1:40" ht="15" customHeight="1">
      <c r="A7" s="275" t="s">
        <v>320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</row>
    <row r="8" spans="1:40">
      <c r="A8" s="124"/>
      <c r="B8" s="116"/>
      <c r="C8" s="119"/>
      <c r="D8" s="119"/>
      <c r="E8" s="125"/>
      <c r="F8" s="119"/>
      <c r="G8" s="119"/>
      <c r="H8" s="119"/>
      <c r="I8" s="119"/>
      <c r="J8" s="119"/>
      <c r="K8" s="119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</row>
    <row r="9" spans="1:40">
      <c r="A9" s="116"/>
      <c r="B9" s="116"/>
      <c r="C9" s="126" t="s">
        <v>201</v>
      </c>
      <c r="D9" s="126" t="s">
        <v>202</v>
      </c>
      <c r="E9" s="126" t="s">
        <v>203</v>
      </c>
      <c r="F9" s="127" t="s">
        <v>194</v>
      </c>
      <c r="G9" s="127"/>
      <c r="H9" s="128" t="s">
        <v>204</v>
      </c>
      <c r="I9" s="127"/>
      <c r="J9" s="129" t="s">
        <v>205</v>
      </c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ht="15.75">
      <c r="A10" s="116"/>
      <c r="B10" s="116"/>
      <c r="C10" s="119"/>
      <c r="D10" s="122" t="s">
        <v>206</v>
      </c>
      <c r="E10" s="127"/>
      <c r="F10" s="127"/>
      <c r="G10" s="130" t="s">
        <v>93</v>
      </c>
      <c r="H10" s="124"/>
      <c r="I10" s="127"/>
      <c r="J10" s="121" t="s">
        <v>207</v>
      </c>
      <c r="K10" s="127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</row>
    <row r="11" spans="1:40" ht="15.75">
      <c r="A11" s="124" t="s">
        <v>196</v>
      </c>
      <c r="B11" s="116"/>
      <c r="C11" s="119"/>
      <c r="D11" s="131" t="s">
        <v>208</v>
      </c>
      <c r="E11" s="121" t="s">
        <v>209</v>
      </c>
      <c r="F11" s="132"/>
      <c r="G11" s="133" t="s">
        <v>83</v>
      </c>
      <c r="H11" s="134"/>
      <c r="I11" s="132"/>
      <c r="J11" s="124" t="s">
        <v>210</v>
      </c>
      <c r="K11" s="127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</row>
    <row r="12" spans="1:40" ht="16.5" thickBot="1">
      <c r="A12" s="135" t="s">
        <v>197</v>
      </c>
      <c r="B12" s="116"/>
      <c r="C12" s="136" t="s">
        <v>211</v>
      </c>
      <c r="D12" s="127"/>
      <c r="E12" s="127"/>
      <c r="F12" s="127"/>
      <c r="G12" s="127"/>
      <c r="H12" s="127"/>
      <c r="I12" s="127"/>
      <c r="J12" s="127"/>
      <c r="K12" s="127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</row>
    <row r="13" spans="1:40">
      <c r="A13" s="124"/>
      <c r="B13" s="116"/>
      <c r="C13" s="119"/>
      <c r="D13" s="127"/>
      <c r="E13" s="127"/>
      <c r="F13" s="127"/>
      <c r="G13" s="127"/>
      <c r="H13" s="127"/>
      <c r="I13" s="127"/>
      <c r="J13" s="127"/>
      <c r="K13" s="127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</row>
    <row r="14" spans="1:40">
      <c r="A14" s="124"/>
      <c r="B14" s="116"/>
      <c r="C14" s="119" t="s">
        <v>212</v>
      </c>
      <c r="D14" s="127" t="s">
        <v>418</v>
      </c>
      <c r="E14" s="127"/>
      <c r="F14" s="127"/>
      <c r="G14" s="127"/>
      <c r="H14" s="127"/>
      <c r="I14" s="127"/>
      <c r="J14" s="127"/>
      <c r="K14" s="127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</row>
    <row r="15" spans="1:40">
      <c r="A15" s="124">
        <v>1</v>
      </c>
      <c r="B15" s="116"/>
      <c r="C15" s="119" t="s">
        <v>213</v>
      </c>
      <c r="D15" s="127" t="s">
        <v>73</v>
      </c>
      <c r="E15" s="127">
        <f>+'WP6 Rate Base'!R15</f>
        <v>716238937.44461548</v>
      </c>
      <c r="F15" s="127"/>
      <c r="G15" s="127" t="s">
        <v>214</v>
      </c>
      <c r="H15" s="137" t="s">
        <v>194</v>
      </c>
      <c r="I15" s="127"/>
      <c r="J15" s="127" t="s">
        <v>194</v>
      </c>
      <c r="K15" s="127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</row>
    <row r="16" spans="1:40">
      <c r="A16" s="124">
        <f>+A15+1</f>
        <v>2</v>
      </c>
      <c r="B16" s="116"/>
      <c r="C16" s="119" t="s">
        <v>215</v>
      </c>
      <c r="D16" s="127" t="s">
        <v>120</v>
      </c>
      <c r="E16" s="127">
        <f>+'WP6 Rate Base'!R16</f>
        <v>294149455.37211871</v>
      </c>
      <c r="F16" s="127"/>
      <c r="G16" s="127" t="s">
        <v>200</v>
      </c>
      <c r="H16" s="137">
        <f>+J144</f>
        <v>0.869004</v>
      </c>
      <c r="I16" s="127"/>
      <c r="J16" s="127">
        <f>+H16*E16</f>
        <v>255617053.31619266</v>
      </c>
      <c r="K16" s="127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</row>
    <row r="17" spans="1:40">
      <c r="A17" s="124">
        <f t="shared" ref="A17:A63" si="0">+A16+1</f>
        <v>3</v>
      </c>
      <c r="B17" s="116"/>
      <c r="C17" s="119" t="s">
        <v>216</v>
      </c>
      <c r="D17" s="127" t="s">
        <v>121</v>
      </c>
      <c r="E17" s="127">
        <f>+'WP6 Rate Base'!R17</f>
        <v>527070118.44801736</v>
      </c>
      <c r="F17" s="127"/>
      <c r="G17" s="127" t="s">
        <v>214</v>
      </c>
      <c r="H17" s="138"/>
      <c r="I17" s="127"/>
      <c r="J17" s="127"/>
      <c r="K17" s="127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</row>
    <row r="18" spans="1:40">
      <c r="A18" s="124">
        <f t="shared" si="0"/>
        <v>4</v>
      </c>
      <c r="B18" s="116"/>
      <c r="C18" s="119" t="s">
        <v>217</v>
      </c>
      <c r="D18" s="127" t="s">
        <v>419</v>
      </c>
      <c r="E18" s="127">
        <f>+'WP6 Rate Base'!R18</f>
        <v>67377328.953846157</v>
      </c>
      <c r="F18" s="127"/>
      <c r="G18" s="127" t="s">
        <v>218</v>
      </c>
      <c r="H18" s="137">
        <f>J176</f>
        <v>0.11151833703684451</v>
      </c>
      <c r="I18" s="127"/>
      <c r="J18" s="127">
        <f>+H18*E18</f>
        <v>7513807.6789173577</v>
      </c>
      <c r="K18" s="127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</row>
    <row r="19" spans="1:40">
      <c r="A19" s="124">
        <f t="shared" si="0"/>
        <v>5</v>
      </c>
      <c r="B19" s="116"/>
      <c r="C19" s="119" t="s">
        <v>137</v>
      </c>
      <c r="D19" s="127" t="s">
        <v>420</v>
      </c>
      <c r="E19" s="127">
        <f>+'WP6 Rate Base'!R19</f>
        <v>29620774.846153848</v>
      </c>
      <c r="F19" s="127"/>
      <c r="G19" s="127" t="s">
        <v>218</v>
      </c>
      <c r="H19" s="137">
        <f>+H18</f>
        <v>0.11151833703684451</v>
      </c>
      <c r="I19" s="127"/>
      <c r="J19" s="127">
        <f>+H19*E19</f>
        <v>3303259.552585871</v>
      </c>
      <c r="K19" s="127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</row>
    <row r="20" spans="1:40">
      <c r="A20" s="124">
        <f t="shared" si="0"/>
        <v>6</v>
      </c>
      <c r="B20" s="116"/>
      <c r="C20" s="119" t="s">
        <v>102</v>
      </c>
      <c r="D20" s="127" t="s">
        <v>419</v>
      </c>
      <c r="E20" s="127">
        <f>+'WP6 Rate Base'!R20</f>
        <v>7060052.8130769245</v>
      </c>
      <c r="F20" s="127"/>
      <c r="G20" s="127" t="s">
        <v>131</v>
      </c>
      <c r="H20" s="137">
        <f>+J182</f>
        <v>0.35602080256231372</v>
      </c>
      <c r="I20" s="127"/>
      <c r="J20" s="127">
        <f>+H20*E20</f>
        <v>2513525.6686439672</v>
      </c>
      <c r="K20" s="127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spans="1:40" ht="15.75" thickBot="1">
      <c r="A21" s="124">
        <f t="shared" si="0"/>
        <v>7</v>
      </c>
      <c r="B21" s="116"/>
      <c r="C21" s="119" t="s">
        <v>219</v>
      </c>
      <c r="D21" s="127" t="s">
        <v>220</v>
      </c>
      <c r="E21" s="139">
        <f>+'WP6 Rate Base'!R21</f>
        <v>0</v>
      </c>
      <c r="F21" s="127"/>
      <c r="G21" s="127" t="s">
        <v>251</v>
      </c>
      <c r="H21" s="137">
        <v>0</v>
      </c>
      <c r="I21" s="127"/>
      <c r="J21" s="139">
        <f>+H21*E21</f>
        <v>0</v>
      </c>
      <c r="K21" s="127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</row>
    <row r="22" spans="1:40">
      <c r="A22" s="124">
        <f t="shared" si="0"/>
        <v>8</v>
      </c>
      <c r="B22" s="116"/>
      <c r="C22" s="140" t="s">
        <v>5</v>
      </c>
      <c r="D22" s="127" t="str">
        <f>"(sum lines "&amp;A15&amp;" - "&amp;A21&amp;")"</f>
        <v>(sum lines 1 - 7)</v>
      </c>
      <c r="E22" s="127">
        <f>SUM(E15:E21)</f>
        <v>1641516667.8778284</v>
      </c>
      <c r="F22" s="127"/>
      <c r="G22" s="127" t="s">
        <v>221</v>
      </c>
      <c r="H22" s="141">
        <f>IF(E22&gt;0,+J22/E22,0)</f>
        <v>0.16384094750864664</v>
      </c>
      <c r="I22" s="127"/>
      <c r="J22" s="127">
        <f>SUM(J15:J21)</f>
        <v>268947646.21633983</v>
      </c>
      <c r="K22" s="127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</row>
    <row r="23" spans="1:40">
      <c r="A23" s="124">
        <f t="shared" si="0"/>
        <v>9</v>
      </c>
      <c r="B23" s="116"/>
      <c r="C23" s="119"/>
      <c r="D23" s="127"/>
      <c r="E23" s="127"/>
      <c r="F23" s="127"/>
      <c r="G23" s="127"/>
      <c r="H23" s="141"/>
      <c r="I23" s="127"/>
      <c r="J23" s="127"/>
      <c r="K23" s="127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</row>
    <row r="24" spans="1:40">
      <c r="A24" s="124">
        <f t="shared" si="0"/>
        <v>10</v>
      </c>
      <c r="B24" s="116"/>
      <c r="C24" s="119" t="s">
        <v>222</v>
      </c>
      <c r="D24" s="127" t="s">
        <v>418</v>
      </c>
      <c r="E24" s="127"/>
      <c r="F24" s="127"/>
      <c r="G24" s="127"/>
      <c r="H24" s="127"/>
      <c r="I24" s="127"/>
      <c r="J24" s="127"/>
      <c r="K24" s="127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</row>
    <row r="25" spans="1:40">
      <c r="A25" s="124">
        <f t="shared" si="0"/>
        <v>11</v>
      </c>
      <c r="B25" s="116"/>
      <c r="C25" s="119" t="str">
        <f>+C15</f>
        <v xml:space="preserve">  Production</v>
      </c>
      <c r="D25" s="127" t="s">
        <v>407</v>
      </c>
      <c r="E25" s="127">
        <f>+'WP6 Rate Base'!R25</f>
        <v>245542161.56769231</v>
      </c>
      <c r="F25" s="127"/>
      <c r="G25" s="127" t="str">
        <f>+G15</f>
        <v>NA</v>
      </c>
      <c r="H25" s="137" t="str">
        <f>+H15</f>
        <v xml:space="preserve"> </v>
      </c>
      <c r="I25" s="127"/>
      <c r="J25" s="127" t="s">
        <v>194</v>
      </c>
      <c r="K25" s="127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</row>
    <row r="26" spans="1:40">
      <c r="A26" s="124">
        <f t="shared" si="0"/>
        <v>12</v>
      </c>
      <c r="B26" s="116"/>
      <c r="C26" s="119" t="s">
        <v>215</v>
      </c>
      <c r="D26" s="127" t="s">
        <v>122</v>
      </c>
      <c r="E26" s="127">
        <f>+'WP6 Rate Base'!R26</f>
        <v>46318613.748470955</v>
      </c>
      <c r="F26" s="127"/>
      <c r="G26" s="127" t="s">
        <v>80</v>
      </c>
      <c r="H26" s="137">
        <f>+J162</f>
        <v>0.78569999999999995</v>
      </c>
      <c r="I26" s="127"/>
      <c r="J26" s="127">
        <f>+H26*E26</f>
        <v>36392534.822173625</v>
      </c>
      <c r="K26" s="127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</row>
    <row r="27" spans="1:40">
      <c r="A27" s="124">
        <f t="shared" si="0"/>
        <v>13</v>
      </c>
      <c r="B27" s="116"/>
      <c r="C27" s="119" t="s">
        <v>216</v>
      </c>
      <c r="D27" s="127" t="s">
        <v>123</v>
      </c>
      <c r="E27" s="127">
        <f>+'WP6 Rate Base'!R27</f>
        <v>169975654.74032509</v>
      </c>
      <c r="F27" s="127"/>
      <c r="G27" s="127" t="s">
        <v>214</v>
      </c>
      <c r="H27" s="137"/>
      <c r="I27" s="127"/>
      <c r="J27" s="127"/>
      <c r="K27" s="127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</row>
    <row r="28" spans="1:40">
      <c r="A28" s="124">
        <f t="shared" si="0"/>
        <v>14</v>
      </c>
      <c r="B28" s="116"/>
      <c r="C28" s="119" t="str">
        <f>+C18</f>
        <v xml:space="preserve">  General &amp; Intangible</v>
      </c>
      <c r="D28" s="127" t="s">
        <v>406</v>
      </c>
      <c r="E28" s="127">
        <f>+'WP6 Rate Base'!R28</f>
        <v>38402536.622939646</v>
      </c>
      <c r="F28" s="127"/>
      <c r="G28" s="127" t="str">
        <f>+G18</f>
        <v>W/S</v>
      </c>
      <c r="H28" s="137">
        <f>+H18</f>
        <v>0.11151833703684451</v>
      </c>
      <c r="I28" s="127"/>
      <c r="J28" s="127">
        <f>+H28*E28</f>
        <v>4282587.0221867478</v>
      </c>
      <c r="K28" s="127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</row>
    <row r="29" spans="1:40">
      <c r="A29" s="124">
        <f t="shared" si="0"/>
        <v>15</v>
      </c>
      <c r="B29" s="116"/>
      <c r="C29" s="119" t="s">
        <v>137</v>
      </c>
      <c r="D29" s="127" t="s">
        <v>420</v>
      </c>
      <c r="E29" s="127">
        <f>+'WP6 Rate Base'!R29</f>
        <v>9462239.461538462</v>
      </c>
      <c r="F29" s="127"/>
      <c r="G29" s="127" t="str">
        <f>+G19</f>
        <v>W/S</v>
      </c>
      <c r="H29" s="137">
        <f>+H28</f>
        <v>0.11151833703684451</v>
      </c>
      <c r="I29" s="127"/>
      <c r="J29" s="127">
        <f>+H29*E29</f>
        <v>1055213.2093951763</v>
      </c>
      <c r="K29" s="127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1:40">
      <c r="A30" s="124">
        <f t="shared" si="0"/>
        <v>16</v>
      </c>
      <c r="B30" s="116"/>
      <c r="C30" s="119" t="str">
        <f>+C20</f>
        <v xml:space="preserve">  Communication System</v>
      </c>
      <c r="D30" s="127" t="s">
        <v>419</v>
      </c>
      <c r="E30" s="127">
        <f>+'WP6 Rate Base'!R30</f>
        <v>2399910.8707144964</v>
      </c>
      <c r="F30" s="127"/>
      <c r="G30" s="127" t="str">
        <f>+G20</f>
        <v>T&amp;D</v>
      </c>
      <c r="H30" s="137">
        <f>+H20</f>
        <v>0.35602080256231372</v>
      </c>
      <c r="I30" s="127"/>
      <c r="J30" s="127">
        <f>+H30*E30</f>
        <v>854418.19426979613</v>
      </c>
      <c r="K30" s="127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spans="1:40" ht="15.75" thickBot="1">
      <c r="A31" s="124">
        <f t="shared" si="0"/>
        <v>17</v>
      </c>
      <c r="B31" s="116"/>
      <c r="C31" s="119" t="str">
        <f>+C21</f>
        <v xml:space="preserve">  Common</v>
      </c>
      <c r="D31" s="127" t="s">
        <v>220</v>
      </c>
      <c r="E31" s="139">
        <f>+'WP6 Rate Base'!R31</f>
        <v>0</v>
      </c>
      <c r="F31" s="127"/>
      <c r="G31" s="127" t="str">
        <f>+G21</f>
        <v>CE</v>
      </c>
      <c r="H31" s="137">
        <f>+H21</f>
        <v>0</v>
      </c>
      <c r="I31" s="127"/>
      <c r="J31" s="139">
        <f>+H31*E31</f>
        <v>0</v>
      </c>
      <c r="K31" s="127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</row>
    <row r="32" spans="1:40">
      <c r="A32" s="124">
        <f t="shared" si="0"/>
        <v>18</v>
      </c>
      <c r="B32" s="116"/>
      <c r="C32" s="119" t="s">
        <v>7</v>
      </c>
      <c r="D32" s="127" t="str">
        <f>"(sum lines "&amp;A25&amp;" - "&amp;A31&amp;")"</f>
        <v>(sum lines 11 - 17)</v>
      </c>
      <c r="E32" s="127">
        <f>SUM(E25:E31)</f>
        <v>512101117.0116809</v>
      </c>
      <c r="F32" s="127"/>
      <c r="G32" s="127"/>
      <c r="H32" s="127"/>
      <c r="I32" s="127"/>
      <c r="J32" s="127">
        <f>SUM(J25:J31)</f>
        <v>42584753.24802535</v>
      </c>
      <c r="K32" s="12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</row>
    <row r="33" spans="1:40">
      <c r="A33" s="124">
        <f t="shared" si="0"/>
        <v>19</v>
      </c>
      <c r="B33" s="116"/>
      <c r="C33" s="116"/>
      <c r="D33" s="127" t="s">
        <v>194</v>
      </c>
      <c r="E33" s="116"/>
      <c r="F33" s="127"/>
      <c r="G33" s="127"/>
      <c r="H33" s="141"/>
      <c r="I33" s="127"/>
      <c r="J33" s="116"/>
      <c r="K33" s="12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</row>
    <row r="34" spans="1:40">
      <c r="A34" s="124">
        <f t="shared" si="0"/>
        <v>20</v>
      </c>
      <c r="B34" s="116"/>
      <c r="C34" s="119" t="s">
        <v>223</v>
      </c>
      <c r="D34" s="127" t="s">
        <v>418</v>
      </c>
      <c r="E34" s="127"/>
      <c r="F34" s="127"/>
      <c r="G34" s="127"/>
      <c r="H34" s="127"/>
      <c r="I34" s="127"/>
      <c r="J34" s="127"/>
      <c r="K34" s="127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</row>
    <row r="35" spans="1:40">
      <c r="A35" s="124">
        <f t="shared" si="0"/>
        <v>21</v>
      </c>
      <c r="B35" s="116"/>
      <c r="C35" s="119" t="str">
        <f>+C25</f>
        <v xml:space="preserve">  Production</v>
      </c>
      <c r="D35" s="127" t="str">
        <f t="shared" ref="D35:D41" si="1">"(line "&amp;A15&amp;" - line "&amp;A25&amp;")"</f>
        <v>(line 1 - line 11)</v>
      </c>
      <c r="E35" s="127">
        <f t="shared" ref="E35:E42" si="2">E15-E25</f>
        <v>470696775.8769232</v>
      </c>
      <c r="F35" s="127"/>
      <c r="G35" s="127" t="s">
        <v>91</v>
      </c>
      <c r="H35" s="141"/>
      <c r="I35" s="127"/>
      <c r="J35" s="127" t="s">
        <v>194</v>
      </c>
      <c r="K35" s="127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</row>
    <row r="36" spans="1:40">
      <c r="A36" s="124">
        <f t="shared" si="0"/>
        <v>22</v>
      </c>
      <c r="B36" s="116"/>
      <c r="C36" s="119" t="s">
        <v>215</v>
      </c>
      <c r="D36" s="127" t="str">
        <f t="shared" si="1"/>
        <v>(line 2 - line 12)</v>
      </c>
      <c r="E36" s="127">
        <f t="shared" si="2"/>
        <v>247830841.62364775</v>
      </c>
      <c r="F36" s="127"/>
      <c r="G36" s="127" t="s">
        <v>91</v>
      </c>
      <c r="H36" s="137"/>
      <c r="I36" s="127"/>
      <c r="J36" s="127">
        <f>J16-J26</f>
        <v>219224518.49401903</v>
      </c>
      <c r="K36" s="127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</row>
    <row r="37" spans="1:40">
      <c r="A37" s="124">
        <f t="shared" si="0"/>
        <v>23</v>
      </c>
      <c r="B37" s="116"/>
      <c r="C37" s="119" t="s">
        <v>297</v>
      </c>
      <c r="D37" s="127" t="str">
        <f t="shared" si="1"/>
        <v>(line 3 - line 13)</v>
      </c>
      <c r="E37" s="127">
        <f t="shared" si="2"/>
        <v>357094463.70769227</v>
      </c>
      <c r="F37" s="127"/>
      <c r="G37" s="127" t="s">
        <v>91</v>
      </c>
      <c r="H37" s="141"/>
      <c r="I37" s="127"/>
      <c r="J37" s="127"/>
      <c r="K37" s="127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</row>
    <row r="38" spans="1:40">
      <c r="A38" s="124">
        <f t="shared" si="0"/>
        <v>24</v>
      </c>
      <c r="B38" s="116"/>
      <c r="C38" s="119" t="str">
        <f>+C28</f>
        <v xml:space="preserve">  General &amp; Intangible</v>
      </c>
      <c r="D38" s="127" t="str">
        <f t="shared" si="1"/>
        <v>(line 4 - line 14)</v>
      </c>
      <c r="E38" s="127">
        <f t="shared" si="2"/>
        <v>28974792.33090651</v>
      </c>
      <c r="F38" s="127"/>
      <c r="G38" s="127" t="s">
        <v>91</v>
      </c>
      <c r="H38" s="141"/>
      <c r="I38" s="127"/>
      <c r="J38" s="127">
        <f>J18-J28</f>
        <v>3231220.6567306099</v>
      </c>
      <c r="K38" s="127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</row>
    <row r="39" spans="1:40">
      <c r="A39" s="124">
        <f t="shared" si="0"/>
        <v>25</v>
      </c>
      <c r="B39" s="116"/>
      <c r="C39" s="119" t="s">
        <v>137</v>
      </c>
      <c r="D39" s="127" t="str">
        <f t="shared" si="1"/>
        <v>(line 5 - line 15)</v>
      </c>
      <c r="E39" s="127">
        <f t="shared" si="2"/>
        <v>20158535.384615384</v>
      </c>
      <c r="F39" s="127"/>
      <c r="G39" s="127" t="s">
        <v>91</v>
      </c>
      <c r="H39" s="141"/>
      <c r="I39" s="127"/>
      <c r="J39" s="127">
        <f>J19-J29</f>
        <v>2248046.3431906947</v>
      </c>
      <c r="K39" s="127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</row>
    <row r="40" spans="1:40">
      <c r="A40" s="124">
        <f t="shared" si="0"/>
        <v>26</v>
      </c>
      <c r="B40" s="116"/>
      <c r="C40" s="119" t="str">
        <f>+C30</f>
        <v xml:space="preserve">  Communication System</v>
      </c>
      <c r="D40" s="127" t="str">
        <f t="shared" si="1"/>
        <v>(line 6 - line 16)</v>
      </c>
      <c r="E40" s="127">
        <f t="shared" si="2"/>
        <v>4660141.9423624277</v>
      </c>
      <c r="F40" s="127"/>
      <c r="G40" s="127" t="s">
        <v>91</v>
      </c>
      <c r="H40" s="141"/>
      <c r="I40" s="127"/>
      <c r="J40" s="127">
        <f>J20-J30</f>
        <v>1659107.4743741711</v>
      </c>
      <c r="K40" s="127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</row>
    <row r="41" spans="1:40" ht="15.75" thickBot="1">
      <c r="A41" s="124">
        <f t="shared" si="0"/>
        <v>27</v>
      </c>
      <c r="B41" s="116"/>
      <c r="C41" s="119" t="str">
        <f>+C31</f>
        <v xml:space="preserve">  Common</v>
      </c>
      <c r="D41" s="127" t="str">
        <f t="shared" si="1"/>
        <v>(line 7 - line 17)</v>
      </c>
      <c r="E41" s="139">
        <f t="shared" si="2"/>
        <v>0</v>
      </c>
      <c r="F41" s="127"/>
      <c r="G41" s="127" t="s">
        <v>91</v>
      </c>
      <c r="H41" s="141"/>
      <c r="I41" s="127"/>
      <c r="J41" s="139">
        <f>J21-J31</f>
        <v>0</v>
      </c>
      <c r="K41" s="127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</row>
    <row r="42" spans="1:40">
      <c r="A42" s="124">
        <f t="shared" si="0"/>
        <v>28</v>
      </c>
      <c r="B42" s="116"/>
      <c r="C42" s="119" t="s">
        <v>6</v>
      </c>
      <c r="D42" s="127" t="str">
        <f>"(sum lines "&amp;A35&amp;" - "&amp;A41&amp;")"</f>
        <v>(sum lines 21 - 27)</v>
      </c>
      <c r="E42" s="127">
        <f t="shared" si="2"/>
        <v>1129415550.8661475</v>
      </c>
      <c r="F42" s="127"/>
      <c r="G42" s="127" t="s">
        <v>224</v>
      </c>
      <c r="H42" s="141">
        <f>IF(E42&gt;0,+J42/E42,0)</f>
        <v>0.20042480625905768</v>
      </c>
      <c r="I42" s="127"/>
      <c r="J42" s="127">
        <f>SUM(J35:J41)</f>
        <v>226362892.96831453</v>
      </c>
      <c r="K42" s="127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</row>
    <row r="43" spans="1:40">
      <c r="A43" s="124">
        <f t="shared" si="0"/>
        <v>29</v>
      </c>
      <c r="B43" s="116"/>
      <c r="C43" s="116"/>
      <c r="D43" s="127"/>
      <c r="E43" s="11"/>
      <c r="F43" s="127"/>
      <c r="G43" s="116"/>
      <c r="H43" s="116"/>
      <c r="I43" s="127"/>
      <c r="J43" s="116"/>
      <c r="K43" s="127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</row>
    <row r="44" spans="1:40">
      <c r="A44" s="124">
        <f t="shared" si="0"/>
        <v>30</v>
      </c>
      <c r="B44" s="116"/>
      <c r="C44" s="140" t="s">
        <v>39</v>
      </c>
      <c r="D44" s="127" t="s">
        <v>421</v>
      </c>
      <c r="E44" s="127"/>
      <c r="F44" s="127"/>
      <c r="G44" s="127"/>
      <c r="H44" s="127"/>
      <c r="I44" s="127"/>
      <c r="J44" s="127"/>
      <c r="K44" s="127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</row>
    <row r="45" spans="1:40">
      <c r="A45" s="124">
        <f t="shared" si="0"/>
        <v>31</v>
      </c>
      <c r="B45" s="116"/>
      <c r="C45" s="119" t="s">
        <v>269</v>
      </c>
      <c r="D45" s="127" t="s">
        <v>225</v>
      </c>
      <c r="E45" s="11">
        <f>+'WP6 Rate Base'!G50</f>
        <v>0</v>
      </c>
      <c r="F45" s="127"/>
      <c r="G45" s="127" t="str">
        <f>+G25</f>
        <v>NA</v>
      </c>
      <c r="H45" s="142" t="s">
        <v>290</v>
      </c>
      <c r="I45" s="127"/>
      <c r="J45" s="11">
        <v>0</v>
      </c>
      <c r="K45" s="127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</row>
    <row r="46" spans="1:40">
      <c r="A46" s="124">
        <f t="shared" si="0"/>
        <v>32</v>
      </c>
      <c r="B46" s="116"/>
      <c r="C46" s="119" t="s">
        <v>270</v>
      </c>
      <c r="D46" s="127" t="s">
        <v>227</v>
      </c>
      <c r="E46" s="11">
        <f>+'WP6 Rate Base'!G51</f>
        <v>-150551900.5</v>
      </c>
      <c r="F46" s="127"/>
      <c r="G46" s="127" t="s">
        <v>226</v>
      </c>
      <c r="H46" s="137">
        <f>+H42</f>
        <v>0.20042480625905768</v>
      </c>
      <c r="I46" s="127"/>
      <c r="J46" s="11">
        <f>E46*H46</f>
        <v>-30174335.489645429</v>
      </c>
      <c r="K46" s="127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</row>
    <row r="47" spans="1:40">
      <c r="A47" s="124">
        <f t="shared" si="0"/>
        <v>33</v>
      </c>
      <c r="B47" s="116"/>
      <c r="C47" s="119" t="s">
        <v>271</v>
      </c>
      <c r="D47" s="127" t="s">
        <v>228</v>
      </c>
      <c r="E47" s="11">
        <f>+'WP6 Rate Base'!G52</f>
        <v>-17647233.5</v>
      </c>
      <c r="F47" s="127"/>
      <c r="G47" s="127" t="str">
        <f>+G46</f>
        <v>NP</v>
      </c>
      <c r="H47" s="137">
        <f>H42</f>
        <v>0.20042480625905768</v>
      </c>
      <c r="I47" s="127"/>
      <c r="J47" s="11">
        <f>E47*H47</f>
        <v>-3536943.3552458524</v>
      </c>
      <c r="K47" s="127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</row>
    <row r="48" spans="1:40">
      <c r="A48" s="124">
        <f t="shared" si="0"/>
        <v>34</v>
      </c>
      <c r="B48" s="116"/>
      <c r="C48" s="119" t="s">
        <v>273</v>
      </c>
      <c r="D48" s="127" t="s">
        <v>229</v>
      </c>
      <c r="E48" s="11">
        <f>+'WP6 Rate Base'!G53</f>
        <v>46424251.5</v>
      </c>
      <c r="F48" s="127"/>
      <c r="G48" s="127" t="str">
        <f>+G47</f>
        <v>NP</v>
      </c>
      <c r="H48" s="137">
        <f>+H47</f>
        <v>0.20042480625905768</v>
      </c>
      <c r="I48" s="127"/>
      <c r="J48" s="11">
        <f>E48*H48</f>
        <v>9304571.6126092672</v>
      </c>
      <c r="K48" s="127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</row>
    <row r="49" spans="1:40">
      <c r="A49" s="124" t="s">
        <v>472</v>
      </c>
      <c r="B49" s="116"/>
      <c r="C49" s="119" t="s">
        <v>478</v>
      </c>
      <c r="D49" s="127" t="s">
        <v>473</v>
      </c>
      <c r="E49" s="11"/>
      <c r="F49" s="127"/>
      <c r="G49" s="127"/>
      <c r="H49" s="137"/>
      <c r="I49" s="127"/>
      <c r="J49" s="11">
        <v>-13612808.693409871</v>
      </c>
      <c r="K49" s="127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</row>
    <row r="50" spans="1:40">
      <c r="A50" s="124">
        <f>+A48+1</f>
        <v>35</v>
      </c>
      <c r="B50" s="116"/>
      <c r="C50" s="116" t="s">
        <v>272</v>
      </c>
      <c r="D50" s="116" t="s">
        <v>124</v>
      </c>
      <c r="E50" s="11">
        <f>'WP6 Rate Base'!G54</f>
        <v>0</v>
      </c>
      <c r="F50" s="127"/>
      <c r="G50" s="127" t="str">
        <f>+G48</f>
        <v>NP</v>
      </c>
      <c r="H50" s="137">
        <f>+H47</f>
        <v>0.20042480625905768</v>
      </c>
      <c r="I50" s="127"/>
      <c r="J50" s="19">
        <f>E50*H50</f>
        <v>0</v>
      </c>
      <c r="K50" s="127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</row>
    <row r="51" spans="1:40" ht="15.75" thickBot="1">
      <c r="A51" s="124">
        <f t="shared" si="0"/>
        <v>36</v>
      </c>
      <c r="B51" s="116"/>
      <c r="C51" s="119" t="s">
        <v>292</v>
      </c>
      <c r="D51" s="116" t="s">
        <v>422</v>
      </c>
      <c r="E51" s="77">
        <f>+'WP6 Rate Base'!G55</f>
        <v>1740994.4649999999</v>
      </c>
      <c r="F51" s="127"/>
      <c r="G51" s="127" t="str">
        <f>+G50</f>
        <v>NP</v>
      </c>
      <c r="H51" s="137">
        <f>+H50</f>
        <v>0.20042480625905768</v>
      </c>
      <c r="I51" s="127"/>
      <c r="J51" s="77">
        <f>+H51*E51</f>
        <v>348938.47834571672</v>
      </c>
      <c r="K51" s="127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</row>
    <row r="52" spans="1:40">
      <c r="A52" s="124">
        <f t="shared" si="0"/>
        <v>37</v>
      </c>
      <c r="B52" s="116"/>
      <c r="C52" s="119" t="s">
        <v>8</v>
      </c>
      <c r="D52" s="127" t="str">
        <f>"(sum lines "&amp;A45&amp;" - "&amp;A51&amp;")"</f>
        <v>(sum lines 31 - 36)</v>
      </c>
      <c r="E52" s="11">
        <f>SUM(E45:E51)</f>
        <v>-120033888.035</v>
      </c>
      <c r="F52" s="127"/>
      <c r="G52" s="127"/>
      <c r="H52" s="127"/>
      <c r="I52" s="127"/>
      <c r="J52" s="11">
        <f>SUM(J45:J51)</f>
        <v>-37670577.447346173</v>
      </c>
      <c r="K52" s="127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</row>
    <row r="53" spans="1:40">
      <c r="A53" s="124">
        <f t="shared" si="0"/>
        <v>38</v>
      </c>
      <c r="B53" s="116"/>
      <c r="C53" s="116"/>
      <c r="D53" s="127"/>
      <c r="E53" s="116"/>
      <c r="F53" s="127"/>
      <c r="G53" s="127"/>
      <c r="H53" s="141"/>
      <c r="I53" s="127"/>
      <c r="J53" s="116"/>
      <c r="K53" s="127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</row>
    <row r="54" spans="1:40">
      <c r="A54" s="124">
        <f t="shared" si="0"/>
        <v>39</v>
      </c>
      <c r="B54" s="116"/>
      <c r="C54" s="140" t="s">
        <v>230</v>
      </c>
      <c r="D54" s="127" t="s">
        <v>299</v>
      </c>
      <c r="E54" s="127">
        <f>+'WP6 Rate Base'!G58</f>
        <v>1711873.5</v>
      </c>
      <c r="F54" s="127"/>
      <c r="G54" s="127" t="s">
        <v>387</v>
      </c>
      <c r="H54" s="137">
        <v>0</v>
      </c>
      <c r="I54" s="127"/>
      <c r="J54" s="127">
        <f>+H54*E54</f>
        <v>0</v>
      </c>
      <c r="K54" s="127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</row>
    <row r="55" spans="1:40">
      <c r="A55" s="124">
        <f t="shared" si="0"/>
        <v>40</v>
      </c>
      <c r="B55" s="116"/>
      <c r="C55" s="119"/>
      <c r="D55" s="127"/>
      <c r="E55" s="127"/>
      <c r="F55" s="127"/>
      <c r="G55" s="127"/>
      <c r="H55" s="127"/>
      <c r="I55" s="127"/>
      <c r="J55" s="127"/>
      <c r="K55" s="127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</row>
    <row r="56" spans="1:40">
      <c r="A56" s="124">
        <f t="shared" si="0"/>
        <v>41</v>
      </c>
      <c r="B56" s="116"/>
      <c r="C56" s="119" t="s">
        <v>298</v>
      </c>
      <c r="D56" s="127" t="s">
        <v>194</v>
      </c>
      <c r="E56" s="127"/>
      <c r="F56" s="127"/>
      <c r="G56" s="127"/>
      <c r="H56" s="127"/>
      <c r="I56" s="127"/>
      <c r="J56" s="127"/>
      <c r="K56" s="127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</row>
    <row r="57" spans="1:40">
      <c r="A57" s="124">
        <f t="shared" si="0"/>
        <v>42</v>
      </c>
      <c r="B57" s="116"/>
      <c r="C57" s="119" t="s">
        <v>289</v>
      </c>
      <c r="D57" s="116" t="str">
        <f>"(1/8 * line "&amp;A86&amp;")"</f>
        <v>(1/8 * line 58)</v>
      </c>
      <c r="E57" s="127">
        <f>+E86/8</f>
        <v>4271201.75</v>
      </c>
      <c r="F57" s="127"/>
      <c r="G57" s="127" t="s">
        <v>91</v>
      </c>
      <c r="H57" s="141"/>
      <c r="I57" s="127"/>
      <c r="J57" s="127">
        <f>+J86/8</f>
        <v>624714.57402844517</v>
      </c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</row>
    <row r="58" spans="1:40">
      <c r="A58" s="124">
        <f t="shared" si="0"/>
        <v>43</v>
      </c>
      <c r="B58" s="116"/>
      <c r="C58" s="119" t="s">
        <v>358</v>
      </c>
      <c r="D58" s="127" t="s">
        <v>134</v>
      </c>
      <c r="E58" s="127">
        <f>+'WP6 Rate Base'!G62</f>
        <v>7692076.5</v>
      </c>
      <c r="F58" s="127"/>
      <c r="G58" s="127" t="s">
        <v>131</v>
      </c>
      <c r="H58" s="137">
        <f>+J182</f>
        <v>0.35602080256231372</v>
      </c>
      <c r="I58" s="127"/>
      <c r="J58" s="127">
        <f>+H58*E58</f>
        <v>2738539.2489007129</v>
      </c>
      <c r="K58" s="127" t="s">
        <v>194</v>
      </c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</row>
    <row r="59" spans="1:40">
      <c r="A59" s="124">
        <f t="shared" si="0"/>
        <v>44</v>
      </c>
      <c r="B59" s="116"/>
      <c r="C59" s="119" t="s">
        <v>358</v>
      </c>
      <c r="D59" s="127" t="s">
        <v>133</v>
      </c>
      <c r="E59" s="127">
        <f>+'WP6 Rate Base'!G63</f>
        <v>143083</v>
      </c>
      <c r="F59" s="127"/>
      <c r="G59" s="127" t="s">
        <v>200</v>
      </c>
      <c r="H59" s="137">
        <f>+J144</f>
        <v>0.869004</v>
      </c>
      <c r="I59" s="127"/>
      <c r="J59" s="127">
        <f>+H59*E59</f>
        <v>124339.699332</v>
      </c>
      <c r="K59" s="127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</row>
    <row r="60" spans="1:40" ht="15.75" thickBot="1">
      <c r="A60" s="124">
        <f t="shared" si="0"/>
        <v>45</v>
      </c>
      <c r="B60" s="116"/>
      <c r="C60" s="119" t="s">
        <v>274</v>
      </c>
      <c r="D60" s="127" t="s">
        <v>423</v>
      </c>
      <c r="E60" s="143">
        <f>+'WP6 Rate Base'!G64</f>
        <v>4039372.5</v>
      </c>
      <c r="F60" s="127"/>
      <c r="G60" s="127" t="s">
        <v>231</v>
      </c>
      <c r="H60" s="137">
        <f>+H22</f>
        <v>0.16384094750864664</v>
      </c>
      <c r="I60" s="127"/>
      <c r="J60" s="139">
        <f>+H60*E60</f>
        <v>661814.6177403708</v>
      </c>
      <c r="K60" s="127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1:40">
      <c r="A61" s="124">
        <f t="shared" si="0"/>
        <v>46</v>
      </c>
      <c r="B61" s="116"/>
      <c r="C61" s="119" t="s">
        <v>9</v>
      </c>
      <c r="D61" s="127" t="str">
        <f>"(sum lines "&amp;A57&amp;" - "&amp;A60&amp;")"</f>
        <v>(sum lines 42 - 45)</v>
      </c>
      <c r="E61" s="127">
        <f>SUM(E57:E60)</f>
        <v>16145733.75</v>
      </c>
      <c r="F61" s="119"/>
      <c r="G61" s="119"/>
      <c r="H61" s="119"/>
      <c r="I61" s="119"/>
      <c r="J61" s="127">
        <f>SUM(J57:J60)</f>
        <v>4149408.1400015289</v>
      </c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</row>
    <row r="62" spans="1:40" ht="15.75" thickBot="1">
      <c r="A62" s="124">
        <f t="shared" si="0"/>
        <v>47</v>
      </c>
      <c r="B62" s="116"/>
      <c r="C62" s="116"/>
      <c r="D62" s="127"/>
      <c r="E62" s="116"/>
      <c r="F62" s="127"/>
      <c r="G62" s="127"/>
      <c r="H62" s="127"/>
      <c r="I62" s="127"/>
      <c r="J62" s="144"/>
      <c r="K62" s="127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</row>
    <row r="63" spans="1:40" ht="15.75" thickBot="1">
      <c r="A63" s="124">
        <f t="shared" si="0"/>
        <v>48</v>
      </c>
      <c r="B63" s="116"/>
      <c r="C63" s="119" t="s">
        <v>10</v>
      </c>
      <c r="D63" s="127" t="str">
        <f>"(sum lines "&amp;A42&amp;", "&amp;A52&amp;", "&amp;A54&amp;", &amp; "&amp;A61&amp;")"</f>
        <v>(sum lines 28, 37, 39, &amp; 46)</v>
      </c>
      <c r="E63" s="127"/>
      <c r="F63" s="127"/>
      <c r="G63" s="127"/>
      <c r="H63" s="141"/>
      <c r="I63" s="127"/>
      <c r="J63" s="145">
        <f>+J61+J54+J52+J42</f>
        <v>192841723.66096988</v>
      </c>
      <c r="K63" s="127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</row>
    <row r="64" spans="1:40" ht="15.75" thickTop="1">
      <c r="A64" s="124"/>
      <c r="B64" s="116"/>
      <c r="C64" s="119"/>
      <c r="D64" s="127"/>
      <c r="E64" s="127"/>
      <c r="F64" s="127"/>
      <c r="G64" s="127"/>
      <c r="H64" s="141"/>
      <c r="I64" s="118" t="s">
        <v>417</v>
      </c>
      <c r="J64" s="146">
        <f>J1</f>
        <v>45443</v>
      </c>
      <c r="K64" s="127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</row>
    <row r="65" spans="1:40">
      <c r="A65" s="124"/>
      <c r="B65" s="116"/>
      <c r="C65" s="119"/>
      <c r="D65" s="127"/>
      <c r="E65" s="127"/>
      <c r="F65" s="127"/>
      <c r="G65" s="127"/>
      <c r="I65" s="118" t="str">
        <f>$I$2</f>
        <v>Service Year</v>
      </c>
      <c r="J65" s="119">
        <f>$J$2</f>
        <v>2023</v>
      </c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</row>
    <row r="66" spans="1:40">
      <c r="A66" s="124"/>
      <c r="B66" s="116"/>
      <c r="C66" s="119"/>
      <c r="D66" s="127"/>
      <c r="E66" s="127"/>
      <c r="F66" s="127"/>
      <c r="G66" s="127"/>
      <c r="H66" s="127"/>
      <c r="I66" s="127"/>
      <c r="J66" s="127"/>
      <c r="K66" s="127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</row>
    <row r="67" spans="1:40" ht="15.75">
      <c r="A67" s="273" t="s">
        <v>321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</row>
    <row r="68" spans="1:40" ht="15.75">
      <c r="A68" s="274" t="s">
        <v>195</v>
      </c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</row>
    <row r="69" spans="1:40">
      <c r="A69" s="116"/>
      <c r="B69" s="116"/>
      <c r="C69" s="119"/>
      <c r="D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</row>
    <row r="70" spans="1:40" ht="15.75">
      <c r="A70" s="275" t="s">
        <v>320</v>
      </c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</row>
    <row r="71" spans="1:40">
      <c r="A71" s="124"/>
      <c r="B71" s="116"/>
      <c r="C71" s="126" t="s">
        <v>201</v>
      </c>
      <c r="D71" s="126" t="s">
        <v>202</v>
      </c>
      <c r="E71" s="126" t="s">
        <v>203</v>
      </c>
      <c r="F71" s="127" t="s">
        <v>194</v>
      </c>
      <c r="G71" s="127"/>
      <c r="H71" s="128" t="s">
        <v>204</v>
      </c>
      <c r="I71" s="127"/>
      <c r="J71" s="129" t="s">
        <v>205</v>
      </c>
      <c r="K71" s="127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</row>
    <row r="72" spans="1:40">
      <c r="A72" s="124"/>
      <c r="B72" s="116"/>
      <c r="C72" s="126"/>
      <c r="D72" s="140"/>
      <c r="E72" s="140"/>
      <c r="F72" s="140"/>
      <c r="G72" s="140"/>
      <c r="H72" s="140"/>
      <c r="I72" s="140"/>
      <c r="J72" s="140"/>
      <c r="K72" s="14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</row>
    <row r="73" spans="1:40" ht="15.75">
      <c r="A73" s="124" t="s">
        <v>196</v>
      </c>
      <c r="B73" s="116"/>
      <c r="C73" s="119"/>
      <c r="D73" s="122" t="s">
        <v>206</v>
      </c>
      <c r="E73" s="127"/>
      <c r="F73" s="127"/>
      <c r="G73" s="132" t="str">
        <f>+G10</f>
        <v xml:space="preserve">      Allocator</v>
      </c>
      <c r="H73" s="124"/>
      <c r="I73" s="127"/>
      <c r="J73" s="121" t="s">
        <v>207</v>
      </c>
      <c r="K73" s="127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</row>
    <row r="74" spans="1:40" ht="16.5" thickBot="1">
      <c r="A74" s="135" t="s">
        <v>197</v>
      </c>
      <c r="B74" s="116"/>
      <c r="C74" s="119"/>
      <c r="D74" s="131" t="s">
        <v>208</v>
      </c>
      <c r="E74" s="121" t="s">
        <v>209</v>
      </c>
      <c r="F74" s="132"/>
      <c r="G74" s="133" t="str">
        <f>+G11</f>
        <v xml:space="preserve">        (page 4)</v>
      </c>
      <c r="H74" s="116"/>
      <c r="I74" s="132"/>
      <c r="J74" s="124" t="s">
        <v>210</v>
      </c>
      <c r="K74" s="127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</row>
    <row r="75" spans="1:40" ht="15.75">
      <c r="A75" s="116"/>
      <c r="B75" s="116"/>
      <c r="C75" s="119"/>
      <c r="D75" s="127"/>
      <c r="E75" s="147"/>
      <c r="F75" s="148"/>
      <c r="G75" s="149"/>
      <c r="H75" s="116"/>
      <c r="I75" s="148"/>
      <c r="J75" s="147"/>
      <c r="K75" s="127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</row>
    <row r="76" spans="1:40">
      <c r="A76" s="124"/>
      <c r="B76" s="116"/>
      <c r="C76" s="119" t="s">
        <v>232</v>
      </c>
      <c r="D76" s="127"/>
      <c r="E76" s="127"/>
      <c r="F76" s="127"/>
      <c r="G76" s="127"/>
      <c r="H76" s="127"/>
      <c r="I76" s="127"/>
      <c r="J76" s="127"/>
      <c r="K76" s="127"/>
      <c r="L76" s="120"/>
      <c r="M76" s="120"/>
      <c r="N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</row>
    <row r="77" spans="1:40">
      <c r="A77" s="124">
        <f>+A63+1</f>
        <v>49</v>
      </c>
      <c r="B77" s="116"/>
      <c r="C77" s="119" t="s">
        <v>233</v>
      </c>
      <c r="D77" s="127" t="s">
        <v>138</v>
      </c>
      <c r="E77" s="127">
        <v>31788890</v>
      </c>
      <c r="F77" s="127"/>
      <c r="G77" s="127" t="s">
        <v>200</v>
      </c>
      <c r="H77" s="137">
        <f>+J144</f>
        <v>0.869004</v>
      </c>
      <c r="I77" s="127"/>
      <c r="J77" s="127">
        <f>+H77*E77</f>
        <v>27624672.565559998</v>
      </c>
      <c r="K77" s="119"/>
      <c r="L77" s="120"/>
      <c r="M77" s="120"/>
      <c r="N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</row>
    <row r="78" spans="1:40">
      <c r="A78" s="124">
        <f>+A77+1</f>
        <v>50</v>
      </c>
      <c r="B78" s="116"/>
      <c r="C78" s="119" t="s">
        <v>49</v>
      </c>
      <c r="D78" s="127" t="s">
        <v>434</v>
      </c>
      <c r="E78" s="127">
        <f>855648+180935+286633+965209+496+267640+27115755</f>
        <v>29672316</v>
      </c>
      <c r="F78" s="127"/>
      <c r="G78" s="127" t="str">
        <f>+G77</f>
        <v>TP</v>
      </c>
      <c r="H78" s="137">
        <f>+H77</f>
        <v>0.869004</v>
      </c>
      <c r="I78" s="127"/>
      <c r="J78" s="127">
        <f t="shared" ref="J78:J85" si="3">+H78*E78</f>
        <v>25785361.293264002</v>
      </c>
      <c r="K78" s="119"/>
      <c r="L78" s="120"/>
      <c r="M78" s="120"/>
      <c r="N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</row>
    <row r="79" spans="1:40">
      <c r="A79" s="124">
        <f t="shared" ref="A79:A120" si="4">+A78+1</f>
        <v>51</v>
      </c>
      <c r="B79" s="116"/>
      <c r="C79" s="119" t="s">
        <v>234</v>
      </c>
      <c r="D79" s="127" t="s">
        <v>125</v>
      </c>
      <c r="E79" s="127">
        <v>33885060</v>
      </c>
      <c r="F79" s="127"/>
      <c r="G79" s="127" t="s">
        <v>218</v>
      </c>
      <c r="H79" s="137">
        <f>+H28</f>
        <v>0.11151833703684451</v>
      </c>
      <c r="I79" s="127"/>
      <c r="J79" s="127">
        <f t="shared" si="3"/>
        <v>3778805.5415936983</v>
      </c>
      <c r="K79" s="127"/>
      <c r="L79" s="120"/>
      <c r="M79" s="120"/>
      <c r="N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</row>
    <row r="80" spans="1:40">
      <c r="A80" s="124">
        <f t="shared" si="4"/>
        <v>52</v>
      </c>
      <c r="B80" s="116"/>
      <c r="C80" s="119" t="s">
        <v>46</v>
      </c>
      <c r="D80" s="127" t="s">
        <v>135</v>
      </c>
      <c r="E80" s="127">
        <v>468323</v>
      </c>
      <c r="F80" s="127"/>
      <c r="G80" s="127" t="s">
        <v>218</v>
      </c>
      <c r="H80" s="137">
        <v>1</v>
      </c>
      <c r="I80" s="127"/>
      <c r="J80" s="127">
        <f t="shared" si="3"/>
        <v>468323</v>
      </c>
      <c r="K80" s="127"/>
      <c r="L80" s="120"/>
      <c r="M80" s="120"/>
      <c r="N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</row>
    <row r="81" spans="1:40">
      <c r="A81" s="124">
        <f t="shared" si="4"/>
        <v>53</v>
      </c>
      <c r="B81" s="116"/>
      <c r="C81" s="119" t="s">
        <v>293</v>
      </c>
      <c r="D81" s="127" t="s">
        <v>168</v>
      </c>
      <c r="E81" s="127">
        <v>227200</v>
      </c>
      <c r="F81" s="127"/>
      <c r="G81" s="127" t="str">
        <f>G79</f>
        <v>W/S</v>
      </c>
      <c r="H81" s="137">
        <f>H79</f>
        <v>0.11151833703684451</v>
      </c>
      <c r="I81" s="127"/>
      <c r="J81" s="127">
        <f t="shared" si="3"/>
        <v>25336.966174771071</v>
      </c>
      <c r="K81" s="127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</row>
    <row r="82" spans="1:40">
      <c r="A82" s="124">
        <f t="shared" si="4"/>
        <v>54</v>
      </c>
      <c r="B82" s="116"/>
      <c r="C82" s="119" t="s">
        <v>294</v>
      </c>
      <c r="D82" s="127" t="s">
        <v>169</v>
      </c>
      <c r="E82" s="127">
        <v>347830</v>
      </c>
      <c r="F82" s="127"/>
      <c r="G82" s="127" t="str">
        <f>+G81</f>
        <v>W/S</v>
      </c>
      <c r="H82" s="137">
        <f>+H81</f>
        <v>0.11151833703684451</v>
      </c>
      <c r="I82" s="127"/>
      <c r="J82" s="127">
        <f t="shared" si="3"/>
        <v>38789.423171525625</v>
      </c>
      <c r="K82" s="127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</row>
    <row r="83" spans="1:40">
      <c r="A83" s="124">
        <f t="shared" si="4"/>
        <v>55</v>
      </c>
      <c r="B83" s="116"/>
      <c r="C83" s="119" t="s">
        <v>48</v>
      </c>
      <c r="D83" s="127"/>
      <c r="E83" s="127">
        <v>1243067</v>
      </c>
      <c r="F83" s="127"/>
      <c r="G83" s="127" t="str">
        <f>G79</f>
        <v>W/S</v>
      </c>
      <c r="H83" s="137">
        <f>H79</f>
        <v>0.11151833703684451</v>
      </c>
      <c r="I83" s="127"/>
      <c r="J83" s="127">
        <f t="shared" si="3"/>
        <v>138624.76466537919</v>
      </c>
      <c r="K83" s="127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</row>
    <row r="84" spans="1:40">
      <c r="A84" s="124">
        <f t="shared" si="4"/>
        <v>56</v>
      </c>
      <c r="B84" s="116"/>
      <c r="C84" s="119" t="s">
        <v>47</v>
      </c>
      <c r="D84" s="127"/>
      <c r="E84" s="127"/>
      <c r="F84" s="127"/>
      <c r="G84" s="150" t="str">
        <f>+G77</f>
        <v>TP</v>
      </c>
      <c r="H84" s="137">
        <f>+H77</f>
        <v>0.869004</v>
      </c>
      <c r="I84" s="127"/>
      <c r="J84" s="127">
        <f>+H84*E84</f>
        <v>0</v>
      </c>
      <c r="K84" s="127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</row>
    <row r="85" spans="1:40" ht="15.75" thickBot="1">
      <c r="A85" s="124">
        <f t="shared" si="4"/>
        <v>57</v>
      </c>
      <c r="B85" s="116"/>
      <c r="C85" s="119" t="s">
        <v>219</v>
      </c>
      <c r="D85" s="127" t="str">
        <f>+D31</f>
        <v>356.1</v>
      </c>
      <c r="E85" s="139">
        <v>0</v>
      </c>
      <c r="F85" s="127"/>
      <c r="G85" s="127" t="s">
        <v>251</v>
      </c>
      <c r="H85" s="137">
        <f>+H31</f>
        <v>0</v>
      </c>
      <c r="I85" s="127"/>
      <c r="J85" s="139">
        <f t="shared" si="3"/>
        <v>0</v>
      </c>
      <c r="K85" s="127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</row>
    <row r="86" spans="1:40">
      <c r="A86" s="124">
        <f t="shared" si="4"/>
        <v>58</v>
      </c>
      <c r="B86" s="116"/>
      <c r="C86" s="119" t="str">
        <f>"TOTAL O&amp;M   (sum lines "&amp;A77&amp;", "&amp;A79&amp;", "&amp;A81&amp;", "&amp;A84&amp;", "&amp;A85&amp;" less lines "&amp;A78&amp;", "&amp;A80&amp;", "&amp;A82&amp;" , "&amp;A83&amp;")"</f>
        <v>TOTAL O&amp;M   (sum lines 49, 51, 53, 56, 57 less lines 50, 52, 54 , 55)</v>
      </c>
      <c r="D86" s="127"/>
      <c r="E86" s="127">
        <f>+E77-E78+E79-E80-E83+E85+E84+E81-E82</f>
        <v>34169614</v>
      </c>
      <c r="F86" s="127"/>
      <c r="G86" s="127"/>
      <c r="H86" s="127"/>
      <c r="I86" s="127"/>
      <c r="J86" s="127">
        <f>+J77-J78+J79-J80-J83+J85+J84+J81-J82</f>
        <v>4997716.5922275614</v>
      </c>
      <c r="K86" s="127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</row>
    <row r="87" spans="1:40">
      <c r="A87" s="124">
        <f t="shared" si="4"/>
        <v>59</v>
      </c>
      <c r="B87" s="116"/>
      <c r="C87" s="116"/>
      <c r="D87" s="127"/>
      <c r="E87" s="116"/>
      <c r="F87" s="127"/>
      <c r="G87" s="127"/>
      <c r="H87" s="127"/>
      <c r="I87" s="127"/>
      <c r="J87" s="116"/>
      <c r="K87" s="127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</row>
    <row r="88" spans="1:40">
      <c r="A88" s="124">
        <f t="shared" si="4"/>
        <v>60</v>
      </c>
      <c r="B88" s="116"/>
      <c r="C88" s="119" t="s">
        <v>173</v>
      </c>
      <c r="D88" s="127"/>
      <c r="E88" s="127"/>
      <c r="F88" s="127"/>
      <c r="G88" s="127"/>
      <c r="H88" s="127"/>
      <c r="I88" s="127"/>
      <c r="J88" s="127"/>
      <c r="K88" s="127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</row>
    <row r="89" spans="1:40">
      <c r="A89" s="124">
        <f t="shared" si="4"/>
        <v>61</v>
      </c>
      <c r="B89" s="116"/>
      <c r="C89" s="119" t="str">
        <f>+C16</f>
        <v xml:space="preserve">  Transmission</v>
      </c>
      <c r="D89" s="127" t="s">
        <v>435</v>
      </c>
      <c r="E89" s="127">
        <f>E16*'BHP WP5 Depreciation Rates'!H17</f>
        <v>6824267.3646331532</v>
      </c>
      <c r="F89" s="127"/>
      <c r="G89" s="127" t="s">
        <v>200</v>
      </c>
      <c r="H89" s="137">
        <f>+J144</f>
        <v>0.869004</v>
      </c>
      <c r="I89" s="127"/>
      <c r="J89" s="127">
        <f>+H89*E89</f>
        <v>5930315.636935669</v>
      </c>
      <c r="K89" s="127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</row>
    <row r="90" spans="1:40">
      <c r="A90" s="124">
        <f t="shared" si="4"/>
        <v>62</v>
      </c>
      <c r="B90" s="116"/>
      <c r="C90" s="119" t="s">
        <v>295</v>
      </c>
      <c r="D90" s="127" t="s">
        <v>436</v>
      </c>
      <c r="E90" s="127">
        <f>(E18+E20)*'BHP WP5 Depreciation Rates'!H31</f>
        <v>4860761.0293800775</v>
      </c>
      <c r="F90" s="127"/>
      <c r="G90" s="127" t="s">
        <v>218</v>
      </c>
      <c r="H90" s="137">
        <f>H79</f>
        <v>0.11151833703684451</v>
      </c>
      <c r="I90" s="127"/>
      <c r="J90" s="127">
        <f>+H90*E90</f>
        <v>542063.98672996671</v>
      </c>
      <c r="K90" s="127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</row>
    <row r="91" spans="1:40" ht="15.75" thickBot="1">
      <c r="A91" s="124">
        <f t="shared" si="4"/>
        <v>63</v>
      </c>
      <c r="B91" s="116"/>
      <c r="C91" s="119" t="str">
        <f>+C85</f>
        <v xml:space="preserve">  Common</v>
      </c>
      <c r="D91" s="127" t="s">
        <v>126</v>
      </c>
      <c r="E91" s="139">
        <v>0</v>
      </c>
      <c r="F91" s="127"/>
      <c r="G91" s="127" t="s">
        <v>251</v>
      </c>
      <c r="H91" s="137">
        <f>+H85</f>
        <v>0</v>
      </c>
      <c r="I91" s="127"/>
      <c r="J91" s="139">
        <f>+H91*E91</f>
        <v>0</v>
      </c>
      <c r="K91" s="127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</row>
    <row r="92" spans="1:40">
      <c r="A92" s="124">
        <f t="shared" si="4"/>
        <v>64</v>
      </c>
      <c r="B92" s="116"/>
      <c r="C92" s="119" t="str">
        <f>"TOTAL DEPRECIATION (Sum lines "&amp;A89&amp;" - "&amp;A91&amp;")"</f>
        <v>TOTAL DEPRECIATION (Sum lines 61 - 63)</v>
      </c>
      <c r="D92" s="127"/>
      <c r="E92" s="127">
        <f>SUM(E89:E91)</f>
        <v>11685028.39401323</v>
      </c>
      <c r="F92" s="127"/>
      <c r="G92" s="127"/>
      <c r="H92" s="127"/>
      <c r="I92" s="127"/>
      <c r="J92" s="127">
        <f>SUM(J89:J91)</f>
        <v>6472379.6236656355</v>
      </c>
      <c r="K92" s="127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</row>
    <row r="93" spans="1:40">
      <c r="A93" s="124">
        <f t="shared" si="4"/>
        <v>65</v>
      </c>
      <c r="B93" s="116"/>
      <c r="C93" s="119"/>
      <c r="D93" s="127"/>
      <c r="E93" s="127"/>
      <c r="F93" s="127"/>
      <c r="G93" s="127"/>
      <c r="H93" s="127"/>
      <c r="I93" s="127"/>
      <c r="J93" s="127"/>
      <c r="K93" s="127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</row>
    <row r="94" spans="1:40">
      <c r="A94" s="124">
        <f t="shared" si="4"/>
        <v>66</v>
      </c>
      <c r="B94" s="116"/>
      <c r="C94" s="119" t="s">
        <v>89</v>
      </c>
      <c r="D94" s="116"/>
      <c r="E94" s="127"/>
      <c r="F94" s="127"/>
      <c r="G94" s="127"/>
      <c r="H94" s="127"/>
      <c r="I94" s="127"/>
      <c r="J94" s="127"/>
      <c r="K94" s="127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</row>
    <row r="95" spans="1:40">
      <c r="A95" s="124">
        <f t="shared" si="4"/>
        <v>67</v>
      </c>
      <c r="B95" s="116"/>
      <c r="C95" s="119" t="s">
        <v>235</v>
      </c>
      <c r="D95" s="116"/>
      <c r="E95" s="36"/>
      <c r="F95" s="127"/>
      <c r="G95" s="127"/>
      <c r="H95" s="116"/>
      <c r="I95" s="127"/>
      <c r="J95" s="116"/>
      <c r="K95" s="127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</row>
    <row r="96" spans="1:40">
      <c r="A96" s="124">
        <f t="shared" si="4"/>
        <v>68</v>
      </c>
      <c r="B96" s="116"/>
      <c r="C96" s="119" t="s">
        <v>236</v>
      </c>
      <c r="D96" s="127" t="s">
        <v>437</v>
      </c>
      <c r="E96" s="127">
        <f>6166+1947929+39455</f>
        <v>1993550</v>
      </c>
      <c r="F96" s="127"/>
      <c r="G96" s="127" t="s">
        <v>218</v>
      </c>
      <c r="H96" s="151">
        <f>+J176</f>
        <v>0.11151833703684451</v>
      </c>
      <c r="I96" s="127"/>
      <c r="J96" s="127">
        <f>+H96*E96</f>
        <v>222317.38079980138</v>
      </c>
      <c r="K96" s="127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</row>
    <row r="97" spans="1:40">
      <c r="A97" s="124">
        <f t="shared" si="4"/>
        <v>69</v>
      </c>
      <c r="B97" s="116"/>
      <c r="C97" s="119" t="s">
        <v>237</v>
      </c>
      <c r="D97" s="127" t="s">
        <v>75</v>
      </c>
      <c r="E97" s="127">
        <v>0</v>
      </c>
      <c r="F97" s="127"/>
      <c r="G97" s="127" t="str">
        <f>+G96</f>
        <v>W/S</v>
      </c>
      <c r="H97" s="151">
        <f>+H96</f>
        <v>0.11151833703684451</v>
      </c>
      <c r="I97" s="127"/>
      <c r="J97" s="127">
        <f>+H97*E97</f>
        <v>0</v>
      </c>
      <c r="K97" s="127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</row>
    <row r="98" spans="1:40">
      <c r="A98" s="124">
        <f t="shared" si="4"/>
        <v>70</v>
      </c>
      <c r="B98" s="116"/>
      <c r="C98" s="119" t="s">
        <v>238</v>
      </c>
      <c r="D98" s="127" t="s">
        <v>194</v>
      </c>
      <c r="E98" s="127"/>
      <c r="F98" s="127"/>
      <c r="G98" s="127"/>
      <c r="H98" s="116"/>
      <c r="I98" s="127"/>
      <c r="J98" s="116"/>
      <c r="K98" s="127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</row>
    <row r="99" spans="1:40">
      <c r="A99" s="124">
        <f t="shared" si="4"/>
        <v>71</v>
      </c>
      <c r="B99" s="116"/>
      <c r="C99" s="119" t="s">
        <v>239</v>
      </c>
      <c r="D99" s="127" t="s">
        <v>438</v>
      </c>
      <c r="E99" s="127">
        <v>8173908</v>
      </c>
      <c r="F99" s="127"/>
      <c r="G99" s="127" t="s">
        <v>231</v>
      </c>
      <c r="H99" s="151">
        <f>+H22</f>
        <v>0.16384094750864664</v>
      </c>
      <c r="I99" s="127"/>
      <c r="J99" s="127">
        <f>+H99*E99</f>
        <v>1339220.8315685068</v>
      </c>
      <c r="K99" s="127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</row>
    <row r="100" spans="1:40">
      <c r="A100" s="124">
        <f t="shared" si="4"/>
        <v>72</v>
      </c>
      <c r="B100" s="116"/>
      <c r="C100" s="119" t="s">
        <v>240</v>
      </c>
      <c r="D100" s="127" t="s">
        <v>75</v>
      </c>
      <c r="E100" s="127">
        <v>0</v>
      </c>
      <c r="F100" s="127"/>
      <c r="G100" s="127" t="str">
        <f>+G45</f>
        <v>NA</v>
      </c>
      <c r="H100" s="152" t="s">
        <v>290</v>
      </c>
      <c r="I100" s="127"/>
      <c r="J100" s="127">
        <v>0</v>
      </c>
      <c r="K100" s="127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</row>
    <row r="101" spans="1:40" ht="15.75" thickBot="1">
      <c r="A101" s="124">
        <f t="shared" si="4"/>
        <v>73</v>
      </c>
      <c r="B101" s="116"/>
      <c r="C101" s="119" t="s">
        <v>241</v>
      </c>
      <c r="D101" s="127" t="str">
        <f>+D100</f>
        <v>263.i</v>
      </c>
      <c r="E101" s="139">
        <v>0</v>
      </c>
      <c r="F101" s="127"/>
      <c r="G101" s="127" t="str">
        <f>+G99</f>
        <v>GP</v>
      </c>
      <c r="H101" s="151">
        <f>+H99</f>
        <v>0.16384094750864664</v>
      </c>
      <c r="I101" s="127"/>
      <c r="J101" s="139">
        <f>+H101*E101</f>
        <v>0</v>
      </c>
      <c r="K101" s="127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</row>
    <row r="102" spans="1:40">
      <c r="A102" s="124">
        <f t="shared" si="4"/>
        <v>74</v>
      </c>
      <c r="B102" s="116"/>
      <c r="C102" s="119" t="str">
        <f>"TOTAL OTHER TAXES  (sum lines "&amp;A96&amp;" - "&amp;A101&amp;")"</f>
        <v>TOTAL OTHER TAXES  (sum lines 68 - 73)</v>
      </c>
      <c r="D102" s="127"/>
      <c r="E102" s="127">
        <f>SUM(E96:E101)</f>
        <v>10167458</v>
      </c>
      <c r="F102" s="127"/>
      <c r="G102" s="127"/>
      <c r="H102" s="151"/>
      <c r="I102" s="127"/>
      <c r="J102" s="127">
        <f>SUM(J96:J101)</f>
        <v>1561538.2123683081</v>
      </c>
      <c r="K102" s="127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</row>
    <row r="103" spans="1:40">
      <c r="A103" s="124">
        <f t="shared" si="4"/>
        <v>75</v>
      </c>
      <c r="B103" s="116"/>
      <c r="C103" s="119"/>
      <c r="D103" s="127"/>
      <c r="E103" s="127"/>
      <c r="F103" s="127"/>
      <c r="G103" s="127"/>
      <c r="H103" s="151"/>
      <c r="I103" s="127"/>
      <c r="J103" s="127"/>
      <c r="K103" s="127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</row>
    <row r="104" spans="1:40">
      <c r="A104" s="124">
        <f t="shared" si="4"/>
        <v>76</v>
      </c>
      <c r="B104" s="116"/>
      <c r="C104" s="119"/>
      <c r="D104" s="127"/>
      <c r="E104" s="127"/>
      <c r="F104" s="127"/>
      <c r="G104" s="127"/>
      <c r="H104" s="151"/>
      <c r="I104" s="127"/>
      <c r="J104" s="127"/>
      <c r="K104" s="127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</row>
    <row r="105" spans="1:40">
      <c r="A105" s="124">
        <f t="shared" si="4"/>
        <v>77</v>
      </c>
      <c r="B105" s="116"/>
      <c r="C105" s="119" t="s">
        <v>242</v>
      </c>
      <c r="D105" s="127" t="s">
        <v>88</v>
      </c>
      <c r="E105" s="127"/>
      <c r="F105" s="127"/>
      <c r="G105" s="116"/>
      <c r="H105" s="153"/>
      <c r="I105" s="127"/>
      <c r="J105" s="116"/>
      <c r="K105" s="127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</row>
    <row r="106" spans="1:40">
      <c r="A106" s="124">
        <f t="shared" si="4"/>
        <v>78</v>
      </c>
      <c r="B106" s="116"/>
      <c r="C106" s="154" t="s">
        <v>286</v>
      </c>
      <c r="D106" s="127"/>
      <c r="E106" s="155">
        <f>IF(E233&gt;0,1-(((1-E234)*(1-E233))/(1-E234*E233*E235)),0)</f>
        <v>0.20999999999999996</v>
      </c>
      <c r="F106" s="127"/>
      <c r="G106" s="116"/>
      <c r="H106" s="153"/>
      <c r="I106" s="127"/>
      <c r="J106" s="116"/>
      <c r="K106" s="127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</row>
    <row r="107" spans="1:40">
      <c r="A107" s="124">
        <f t="shared" si="4"/>
        <v>79</v>
      </c>
      <c r="B107" s="116"/>
      <c r="C107" s="116" t="s">
        <v>287</v>
      </c>
      <c r="D107" s="127"/>
      <c r="E107" s="155">
        <f>IF(J200&gt;0,(E106/(1-E106))*(1-J197/J200),0)</f>
        <v>0.18676775987803729</v>
      </c>
      <c r="F107" s="127"/>
      <c r="G107" s="116"/>
      <c r="H107" s="153"/>
      <c r="I107" s="127"/>
      <c r="J107" s="116"/>
      <c r="K107" s="127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</row>
    <row r="108" spans="1:40">
      <c r="A108" s="124">
        <f t="shared" si="4"/>
        <v>80</v>
      </c>
      <c r="B108" s="116"/>
      <c r="C108" s="119" t="str">
        <f>"       where WCLTD=(line "&amp;A197&amp;") and R= (line "&amp;A200&amp;")"</f>
        <v xml:space="preserve">       where WCLTD=(line 154) and R= (line 157)</v>
      </c>
      <c r="D108" s="127"/>
      <c r="E108" s="127"/>
      <c r="F108" s="127"/>
      <c r="G108" s="116"/>
      <c r="H108" s="153"/>
      <c r="I108" s="127"/>
      <c r="J108" s="116"/>
      <c r="K108" s="127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</row>
    <row r="109" spans="1:40">
      <c r="A109" s="124">
        <f t="shared" si="4"/>
        <v>81</v>
      </c>
      <c r="B109" s="116"/>
      <c r="C109" s="119" t="s">
        <v>90</v>
      </c>
      <c r="D109" s="127"/>
      <c r="E109" s="127"/>
      <c r="F109" s="127"/>
      <c r="G109" s="116"/>
      <c r="H109" s="153"/>
      <c r="I109" s="127"/>
      <c r="J109" s="116"/>
      <c r="K109" s="127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</row>
    <row r="110" spans="1:40">
      <c r="A110" s="124">
        <f t="shared" si="4"/>
        <v>82</v>
      </c>
      <c r="B110" s="116"/>
      <c r="C110" s="154" t="s">
        <v>474</v>
      </c>
      <c r="D110" s="127" t="s">
        <v>475</v>
      </c>
      <c r="E110" s="156"/>
      <c r="F110" s="127"/>
      <c r="G110" s="116"/>
      <c r="H110" s="153"/>
      <c r="I110" s="127"/>
      <c r="J110" s="143">
        <v>2075764</v>
      </c>
      <c r="K110" s="127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</row>
    <row r="111" spans="1:40">
      <c r="A111" s="124">
        <f t="shared" si="4"/>
        <v>83</v>
      </c>
      <c r="B111" s="116"/>
      <c r="C111" s="157" t="s">
        <v>276</v>
      </c>
      <c r="D111" s="116" t="str">
        <f>"(line "&amp;A107&amp;" * line "&amp;A114&amp;") - (line "&amp;A110&amp;")"</f>
        <v>(line 79 * line 86) - (line 82)</v>
      </c>
      <c r="E111" s="158"/>
      <c r="F111" s="127"/>
      <c r="G111" s="127" t="s">
        <v>194</v>
      </c>
      <c r="H111" s="151" t="s">
        <v>194</v>
      </c>
      <c r="I111" s="127"/>
      <c r="J111" s="127">
        <f>E107*J113-J110</f>
        <v>1079907.7301260168</v>
      </c>
      <c r="K111" s="127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</row>
    <row r="112" spans="1:40">
      <c r="A112" s="124">
        <f t="shared" si="4"/>
        <v>84</v>
      </c>
      <c r="B112" s="116"/>
      <c r="C112" s="159"/>
      <c r="D112" s="160"/>
      <c r="E112" s="127"/>
      <c r="F112" s="127"/>
      <c r="G112" s="127"/>
      <c r="H112" s="151"/>
      <c r="I112" s="127"/>
      <c r="J112" s="127"/>
      <c r="K112" s="127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</row>
    <row r="113" spans="1:40">
      <c r="A113" s="124">
        <f t="shared" si="4"/>
        <v>85</v>
      </c>
      <c r="B113" s="116"/>
      <c r="C113" s="119" t="s">
        <v>243</v>
      </c>
      <c r="D113" s="141"/>
      <c r="E113" s="127"/>
      <c r="F113" s="127"/>
      <c r="G113" s="127" t="s">
        <v>91</v>
      </c>
      <c r="H113" s="153"/>
      <c r="I113" s="127"/>
      <c r="J113" s="127">
        <f>+$J200*J63</f>
        <v>16896233.762115728</v>
      </c>
      <c r="K113" s="127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</row>
    <row r="114" spans="1:40" ht="17.25" customHeight="1">
      <c r="A114" s="124">
        <f t="shared" si="4"/>
        <v>86</v>
      </c>
      <c r="B114" s="116"/>
      <c r="C114" s="157" t="str">
        <f>"  [ Rate Base (line "&amp;A63&amp;") * R (line "&amp;A200&amp;")]"</f>
        <v xml:space="preserve">  [ Rate Base (line 48) * R (line 157)]</v>
      </c>
      <c r="D114" s="116"/>
      <c r="E114" s="127"/>
      <c r="F114" s="127"/>
      <c r="G114" s="127"/>
      <c r="H114" s="153"/>
      <c r="I114" s="127"/>
      <c r="J114" s="127"/>
      <c r="K114" s="127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</row>
    <row r="115" spans="1:40">
      <c r="A115" s="124">
        <f t="shared" si="4"/>
        <v>87</v>
      </c>
      <c r="B115" s="116"/>
      <c r="C115" s="119"/>
      <c r="D115" s="116"/>
      <c r="E115" s="127"/>
      <c r="F115" s="127"/>
      <c r="G115" s="127"/>
      <c r="H115" s="153"/>
      <c r="I115" s="127"/>
      <c r="J115" s="127"/>
      <c r="K115" s="127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</row>
    <row r="116" spans="1:40" ht="15.75" thickBot="1">
      <c r="A116" s="124">
        <f t="shared" si="4"/>
        <v>88</v>
      </c>
      <c r="B116" s="116"/>
      <c r="C116" s="119" t="str">
        <f>"REVENUE REQUIREMENT  (sum lines "&amp;A86&amp;", "&amp;A92&amp;", "&amp;A102&amp;", "&amp;A111&amp;", "&amp;A113&amp;")"</f>
        <v>REVENUE REQUIREMENT  (sum lines 58, 64, 74, 83, 85)</v>
      </c>
      <c r="D116" s="127"/>
      <c r="E116" s="161">
        <f>E111+E102+E92+E86</f>
        <v>56022100.394013226</v>
      </c>
      <c r="F116" s="127"/>
      <c r="G116" s="127"/>
      <c r="H116" s="127"/>
      <c r="I116" s="127"/>
      <c r="J116" s="162">
        <f>J111+J102+J92+J86+J113</f>
        <v>31007775.920503251</v>
      </c>
      <c r="K116" s="119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</row>
    <row r="117" spans="1:40" ht="15.75" thickTop="1">
      <c r="A117" s="124">
        <f t="shared" si="4"/>
        <v>89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27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</row>
    <row r="118" spans="1:40">
      <c r="A118" s="124">
        <f t="shared" si="4"/>
        <v>90</v>
      </c>
      <c r="B118" s="116"/>
      <c r="C118" s="119" t="s">
        <v>433</v>
      </c>
      <c r="D118" s="116"/>
      <c r="E118" s="116"/>
      <c r="F118" s="116"/>
      <c r="G118" s="116"/>
      <c r="H118" s="116"/>
      <c r="I118" s="116"/>
      <c r="J118" s="143">
        <v>32481744.208372384</v>
      </c>
      <c r="K118" s="127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</row>
    <row r="119" spans="1:40">
      <c r="A119" s="124">
        <f t="shared" si="4"/>
        <v>91</v>
      </c>
      <c r="B119" s="116"/>
      <c r="C119" s="116"/>
      <c r="D119" s="116"/>
      <c r="E119" s="116"/>
      <c r="F119" s="116"/>
      <c r="G119" s="116"/>
      <c r="H119" s="116"/>
      <c r="I119" s="116"/>
      <c r="J119" s="116"/>
      <c r="K119" s="127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</row>
    <row r="120" spans="1:40" ht="15.75" thickBot="1">
      <c r="A120" s="124">
        <f t="shared" si="4"/>
        <v>92</v>
      </c>
      <c r="B120" s="116"/>
      <c r="C120" s="116" t="str">
        <f>"TRUE-UP AMOUNT TO BE (REFUNDED)/PAID (line "&amp;A116&amp;" - line "&amp;A118&amp;")"</f>
        <v>TRUE-UP AMOUNT TO BE (REFUNDED)/PAID (line 88 - line 90)</v>
      </c>
      <c r="D120" s="116"/>
      <c r="E120" s="116"/>
      <c r="F120" s="116"/>
      <c r="G120" s="116"/>
      <c r="H120" s="116"/>
      <c r="I120" s="116"/>
      <c r="J120" s="161">
        <f>+J116-J118</f>
        <v>-1473968.2878691331</v>
      </c>
      <c r="K120" s="127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</row>
    <row r="121" spans="1:40" ht="15.75" thickTop="1">
      <c r="A121" s="124"/>
      <c r="B121" s="116"/>
      <c r="C121" s="116"/>
      <c r="D121" s="116"/>
      <c r="E121" s="116"/>
      <c r="F121" s="116"/>
      <c r="G121" s="116"/>
      <c r="H121" s="116"/>
      <c r="I121" s="116"/>
      <c r="J121" s="116"/>
      <c r="K121" s="127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</row>
    <row r="122" spans="1:40">
      <c r="A122" s="124"/>
      <c r="B122" s="116"/>
      <c r="C122" s="116"/>
      <c r="D122" s="116"/>
      <c r="E122" s="116"/>
      <c r="F122" s="116"/>
      <c r="G122" s="116"/>
      <c r="H122" s="116"/>
      <c r="I122" s="116"/>
      <c r="J122" s="116"/>
      <c r="K122" s="127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</row>
    <row r="123" spans="1:40">
      <c r="A123" s="124"/>
      <c r="B123" s="116"/>
      <c r="C123" s="116"/>
      <c r="D123" s="116"/>
      <c r="E123" s="116"/>
      <c r="F123" s="116"/>
      <c r="G123" s="116"/>
      <c r="H123" s="116"/>
      <c r="I123" s="118" t="s">
        <v>417</v>
      </c>
      <c r="J123" s="146">
        <f>J1</f>
        <v>45443</v>
      </c>
      <c r="K123" s="127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</row>
    <row r="124" spans="1:40">
      <c r="A124" s="124"/>
      <c r="B124" s="116"/>
      <c r="C124" s="116"/>
      <c r="D124" s="116"/>
      <c r="E124" s="116"/>
      <c r="F124" s="116"/>
      <c r="G124" s="116"/>
      <c r="I124" s="118" t="str">
        <f>$I$2</f>
        <v>Service Year</v>
      </c>
      <c r="J124" s="119">
        <f>$J$2</f>
        <v>2023</v>
      </c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</row>
    <row r="125" spans="1:40">
      <c r="A125" s="124"/>
      <c r="B125" s="116"/>
      <c r="C125" s="116"/>
      <c r="D125" s="116"/>
      <c r="E125" s="116"/>
      <c r="F125" s="116"/>
      <c r="G125" s="116"/>
      <c r="H125" s="116"/>
      <c r="I125" s="116"/>
      <c r="J125" s="116"/>
      <c r="K125" s="127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</row>
    <row r="126" spans="1:40" ht="15.75">
      <c r="A126" s="273" t="s">
        <v>321</v>
      </c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</row>
    <row r="127" spans="1:40" ht="15.75">
      <c r="A127" s="274" t="s">
        <v>195</v>
      </c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</row>
    <row r="128" spans="1:40">
      <c r="A128" s="116"/>
      <c r="B128" s="116"/>
      <c r="C128" s="119"/>
      <c r="D128" s="119"/>
      <c r="F128" s="119"/>
      <c r="G128" s="119"/>
      <c r="H128" s="119"/>
      <c r="I128" s="119"/>
      <c r="J128" s="119"/>
      <c r="K128" s="119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</row>
    <row r="129" spans="1:40" ht="15.75">
      <c r="A129" s="275" t="s">
        <v>320</v>
      </c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</row>
    <row r="130" spans="1:40">
      <c r="A130" s="124"/>
      <c r="B130" s="116"/>
      <c r="C130" s="116"/>
      <c r="D130" s="119"/>
      <c r="E130" s="119"/>
      <c r="F130" s="119"/>
      <c r="G130" s="119"/>
      <c r="H130" s="119"/>
      <c r="I130" s="119"/>
      <c r="J130" s="119"/>
      <c r="K130" s="119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</row>
    <row r="131" spans="1:40" ht="15.75">
      <c r="A131" s="276" t="s">
        <v>3</v>
      </c>
      <c r="B131" s="276"/>
      <c r="C131" s="276"/>
      <c r="D131" s="276"/>
      <c r="E131" s="276"/>
      <c r="F131" s="276"/>
      <c r="G131" s="276"/>
      <c r="H131" s="276"/>
      <c r="I131" s="276"/>
      <c r="J131" s="276"/>
      <c r="K131" s="276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</row>
    <row r="132" spans="1:40" ht="15.75">
      <c r="A132" s="124"/>
      <c r="B132" s="116"/>
      <c r="C132" s="136"/>
      <c r="D132" s="119"/>
      <c r="E132" s="119"/>
      <c r="F132" s="119"/>
      <c r="G132" s="119"/>
      <c r="H132" s="119"/>
      <c r="I132" s="119"/>
      <c r="J132" s="119"/>
      <c r="K132" s="127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</row>
    <row r="133" spans="1:40" ht="15.75">
      <c r="A133" s="124" t="s">
        <v>196</v>
      </c>
      <c r="B133" s="116"/>
      <c r="C133" s="136"/>
      <c r="D133" s="119"/>
      <c r="E133" s="119"/>
      <c r="F133" s="119"/>
      <c r="G133" s="119"/>
      <c r="H133" s="119"/>
      <c r="I133" s="119"/>
      <c r="J133" s="119"/>
      <c r="K133" s="127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</row>
    <row r="134" spans="1:40" ht="15.75" thickBot="1">
      <c r="A134" s="135" t="s">
        <v>197</v>
      </c>
      <c r="B134" s="116"/>
      <c r="C134" s="140" t="s">
        <v>117</v>
      </c>
      <c r="D134" s="119"/>
      <c r="E134" s="119"/>
      <c r="F134" s="119"/>
      <c r="G134" s="119"/>
      <c r="H134" s="119"/>
      <c r="I134" s="116"/>
      <c r="J134" s="116"/>
      <c r="K134" s="127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</row>
    <row r="135" spans="1:40" ht="15.75" thickBot="1">
      <c r="A135" s="124"/>
      <c r="B135" s="116"/>
      <c r="C135" s="140"/>
      <c r="D135" s="119"/>
      <c r="E135" s="139" t="s">
        <v>0</v>
      </c>
      <c r="F135" s="119"/>
      <c r="G135" s="119"/>
      <c r="H135" s="119"/>
      <c r="I135" s="119"/>
      <c r="J135" s="119"/>
      <c r="K135" s="127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</row>
    <row r="136" spans="1:40" ht="16.5" customHeight="1">
      <c r="A136" s="124">
        <f>+A120+1</f>
        <v>93</v>
      </c>
      <c r="B136" s="116"/>
      <c r="C136" s="140" t="s">
        <v>105</v>
      </c>
      <c r="D136" s="119"/>
      <c r="E136" s="127" t="str">
        <f>"Column (3) line "&amp;A16&amp;""</f>
        <v>Column (3) line 2</v>
      </c>
      <c r="F136" s="127"/>
      <c r="G136" s="127"/>
      <c r="H136" s="127"/>
      <c r="I136" s="127"/>
      <c r="J136" s="127">
        <f>+E16</f>
        <v>294149455.37211871</v>
      </c>
      <c r="K136" s="127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</row>
    <row r="137" spans="1:40">
      <c r="A137" s="124">
        <f>+A136+1</f>
        <v>94</v>
      </c>
      <c r="B137" s="116"/>
      <c r="C137" s="140" t="s">
        <v>86</v>
      </c>
      <c r="D137" s="116"/>
      <c r="E137" s="116" t="s">
        <v>170</v>
      </c>
      <c r="F137" s="116"/>
      <c r="G137" s="116"/>
      <c r="H137" s="116"/>
      <c r="I137" s="116"/>
      <c r="J137" s="127">
        <v>39965673.096629471</v>
      </c>
      <c r="K137" s="127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</row>
    <row r="138" spans="1:40" ht="15.75" thickBot="1">
      <c r="A138" s="124">
        <f t="shared" ref="A138:A200" si="5">+A137+1</f>
        <v>95</v>
      </c>
      <c r="B138" s="116"/>
      <c r="C138" s="163" t="s">
        <v>87</v>
      </c>
      <c r="D138" s="164"/>
      <c r="E138" s="139" t="s">
        <v>170</v>
      </c>
      <c r="F138" s="127"/>
      <c r="G138" s="127"/>
      <c r="H138" s="165"/>
      <c r="I138" s="127"/>
      <c r="J138" s="139">
        <v>0</v>
      </c>
      <c r="K138" s="127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</row>
    <row r="139" spans="1:40">
      <c r="A139" s="124">
        <f t="shared" si="5"/>
        <v>96</v>
      </c>
      <c r="B139" s="116"/>
      <c r="C139" s="140" t="str">
        <f>"Transmission plant included in Common Use Facilities  (line "&amp;A136&amp;" less lines "&amp;A137&amp;" and "&amp;A138&amp;")"</f>
        <v>Transmission plant included in Common Use Facilities  (line 93 less lines 94 and 95)</v>
      </c>
      <c r="D139" s="119"/>
      <c r="E139" s="127"/>
      <c r="F139" s="127"/>
      <c r="G139" s="127"/>
      <c r="H139" s="165"/>
      <c r="I139" s="127"/>
      <c r="J139" s="127">
        <f>J136-J137-J138</f>
        <v>254183782.27548924</v>
      </c>
      <c r="K139" s="127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</row>
    <row r="140" spans="1:40">
      <c r="A140" s="124">
        <f t="shared" si="5"/>
        <v>97</v>
      </c>
      <c r="B140" s="116"/>
      <c r="C140" s="140" t="str">
        <f>"Plus Common Use AC Facilities (line "&amp;A150&amp;")"</f>
        <v>Plus Common Use AC Facilities (line 107)</v>
      </c>
      <c r="D140" s="119"/>
      <c r="E140" s="127"/>
      <c r="F140" s="127"/>
      <c r="G140" s="127"/>
      <c r="H140" s="165"/>
      <c r="I140" s="127"/>
      <c r="J140" s="127">
        <f>+J150</f>
        <v>10941634</v>
      </c>
      <c r="K140" s="127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</row>
    <row r="141" spans="1:40">
      <c r="A141" s="124">
        <f t="shared" si="5"/>
        <v>98</v>
      </c>
      <c r="B141" s="116"/>
      <c r="C141" s="140" t="str">
        <f>"Total Gross Plant for the CUS System (line "&amp;A139&amp;" plus line "&amp;A140&amp;")"</f>
        <v>Total Gross Plant for the CUS System (line 96 plus line 97)</v>
      </c>
      <c r="D141" s="119"/>
      <c r="E141" s="127"/>
      <c r="F141" s="127"/>
      <c r="G141" s="127"/>
      <c r="H141" s="165"/>
      <c r="I141" s="127"/>
      <c r="J141" s="166">
        <f>SUM(J139:J140)</f>
        <v>265125416.27548924</v>
      </c>
      <c r="K141" s="127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</row>
    <row r="142" spans="1:40">
      <c r="A142" s="124">
        <f t="shared" si="5"/>
        <v>99</v>
      </c>
      <c r="B142" s="116"/>
      <c r="C142" s="140" t="str">
        <f>"Total CUS Plant (line "&amp;A136&amp;" plus line "&amp;A150&amp;")"</f>
        <v>Total CUS Plant (line 93 plus line 107)</v>
      </c>
      <c r="D142" s="119"/>
      <c r="E142" s="127"/>
      <c r="F142" s="127"/>
      <c r="G142" s="127"/>
      <c r="H142" s="165"/>
      <c r="I142" s="127"/>
      <c r="J142" s="127">
        <f>+J136+J150</f>
        <v>305091089.37211871</v>
      </c>
      <c r="K142" s="127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</row>
    <row r="143" spans="1:40">
      <c r="A143" s="124">
        <f t="shared" si="5"/>
        <v>100</v>
      </c>
      <c r="B143" s="116"/>
      <c r="C143" s="116"/>
      <c r="D143" s="119"/>
      <c r="E143" s="127"/>
      <c r="F143" s="127"/>
      <c r="G143" s="127"/>
      <c r="H143" s="165"/>
      <c r="I143" s="127"/>
      <c r="J143" s="116"/>
      <c r="K143" s="127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</row>
    <row r="144" spans="1:40">
      <c r="A144" s="124">
        <f t="shared" si="5"/>
        <v>101</v>
      </c>
      <c r="B144" s="116"/>
      <c r="C144" s="140" t="str">
        <f>"Percentage of transmission plant included in Common Use Facilities (line "&amp;A141&amp;" divided by line "&amp;A142&amp;")"</f>
        <v>Percentage of transmission plant included in Common Use Facilities (line 98 divided by line 99)</v>
      </c>
      <c r="D144" s="125"/>
      <c r="E144" s="125"/>
      <c r="F144" s="125"/>
      <c r="G144" s="125"/>
      <c r="H144" s="129"/>
      <c r="I144" s="127" t="s">
        <v>244</v>
      </c>
      <c r="J144" s="167">
        <f>ROUND(IF(J142&gt;0,J141/J142,0),6)</f>
        <v>0.869004</v>
      </c>
      <c r="K144" s="127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</row>
    <row r="145" spans="1:40">
      <c r="A145" s="124">
        <f t="shared" si="5"/>
        <v>102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27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</row>
    <row r="146" spans="1:40" ht="15.75" thickBot="1">
      <c r="A146" s="124">
        <f t="shared" si="5"/>
        <v>103</v>
      </c>
      <c r="B146" s="116"/>
      <c r="C146" s="140" t="s">
        <v>103</v>
      </c>
      <c r="D146" s="119"/>
      <c r="E146" s="139" t="s">
        <v>0</v>
      </c>
      <c r="F146" s="119"/>
      <c r="G146" s="119"/>
      <c r="H146" s="119"/>
      <c r="I146" s="119"/>
      <c r="J146" s="119"/>
      <c r="K146" s="116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</row>
    <row r="147" spans="1:40">
      <c r="A147" s="124">
        <f t="shared" si="5"/>
        <v>104</v>
      </c>
      <c r="B147" s="116"/>
      <c r="C147" s="140" t="s">
        <v>104</v>
      </c>
      <c r="D147" s="119"/>
      <c r="E147" s="127" t="str">
        <f>"Column (3) line "&amp;A17&amp;""</f>
        <v>Column (3) line 3</v>
      </c>
      <c r="F147" s="127"/>
      <c r="G147" s="127"/>
      <c r="H147" s="127"/>
      <c r="I147" s="127"/>
      <c r="J147" s="127">
        <f>+E17</f>
        <v>527070118.44801736</v>
      </c>
      <c r="K147" s="116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</row>
    <row r="148" spans="1:40">
      <c r="A148" s="124">
        <f t="shared" si="5"/>
        <v>105</v>
      </c>
      <c r="B148" s="116"/>
      <c r="C148" s="140" t="s">
        <v>107</v>
      </c>
      <c r="D148" s="116"/>
      <c r="E148" s="116" t="s">
        <v>170</v>
      </c>
      <c r="F148" s="116"/>
      <c r="G148" s="116"/>
      <c r="H148" s="116"/>
      <c r="I148" s="116"/>
      <c r="J148" s="127">
        <f>+J147-J150</f>
        <v>516128484.44801736</v>
      </c>
      <c r="K148" s="116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</row>
    <row r="149" spans="1:40" ht="15.75" thickBot="1">
      <c r="A149" s="124">
        <f t="shared" si="5"/>
        <v>106</v>
      </c>
      <c r="B149" s="116"/>
      <c r="C149" s="163" t="s">
        <v>108</v>
      </c>
      <c r="D149" s="164"/>
      <c r="E149" s="139" t="s">
        <v>170</v>
      </c>
      <c r="F149" s="127"/>
      <c r="G149" s="127"/>
      <c r="H149" s="165"/>
      <c r="I149" s="127"/>
      <c r="J149" s="139">
        <v>0</v>
      </c>
      <c r="K149" s="116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</row>
    <row r="150" spans="1:40">
      <c r="A150" s="124">
        <f t="shared" si="5"/>
        <v>107</v>
      </c>
      <c r="B150" s="116"/>
      <c r="C150" s="140" t="str">
        <f>"Common Use AC Facilities (line "&amp;A147&amp;" less lines "&amp;A148&amp;" &amp; "&amp;A149&amp;")"</f>
        <v>Common Use AC Facilities (line 104 less lines 105 &amp; 106)</v>
      </c>
      <c r="D150" s="119"/>
      <c r="E150" s="127"/>
      <c r="F150" s="127"/>
      <c r="G150" s="127"/>
      <c r="H150" s="165"/>
      <c r="I150" s="127"/>
      <c r="J150" s="127">
        <v>10941634</v>
      </c>
      <c r="K150" s="116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</row>
    <row r="151" spans="1:40">
      <c r="A151" s="124">
        <f t="shared" si="5"/>
        <v>108</v>
      </c>
      <c r="B151" s="116"/>
      <c r="C151" s="116"/>
      <c r="D151" s="119"/>
      <c r="E151" s="127"/>
      <c r="F151" s="127"/>
      <c r="G151" s="127"/>
      <c r="H151" s="165"/>
      <c r="I151" s="127"/>
      <c r="J151" s="116"/>
      <c r="K151" s="116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</row>
    <row r="152" spans="1:40">
      <c r="A152" s="124">
        <f t="shared" si="5"/>
        <v>109</v>
      </c>
      <c r="B152" s="116"/>
      <c r="C152" s="140" t="str">
        <f>"Percentage of distribution plant included in Common Use Facilities (line "&amp;A147&amp;" divided by line "&amp;A150&amp;")"</f>
        <v>Percentage of distribution plant included in Common Use Facilities (line 104 divided by line 107)</v>
      </c>
      <c r="D152" s="125"/>
      <c r="E152" s="125"/>
      <c r="F152" s="125"/>
      <c r="G152" s="125"/>
      <c r="H152" s="129"/>
      <c r="I152" s="127" t="s">
        <v>106</v>
      </c>
      <c r="J152" s="167">
        <f>ROUND(IF(J147&gt;0,J150/J147,0),6)</f>
        <v>2.0759E-2</v>
      </c>
      <c r="K152" s="116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</row>
    <row r="153" spans="1:40">
      <c r="A153" s="124">
        <f t="shared" si="5"/>
        <v>110</v>
      </c>
      <c r="B153" s="116"/>
      <c r="C153" s="116"/>
      <c r="D153" s="119"/>
      <c r="E153" s="127"/>
      <c r="F153" s="127"/>
      <c r="G153" s="127"/>
      <c r="H153" s="165"/>
      <c r="I153" s="127"/>
      <c r="J153" s="116"/>
      <c r="K153" s="116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</row>
    <row r="154" spans="1:40" ht="15.75" thickBot="1">
      <c r="A154" s="124">
        <f t="shared" si="5"/>
        <v>111</v>
      </c>
      <c r="B154" s="116"/>
      <c r="C154" s="140" t="s">
        <v>222</v>
      </c>
      <c r="D154" s="119"/>
      <c r="E154" s="139" t="s">
        <v>0</v>
      </c>
      <c r="F154" s="127"/>
      <c r="G154" s="127"/>
      <c r="H154" s="165"/>
      <c r="I154" s="127"/>
      <c r="J154" s="127"/>
      <c r="K154" s="116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</row>
    <row r="155" spans="1:40">
      <c r="A155" s="124">
        <f t="shared" si="5"/>
        <v>112</v>
      </c>
      <c r="B155" s="116"/>
      <c r="C155" s="116" t="s">
        <v>78</v>
      </c>
      <c r="D155" s="119"/>
      <c r="E155" s="127" t="str">
        <f>"Column (3) line "&amp;A26&amp;""</f>
        <v>Column (3) line 12</v>
      </c>
      <c r="F155" s="127"/>
      <c r="G155" s="127"/>
      <c r="H155" s="165"/>
      <c r="I155" s="127"/>
      <c r="J155" s="127">
        <f>+E26</f>
        <v>46318613.748470955</v>
      </c>
      <c r="K155" s="116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</row>
    <row r="156" spans="1:40">
      <c r="A156" s="124">
        <f t="shared" si="5"/>
        <v>113</v>
      </c>
      <c r="B156" s="116"/>
      <c r="C156" s="140" t="s">
        <v>405</v>
      </c>
      <c r="D156" s="119"/>
      <c r="E156" s="127" t="s">
        <v>170</v>
      </c>
      <c r="F156" s="127"/>
      <c r="G156" s="127"/>
      <c r="H156" s="165"/>
      <c r="I156" s="127"/>
      <c r="J156" s="168">
        <v>10880597.688141745</v>
      </c>
      <c r="K156" s="116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</row>
    <row r="157" spans="1:40">
      <c r="A157" s="124">
        <f t="shared" si="5"/>
        <v>114</v>
      </c>
      <c r="B157" s="116"/>
      <c r="C157" s="169" t="str">
        <f>"Total Transmission Accumulated Depreciation included in Common Use Facilities (line "&amp;A155&amp;" - line "&amp;A156&amp;")"</f>
        <v>Total Transmission Accumulated Depreciation included in Common Use Facilities (line 112 - line 113)</v>
      </c>
      <c r="D157" s="170"/>
      <c r="E157" s="166"/>
      <c r="F157" s="127"/>
      <c r="G157" s="127"/>
      <c r="H157" s="165"/>
      <c r="I157" s="127"/>
      <c r="J157" s="166">
        <f>J155-J156</f>
        <v>35438016.060329214</v>
      </c>
      <c r="K157" s="116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</row>
    <row r="158" spans="1:40">
      <c r="A158" s="124">
        <f t="shared" si="5"/>
        <v>115</v>
      </c>
      <c r="B158" s="116"/>
      <c r="C158" s="140" t="str">
        <f>"Plus Common Use AC Facilities Accumulated Depreciation (line "&amp;A167&amp;")"</f>
        <v>Plus Common Use AC Facilities Accumulated Depreciation (line 124)</v>
      </c>
      <c r="D158" s="119"/>
      <c r="E158" s="127"/>
      <c r="F158" s="127"/>
      <c r="G158" s="127"/>
      <c r="H158" s="165"/>
      <c r="I158" s="127"/>
      <c r="J158" s="127">
        <f>+J167</f>
        <v>4454184</v>
      </c>
      <c r="K158" s="116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</row>
    <row r="159" spans="1:40">
      <c r="A159" s="124">
        <f t="shared" si="5"/>
        <v>116</v>
      </c>
      <c r="B159" s="116"/>
      <c r="C159" s="140" t="str">
        <f>"Total Accumulated Depreciation for the CUS System (line "&amp;A157&amp;" plus line "&amp;A158&amp;")"</f>
        <v>Total Accumulated Depreciation for the CUS System (line 114 plus line 115)</v>
      </c>
      <c r="D159" s="119"/>
      <c r="E159" s="127"/>
      <c r="F159" s="127"/>
      <c r="G159" s="127"/>
      <c r="H159" s="165"/>
      <c r="I159" s="127"/>
      <c r="J159" s="166">
        <f>SUM(J157:J158)</f>
        <v>39892200.060329214</v>
      </c>
      <c r="K159" s="116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</row>
    <row r="160" spans="1:40">
      <c r="A160" s="124">
        <f t="shared" si="5"/>
        <v>117</v>
      </c>
      <c r="B160" s="116"/>
      <c r="C160" s="140" t="str">
        <f>"Total CUS Accumulated Depreciation (line "&amp;A155&amp;" plus line "&amp;A158&amp;")"</f>
        <v>Total CUS Accumulated Depreciation (line 112 plus line 115)</v>
      </c>
      <c r="D160" s="119"/>
      <c r="E160" s="127"/>
      <c r="F160" s="127"/>
      <c r="G160" s="127"/>
      <c r="H160" s="165"/>
      <c r="I160" s="127"/>
      <c r="J160" s="127">
        <f>+J155+J158</f>
        <v>50772797.748470955</v>
      </c>
      <c r="K160" s="116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</row>
    <row r="161" spans="1:40">
      <c r="A161" s="124">
        <f t="shared" si="5"/>
        <v>118</v>
      </c>
      <c r="B161" s="116"/>
      <c r="C161" s="116"/>
      <c r="D161" s="119"/>
      <c r="E161" s="127"/>
      <c r="F161" s="127"/>
      <c r="G161" s="127"/>
      <c r="H161" s="165"/>
      <c r="I161" s="127"/>
      <c r="J161" s="127"/>
      <c r="K161" s="116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</row>
    <row r="162" spans="1:40">
      <c r="A162" s="124">
        <f t="shared" si="5"/>
        <v>119</v>
      </c>
      <c r="B162" s="116"/>
      <c r="C162" s="140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116 divided by line 117)</v>
      </c>
      <c r="D162" s="119"/>
      <c r="E162" s="127"/>
      <c r="F162" s="127"/>
      <c r="G162" s="127"/>
      <c r="H162" s="165"/>
      <c r="I162" s="127" t="s">
        <v>79</v>
      </c>
      <c r="J162" s="167">
        <f>ROUND(IF(J160&gt;0,J159/J160,0),6)</f>
        <v>0.78569999999999995</v>
      </c>
      <c r="K162" s="116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</row>
    <row r="163" spans="1:40">
      <c r="A163" s="124">
        <f t="shared" si="5"/>
        <v>120</v>
      </c>
      <c r="B163" s="116"/>
      <c r="C163" s="116"/>
      <c r="D163" s="119"/>
      <c r="E163" s="127"/>
      <c r="F163" s="127"/>
      <c r="G163" s="127"/>
      <c r="H163" s="165"/>
      <c r="I163" s="127"/>
      <c r="J163" s="127"/>
      <c r="K163" s="116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</row>
    <row r="164" spans="1:40" ht="15.75" thickBot="1">
      <c r="A164" s="124">
        <f t="shared" si="5"/>
        <v>121</v>
      </c>
      <c r="B164" s="116"/>
      <c r="C164" s="116"/>
      <c r="D164" s="119"/>
      <c r="E164" s="139" t="s">
        <v>0</v>
      </c>
      <c r="F164" s="127"/>
      <c r="G164" s="127"/>
      <c r="H164" s="165"/>
      <c r="I164" s="127"/>
      <c r="J164" s="127"/>
      <c r="K164" s="116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</row>
    <row r="165" spans="1:40">
      <c r="A165" s="124">
        <f t="shared" si="5"/>
        <v>122</v>
      </c>
      <c r="B165" s="116"/>
      <c r="C165" s="116" t="s">
        <v>81</v>
      </c>
      <c r="D165" s="119"/>
      <c r="E165" s="127" t="str">
        <f>"Column (3) line "&amp;A27&amp;""</f>
        <v>Column (3) line 13</v>
      </c>
      <c r="F165" s="127"/>
      <c r="G165" s="127"/>
      <c r="H165" s="165"/>
      <c r="I165" s="127"/>
      <c r="J165" s="127">
        <f>+E27</f>
        <v>169975654.74032509</v>
      </c>
      <c r="K165" s="116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</row>
    <row r="166" spans="1:40">
      <c r="A166" s="124">
        <f t="shared" si="5"/>
        <v>123</v>
      </c>
      <c r="B166" s="116"/>
      <c r="C166" s="116" t="s">
        <v>171</v>
      </c>
      <c r="D166" s="119"/>
      <c r="E166" s="127"/>
      <c r="F166" s="127"/>
      <c r="G166" s="127"/>
      <c r="H166" s="165"/>
      <c r="I166" s="127"/>
      <c r="J166" s="127">
        <f>+J165-J167</f>
        <v>165521470.74032509</v>
      </c>
      <c r="K166" s="116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</row>
    <row r="167" spans="1:40">
      <c r="A167" s="124">
        <f t="shared" si="5"/>
        <v>124</v>
      </c>
      <c r="B167" s="116"/>
      <c r="C167" s="171" t="str">
        <f>"Common Use AC Facilities (line "&amp;A165&amp;" less line "&amp;A166&amp;")"</f>
        <v>Common Use AC Facilities (line 122 less line 123)</v>
      </c>
      <c r="D167" s="170"/>
      <c r="E167" s="166"/>
      <c r="F167" s="127"/>
      <c r="G167" s="127"/>
      <c r="H167" s="165"/>
      <c r="I167" s="127"/>
      <c r="J167" s="166">
        <v>4454184</v>
      </c>
      <c r="K167" s="116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</row>
    <row r="168" spans="1:40">
      <c r="A168" s="124">
        <f t="shared" si="5"/>
        <v>125</v>
      </c>
      <c r="B168" s="116"/>
      <c r="C168" s="116"/>
      <c r="D168" s="119"/>
      <c r="E168" s="127"/>
      <c r="F168" s="127"/>
      <c r="G168" s="127"/>
      <c r="H168" s="165"/>
      <c r="I168" s="127"/>
      <c r="J168" s="127"/>
      <c r="K168" s="116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</row>
    <row r="169" spans="1:40">
      <c r="A169" s="124">
        <f t="shared" si="5"/>
        <v>126</v>
      </c>
      <c r="B169" s="116"/>
      <c r="C169" s="140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124 divided by line 122)</v>
      </c>
      <c r="D169" s="119"/>
      <c r="E169" s="127"/>
      <c r="F169" s="127"/>
      <c r="G169" s="127"/>
      <c r="H169" s="165"/>
      <c r="I169" s="127" t="s">
        <v>82</v>
      </c>
      <c r="J169" s="167">
        <f>ROUND(IF(J165&gt;0,J167/J165,0),6)</f>
        <v>2.6204999999999999E-2</v>
      </c>
      <c r="K169" s="116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</row>
    <row r="170" spans="1:40">
      <c r="A170" s="124">
        <f t="shared" si="5"/>
        <v>127</v>
      </c>
      <c r="B170" s="116"/>
      <c r="C170" s="116"/>
      <c r="D170" s="119"/>
      <c r="E170" s="127"/>
      <c r="F170" s="127"/>
      <c r="G170" s="127"/>
      <c r="H170" s="165"/>
      <c r="I170" s="127"/>
      <c r="J170" s="127"/>
      <c r="K170" s="116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</row>
    <row r="171" spans="1:40">
      <c r="A171" s="124">
        <f t="shared" si="5"/>
        <v>128</v>
      </c>
      <c r="B171" s="116"/>
      <c r="C171" s="119" t="s">
        <v>245</v>
      </c>
      <c r="D171" s="127"/>
      <c r="E171" s="127"/>
      <c r="F171" s="127"/>
      <c r="G171" s="127"/>
      <c r="H171" s="127"/>
      <c r="I171" s="127"/>
      <c r="J171" s="127"/>
      <c r="K171" s="127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</row>
    <row r="172" spans="1:40" ht="15.75" thickBot="1">
      <c r="A172" s="124">
        <f t="shared" si="5"/>
        <v>129</v>
      </c>
      <c r="B172" s="116"/>
      <c r="C172" s="119"/>
      <c r="D172" s="139" t="s">
        <v>246</v>
      </c>
      <c r="E172" s="172" t="s">
        <v>247</v>
      </c>
      <c r="F172" s="172" t="s">
        <v>200</v>
      </c>
      <c r="G172" s="127"/>
      <c r="H172" s="172" t="s">
        <v>248</v>
      </c>
      <c r="I172" s="127"/>
      <c r="J172" s="165"/>
      <c r="K172" s="127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</row>
    <row r="173" spans="1:40">
      <c r="A173" s="124">
        <f t="shared" si="5"/>
        <v>130</v>
      </c>
      <c r="B173" s="116"/>
      <c r="C173" s="119" t="s">
        <v>215</v>
      </c>
      <c r="D173" s="127" t="s">
        <v>127</v>
      </c>
      <c r="E173" s="127">
        <v>1868765</v>
      </c>
      <c r="F173" s="173">
        <f>+J144</f>
        <v>0.869004</v>
      </c>
      <c r="G173" s="116"/>
      <c r="H173" s="127">
        <f>E173*F173</f>
        <v>1623964.26006</v>
      </c>
      <c r="I173" s="127"/>
      <c r="J173" s="174"/>
      <c r="K173" s="127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</row>
    <row r="174" spans="1:40">
      <c r="A174" s="124">
        <f t="shared" si="5"/>
        <v>131</v>
      </c>
      <c r="B174" s="116"/>
      <c r="C174" s="119" t="s">
        <v>141</v>
      </c>
      <c r="D174" s="127" t="s">
        <v>142</v>
      </c>
      <c r="E174" s="127">
        <v>30483609</v>
      </c>
      <c r="F174" s="173">
        <v>0</v>
      </c>
      <c r="G174" s="173"/>
      <c r="H174" s="127">
        <f>E174*F174</f>
        <v>0</v>
      </c>
      <c r="I174" s="127"/>
      <c r="J174" s="165" t="s">
        <v>249</v>
      </c>
      <c r="K174" s="127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</row>
    <row r="175" spans="1:40" ht="15.75" thickBot="1">
      <c r="A175" s="124">
        <f t="shared" si="5"/>
        <v>132</v>
      </c>
      <c r="B175" s="116"/>
      <c r="C175" s="119" t="s">
        <v>143</v>
      </c>
      <c r="D175" s="127" t="s">
        <v>144</v>
      </c>
      <c r="E175" s="139">
        <v>-15921302</v>
      </c>
      <c r="F175" s="173">
        <v>0</v>
      </c>
      <c r="G175" s="173"/>
      <c r="H175" s="139">
        <f>E175*F175</f>
        <v>0</v>
      </c>
      <c r="I175" s="127"/>
      <c r="J175" s="135" t="s">
        <v>250</v>
      </c>
      <c r="K175" s="127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</row>
    <row r="176" spans="1:40">
      <c r="A176" s="124">
        <f t="shared" si="5"/>
        <v>133</v>
      </c>
      <c r="B176" s="116"/>
      <c r="C176" s="119" t="str">
        <f>"  Adjusted Total  (sum lines "&amp;A174&amp;"-"&amp;A175&amp;")"</f>
        <v xml:space="preserve">  Adjusted Total  (sum lines 131-132)</v>
      </c>
      <c r="D176" s="127"/>
      <c r="E176" s="127">
        <f>SUM(E174:E175)</f>
        <v>14562307</v>
      </c>
      <c r="F176" s="127"/>
      <c r="G176" s="116"/>
      <c r="H176" s="127">
        <f>SUM(H173:H175)</f>
        <v>1623964.26006</v>
      </c>
      <c r="I176" s="127" t="s">
        <v>92</v>
      </c>
      <c r="J176" s="137">
        <f>IF(E176&gt;0,+H176/E176,0)</f>
        <v>0.11151833703684451</v>
      </c>
      <c r="K176" s="165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</row>
    <row r="177" spans="1:40">
      <c r="A177" s="124">
        <f t="shared" si="5"/>
        <v>134</v>
      </c>
      <c r="B177" s="116"/>
      <c r="C177" s="119"/>
      <c r="D177" s="127"/>
      <c r="E177" s="127"/>
      <c r="F177" s="127"/>
      <c r="G177" s="127"/>
      <c r="H177" s="127"/>
      <c r="I177" s="127"/>
      <c r="J177" s="127"/>
      <c r="K177" s="127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</row>
    <row r="178" spans="1:40">
      <c r="A178" s="124">
        <f t="shared" si="5"/>
        <v>135</v>
      </c>
      <c r="B178" s="116"/>
      <c r="C178" s="119" t="s">
        <v>128</v>
      </c>
      <c r="D178" s="127"/>
      <c r="E178" s="127"/>
      <c r="F178" s="127"/>
      <c r="G178" s="127"/>
      <c r="H178" s="127"/>
      <c r="I178" s="127"/>
      <c r="J178" s="127"/>
      <c r="K178" s="127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</row>
    <row r="179" spans="1:40" ht="15.75" thickBot="1">
      <c r="A179" s="124">
        <f t="shared" si="5"/>
        <v>136</v>
      </c>
      <c r="B179" s="116"/>
      <c r="C179" s="119"/>
      <c r="D179" s="127"/>
      <c r="E179" s="172" t="s">
        <v>247</v>
      </c>
      <c r="F179" s="172" t="s">
        <v>254</v>
      </c>
      <c r="G179" s="143" t="s">
        <v>200</v>
      </c>
      <c r="H179" s="175" t="s">
        <v>131</v>
      </c>
      <c r="I179" s="153"/>
      <c r="J179" s="141"/>
      <c r="K179" s="116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</row>
    <row r="180" spans="1:40">
      <c r="A180" s="124">
        <f t="shared" si="5"/>
        <v>137</v>
      </c>
      <c r="B180" s="116"/>
      <c r="C180" s="119" t="s">
        <v>129</v>
      </c>
      <c r="D180" s="176" t="s">
        <v>439</v>
      </c>
      <c r="E180" s="127">
        <f>J136-J155</f>
        <v>247830841.62364775</v>
      </c>
      <c r="F180" s="34">
        <f>IF(E182&gt;0,+E180/E182,0)</f>
        <v>0.40968833579858521</v>
      </c>
      <c r="G180" s="78">
        <f>+J144</f>
        <v>0.869004</v>
      </c>
      <c r="H180" s="79">
        <f>IF(F180&gt;0,+G180*F180,0)</f>
        <v>0.35602080256231372</v>
      </c>
      <c r="I180" s="177"/>
      <c r="J180" s="124"/>
      <c r="K180" s="127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</row>
    <row r="181" spans="1:40">
      <c r="A181" s="124">
        <f t="shared" si="5"/>
        <v>138</v>
      </c>
      <c r="B181" s="116"/>
      <c r="C181" s="119" t="s">
        <v>130</v>
      </c>
      <c r="D181" s="176" t="s">
        <v>440</v>
      </c>
      <c r="E181" s="127">
        <f>J147-J165</f>
        <v>357094463.70769227</v>
      </c>
      <c r="F181" s="34">
        <f>IF(E182&gt;0,+E181/E182,0)</f>
        <v>0.59031166420141468</v>
      </c>
      <c r="G181" s="116"/>
      <c r="H181" s="151"/>
      <c r="I181" s="165"/>
      <c r="J181" s="151"/>
      <c r="K181" s="153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</row>
    <row r="182" spans="1:40">
      <c r="A182" s="124">
        <f t="shared" si="5"/>
        <v>139</v>
      </c>
      <c r="B182" s="116"/>
      <c r="C182" s="119" t="str">
        <f>"  Total  (sum lines "&amp;A180&amp;" - "&amp;A181&amp;")"</f>
        <v xml:space="preserve">  Total  (sum lines 137 - 138)</v>
      </c>
      <c r="D182" s="127"/>
      <c r="E182" s="166">
        <f>SUM(E180:E181)</f>
        <v>604925305.33134007</v>
      </c>
      <c r="F182" s="80">
        <f>SUM(F180:F181)</f>
        <v>0.99999999999999989</v>
      </c>
      <c r="G182" s="127"/>
      <c r="H182" s="127"/>
      <c r="I182" s="127" t="s">
        <v>132</v>
      </c>
      <c r="J182" s="81">
        <f>+H180</f>
        <v>0.35602080256231372</v>
      </c>
      <c r="K182" s="127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</row>
    <row r="183" spans="1:40">
      <c r="A183" s="124">
        <f t="shared" si="5"/>
        <v>140</v>
      </c>
      <c r="B183" s="116"/>
      <c r="C183" s="119"/>
      <c r="D183" s="127"/>
      <c r="E183" s="116"/>
      <c r="F183" s="127"/>
      <c r="G183" s="127"/>
      <c r="H183" s="127"/>
      <c r="I183" s="127"/>
      <c r="J183" s="81"/>
      <c r="K183" s="127"/>
      <c r="L183" s="120"/>
      <c r="M183" s="120"/>
      <c r="N183" s="178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</row>
    <row r="184" spans="1:40" s="181" customFormat="1" ht="15.75" thickBot="1">
      <c r="A184" s="124">
        <f t="shared" si="5"/>
        <v>141</v>
      </c>
      <c r="B184" s="179"/>
      <c r="C184" s="180" t="s">
        <v>252</v>
      </c>
      <c r="D184" s="143" t="s">
        <v>246</v>
      </c>
      <c r="E184" s="127"/>
      <c r="F184" s="127"/>
      <c r="G184" s="127"/>
      <c r="H184" s="127"/>
      <c r="I184" s="127"/>
      <c r="J184" s="172" t="s">
        <v>247</v>
      </c>
      <c r="K184" s="127"/>
      <c r="L184" s="120"/>
      <c r="M184" s="120"/>
      <c r="N184" s="178"/>
    </row>
    <row r="185" spans="1:40">
      <c r="A185" s="124">
        <f t="shared" si="5"/>
        <v>142</v>
      </c>
      <c r="B185" s="179"/>
      <c r="C185" s="119" t="s">
        <v>329</v>
      </c>
      <c r="D185" s="127" t="s">
        <v>441</v>
      </c>
      <c r="E185" s="127"/>
      <c r="F185" s="127"/>
      <c r="G185" s="127"/>
      <c r="H185" s="127"/>
      <c r="I185" s="127"/>
      <c r="J185" s="11">
        <f>20213000+201362+184959</f>
        <v>20599321</v>
      </c>
      <c r="K185" s="127"/>
      <c r="L185" s="120"/>
      <c r="M185" s="120"/>
      <c r="N185" s="178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</row>
    <row r="186" spans="1:40">
      <c r="A186" s="124">
        <f t="shared" si="5"/>
        <v>143</v>
      </c>
      <c r="B186" s="181"/>
      <c r="C186" s="119"/>
      <c r="D186" s="127"/>
      <c r="E186" s="127"/>
      <c r="F186" s="127"/>
      <c r="G186" s="127"/>
      <c r="H186" s="127"/>
      <c r="I186" s="127"/>
      <c r="J186" s="127"/>
      <c r="K186" s="127"/>
      <c r="L186" s="120"/>
      <c r="M186" s="120"/>
      <c r="N186" s="182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</row>
    <row r="187" spans="1:40">
      <c r="A187" s="124">
        <f t="shared" si="5"/>
        <v>144</v>
      </c>
      <c r="B187" s="179"/>
      <c r="C187" s="119" t="s">
        <v>330</v>
      </c>
      <c r="D187" s="127" t="s">
        <v>331</v>
      </c>
      <c r="E187" s="127"/>
      <c r="F187" s="127"/>
      <c r="G187" s="127"/>
      <c r="H187" s="127"/>
      <c r="I187" s="127"/>
      <c r="J187" s="11">
        <v>0</v>
      </c>
      <c r="K187" s="127"/>
      <c r="L187" s="120"/>
      <c r="M187" s="120"/>
      <c r="N187" s="182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</row>
    <row r="188" spans="1:40">
      <c r="A188" s="124">
        <f t="shared" si="5"/>
        <v>145</v>
      </c>
      <c r="B188" s="179"/>
      <c r="C188" s="119"/>
      <c r="D188" s="127"/>
      <c r="E188" s="127"/>
      <c r="F188" s="127"/>
      <c r="G188" s="127"/>
      <c r="H188" s="127"/>
      <c r="I188" s="127"/>
      <c r="J188" s="127"/>
      <c r="K188" s="127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</row>
    <row r="189" spans="1:40">
      <c r="A189" s="124">
        <f t="shared" si="5"/>
        <v>146</v>
      </c>
      <c r="B189" s="179"/>
      <c r="C189" s="180" t="s">
        <v>332</v>
      </c>
      <c r="D189" s="143" t="s">
        <v>246</v>
      </c>
      <c r="E189" s="127"/>
      <c r="F189" s="127"/>
      <c r="G189" s="127"/>
      <c r="H189" s="127"/>
      <c r="I189" s="127"/>
      <c r="J189" s="127"/>
      <c r="K189" s="127"/>
      <c r="L189" s="120"/>
      <c r="M189" s="120"/>
      <c r="N189" s="182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</row>
    <row r="190" spans="1:40">
      <c r="A190" s="124">
        <f t="shared" si="5"/>
        <v>147</v>
      </c>
      <c r="B190" s="179"/>
      <c r="C190" s="119" t="s">
        <v>22</v>
      </c>
      <c r="D190" s="127" t="s">
        <v>333</v>
      </c>
      <c r="E190" s="119"/>
      <c r="F190" s="127"/>
      <c r="G190" s="127"/>
      <c r="H190" s="127"/>
      <c r="I190" s="127"/>
      <c r="J190" s="11">
        <v>588273661</v>
      </c>
      <c r="K190" s="127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</row>
    <row r="191" spans="1:40">
      <c r="A191" s="124">
        <f t="shared" si="5"/>
        <v>148</v>
      </c>
      <c r="B191" s="179"/>
      <c r="C191" s="119" t="s">
        <v>334</v>
      </c>
      <c r="D191" s="127" t="s">
        <v>335</v>
      </c>
      <c r="E191" s="127"/>
      <c r="F191" s="127"/>
      <c r="G191" s="127"/>
      <c r="H191" s="127"/>
      <c r="I191" s="127"/>
      <c r="J191" s="11">
        <v>0</v>
      </c>
      <c r="K191" s="127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</row>
    <row r="192" spans="1:40">
      <c r="A192" s="124">
        <f t="shared" si="5"/>
        <v>149</v>
      </c>
      <c r="B192" s="179"/>
      <c r="C192" s="119" t="s">
        <v>336</v>
      </c>
      <c r="D192" s="127" t="s">
        <v>337</v>
      </c>
      <c r="E192" s="127"/>
      <c r="F192" s="127"/>
      <c r="G192" s="127"/>
      <c r="H192" s="127"/>
      <c r="I192" s="127"/>
      <c r="J192" s="19">
        <v>0</v>
      </c>
      <c r="K192" s="127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</row>
    <row r="193" spans="1:40" ht="15.75" thickBot="1">
      <c r="A193" s="124">
        <f t="shared" si="5"/>
        <v>150</v>
      </c>
      <c r="B193" s="179"/>
      <c r="C193" s="119" t="s">
        <v>338</v>
      </c>
      <c r="D193" s="127" t="s">
        <v>339</v>
      </c>
      <c r="E193" s="127"/>
      <c r="F193" s="127"/>
      <c r="G193" s="127"/>
      <c r="H193" s="127"/>
      <c r="I193" s="127"/>
      <c r="J193" s="77">
        <v>761474</v>
      </c>
      <c r="K193" s="127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</row>
    <row r="194" spans="1:40">
      <c r="A194" s="124">
        <f t="shared" si="5"/>
        <v>151</v>
      </c>
      <c r="B194" s="179"/>
      <c r="C194" s="183" t="s">
        <v>340</v>
      </c>
      <c r="D194" s="127"/>
      <c r="E194" s="119" t="str">
        <f>"(sum lines "&amp;A190&amp;"-"&amp;A193&amp;")"</f>
        <v>(sum lines 147-150)</v>
      </c>
      <c r="F194" s="119"/>
      <c r="G194" s="119"/>
      <c r="H194" s="119"/>
      <c r="I194" s="119"/>
      <c r="J194" s="11">
        <f>SUM(J190:J193)</f>
        <v>589035135</v>
      </c>
      <c r="K194" s="127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</row>
    <row r="195" spans="1:40">
      <c r="A195" s="124">
        <f t="shared" si="5"/>
        <v>152</v>
      </c>
      <c r="B195" s="116"/>
      <c r="C195" s="119"/>
      <c r="D195" s="127"/>
      <c r="E195" s="127"/>
      <c r="F195" s="127"/>
      <c r="G195" s="127"/>
      <c r="H195" s="165"/>
      <c r="I195" s="127"/>
      <c r="J195" s="127"/>
      <c r="K195" s="127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</row>
    <row r="196" spans="1:40" ht="15.75" thickBot="1">
      <c r="A196" s="124">
        <f t="shared" si="5"/>
        <v>153</v>
      </c>
      <c r="B196" s="116"/>
      <c r="C196" s="119"/>
      <c r="D196" s="139" t="s">
        <v>246</v>
      </c>
      <c r="E196" s="184" t="s">
        <v>247</v>
      </c>
      <c r="F196" s="135" t="s">
        <v>254</v>
      </c>
      <c r="G196" s="127"/>
      <c r="H196" s="135" t="s">
        <v>253</v>
      </c>
      <c r="I196" s="127"/>
      <c r="J196" s="135" t="s">
        <v>255</v>
      </c>
      <c r="K196" s="127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</row>
    <row r="197" spans="1:40">
      <c r="A197" s="124">
        <f t="shared" si="5"/>
        <v>154</v>
      </c>
      <c r="B197" s="116"/>
      <c r="C197" s="140" t="s">
        <v>327</v>
      </c>
      <c r="D197" s="185" t="s">
        <v>391</v>
      </c>
      <c r="E197" s="127">
        <v>339934450</v>
      </c>
      <c r="F197" s="186">
        <v>0.43</v>
      </c>
      <c r="G197" s="187"/>
      <c r="H197" s="34">
        <f>IF(E197&gt;0,+J185/E197,0)</f>
        <v>6.0597921158035029E-2</v>
      </c>
      <c r="I197" s="116"/>
      <c r="J197" s="34">
        <f>H197*F197</f>
        <v>2.6057106097955061E-2</v>
      </c>
      <c r="K197" s="188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</row>
    <row r="198" spans="1:40">
      <c r="A198" s="124">
        <f t="shared" si="5"/>
        <v>155</v>
      </c>
      <c r="B198" s="116"/>
      <c r="C198" s="140" t="s">
        <v>328</v>
      </c>
      <c r="D198" s="134" t="s">
        <v>335</v>
      </c>
      <c r="E198" s="127"/>
      <c r="F198" s="186">
        <f>IF($E$200&gt;0,E198/$E$200,0)</f>
        <v>0</v>
      </c>
      <c r="G198" s="187"/>
      <c r="H198" s="34">
        <f>IF(E198&gt;0,J187/E198,0)</f>
        <v>0</v>
      </c>
      <c r="I198" s="116"/>
      <c r="J198" s="34">
        <f>H198*F198</f>
        <v>0</v>
      </c>
      <c r="K198" s="127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</row>
    <row r="199" spans="1:40" ht="15.75" thickBot="1">
      <c r="A199" s="124">
        <f t="shared" si="5"/>
        <v>156</v>
      </c>
      <c r="B199" s="116"/>
      <c r="C199" s="183" t="s">
        <v>341</v>
      </c>
      <c r="D199" s="134" t="str">
        <f>"(see above line "&amp;A194&amp;")"</f>
        <v>(see above line 151)</v>
      </c>
      <c r="E199" s="139">
        <f>+J194</f>
        <v>589035135</v>
      </c>
      <c r="F199" s="186">
        <v>0.56999999999999995</v>
      </c>
      <c r="G199" s="116" t="s">
        <v>172</v>
      </c>
      <c r="H199" s="34">
        <v>0.108</v>
      </c>
      <c r="I199" s="116" t="s">
        <v>172</v>
      </c>
      <c r="J199" s="82">
        <f>H199*F199</f>
        <v>6.1559999999999997E-2</v>
      </c>
      <c r="K199" s="127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</row>
    <row r="200" spans="1:40">
      <c r="A200" s="124">
        <f t="shared" si="5"/>
        <v>157</v>
      </c>
      <c r="B200" s="116"/>
      <c r="C200" s="119" t="str">
        <f>"Total  (sum lines "&amp;A197&amp;"-"&amp;A199&amp;")"</f>
        <v>Total  (sum lines 154-156)</v>
      </c>
      <c r="D200" s="116"/>
      <c r="E200" s="127">
        <f>E199+E198+E197</f>
        <v>928969585</v>
      </c>
      <c r="F200" s="127" t="s">
        <v>194</v>
      </c>
      <c r="G200" s="127"/>
      <c r="H200" s="127"/>
      <c r="I200" s="127" t="s">
        <v>357</v>
      </c>
      <c r="J200" s="34">
        <f>SUM(J197:J199)</f>
        <v>8.7617106097955061E-2</v>
      </c>
      <c r="K200" s="188"/>
      <c r="L200" s="120"/>
      <c r="M200" s="189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</row>
    <row r="201" spans="1:40">
      <c r="A201" s="124"/>
      <c r="B201" s="116"/>
      <c r="C201" s="119"/>
      <c r="D201" s="116"/>
      <c r="E201" s="127"/>
      <c r="F201" s="127"/>
      <c r="G201" s="127"/>
      <c r="H201" s="127"/>
      <c r="I201" s="158" t="s">
        <v>417</v>
      </c>
      <c r="J201" s="83">
        <f>J1</f>
        <v>45443</v>
      </c>
      <c r="K201" s="188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</row>
    <row r="202" spans="1:40">
      <c r="A202" s="116"/>
      <c r="B202" s="116"/>
      <c r="C202" s="116"/>
      <c r="D202" s="116"/>
      <c r="E202" s="116"/>
      <c r="F202" s="127"/>
      <c r="G202" s="127"/>
      <c r="I202" s="118" t="str">
        <f>$I$2</f>
        <v>Service Year</v>
      </c>
      <c r="J202" s="119">
        <f>$J$2</f>
        <v>2023</v>
      </c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</row>
    <row r="203" spans="1:40">
      <c r="A203" s="124"/>
      <c r="B203" s="116"/>
      <c r="C203" s="119"/>
      <c r="D203" s="119"/>
      <c r="E203" s="127"/>
      <c r="F203" s="127"/>
      <c r="G203" s="127"/>
      <c r="H203" s="127"/>
      <c r="I203" s="119"/>
      <c r="J203" s="127"/>
      <c r="K203" s="119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</row>
    <row r="204" spans="1:40" ht="15.75">
      <c r="A204" s="273" t="s">
        <v>321</v>
      </c>
      <c r="B204" s="273"/>
      <c r="C204" s="273"/>
      <c r="D204" s="273"/>
      <c r="E204" s="273"/>
      <c r="F204" s="273"/>
      <c r="G204" s="273"/>
      <c r="H204" s="273"/>
      <c r="I204" s="273"/>
      <c r="J204" s="273"/>
      <c r="K204" s="273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</row>
    <row r="205" spans="1:40" ht="15.75">
      <c r="A205" s="274" t="s">
        <v>195</v>
      </c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</row>
    <row r="206" spans="1:40">
      <c r="A206" s="116"/>
      <c r="B206" s="116"/>
      <c r="C206" s="119"/>
      <c r="D206" s="119"/>
      <c r="F206" s="119"/>
      <c r="G206" s="119"/>
      <c r="H206" s="119"/>
      <c r="I206" s="119"/>
      <c r="J206" s="119"/>
      <c r="K206" s="119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</row>
    <row r="207" spans="1:40" ht="15.75">
      <c r="A207" s="275" t="s">
        <v>320</v>
      </c>
      <c r="B207" s="275"/>
      <c r="C207" s="275"/>
      <c r="D207" s="275"/>
      <c r="E207" s="275"/>
      <c r="F207" s="275"/>
      <c r="G207" s="275"/>
      <c r="H207" s="275"/>
      <c r="I207" s="275"/>
      <c r="J207" s="275"/>
      <c r="K207" s="275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</row>
    <row r="208" spans="1:40">
      <c r="A208" s="124"/>
      <c r="B208" s="140"/>
      <c r="C208" s="190"/>
      <c r="D208" s="124"/>
      <c r="E208" s="127"/>
      <c r="F208" s="127"/>
      <c r="G208" s="127"/>
      <c r="H208" s="127"/>
      <c r="I208" s="140"/>
      <c r="J208" s="191"/>
      <c r="K208" s="192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</row>
    <row r="209" spans="1:40">
      <c r="A209" s="116"/>
      <c r="B209" s="140"/>
      <c r="C209" s="140"/>
      <c r="D209" s="124"/>
      <c r="E209" s="127"/>
      <c r="F209" s="127"/>
      <c r="G209" s="127"/>
      <c r="H209" s="127"/>
      <c r="I209" s="140"/>
      <c r="J209" s="127"/>
      <c r="K209" s="14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</row>
    <row r="210" spans="1:40">
      <c r="A210" s="124"/>
      <c r="B210" s="140"/>
      <c r="C210" s="140"/>
      <c r="D210" s="124"/>
      <c r="E210" s="127"/>
      <c r="F210" s="127"/>
      <c r="G210" s="127"/>
      <c r="H210" s="127"/>
      <c r="I210" s="140"/>
      <c r="J210" s="127"/>
      <c r="K210" s="14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</row>
    <row r="211" spans="1:40">
      <c r="A211" s="124"/>
      <c r="B211" s="140"/>
      <c r="C211" s="140"/>
      <c r="D211" s="124"/>
      <c r="E211" s="127"/>
      <c r="F211" s="127"/>
      <c r="G211" s="127"/>
      <c r="H211" s="127"/>
      <c r="I211" s="140"/>
      <c r="J211" s="127"/>
      <c r="K211" s="14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</row>
    <row r="212" spans="1:40">
      <c r="A212" s="124" t="s">
        <v>256</v>
      </c>
      <c r="B212" s="140"/>
      <c r="C212" s="140"/>
      <c r="D212" s="140"/>
      <c r="E212" s="127"/>
      <c r="F212" s="127"/>
      <c r="G212" s="127"/>
      <c r="H212" s="127"/>
      <c r="I212" s="140"/>
      <c r="J212" s="127"/>
      <c r="K212" s="14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</row>
    <row r="213" spans="1:40" ht="15.75" thickBot="1">
      <c r="A213" s="135" t="s">
        <v>257</v>
      </c>
      <c r="B213" s="140"/>
      <c r="C213" s="140"/>
      <c r="D213" s="140"/>
      <c r="E213" s="127"/>
      <c r="F213" s="127"/>
      <c r="G213" s="127"/>
      <c r="H213" s="127"/>
      <c r="I213" s="140"/>
      <c r="J213" s="127"/>
      <c r="K213" s="14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</row>
    <row r="214" spans="1:40">
      <c r="A214" s="124"/>
      <c r="B214" s="140"/>
      <c r="C214" s="140"/>
      <c r="D214" s="140"/>
      <c r="E214" s="127"/>
      <c r="F214" s="127"/>
      <c r="G214" s="127"/>
      <c r="H214" s="127"/>
      <c r="I214" s="140"/>
      <c r="J214" s="127"/>
      <c r="K214" s="14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</row>
    <row r="215" spans="1:40">
      <c r="A215" s="116"/>
      <c r="B215" s="116"/>
      <c r="C215" s="116"/>
      <c r="D215" s="116"/>
      <c r="E215" s="116"/>
      <c r="F215" s="116"/>
      <c r="G215" s="116"/>
      <c r="H215" s="116"/>
      <c r="I215" s="116"/>
      <c r="J215" s="140"/>
      <c r="K215" s="14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</row>
    <row r="216" spans="1:40">
      <c r="A216" s="124" t="s">
        <v>258</v>
      </c>
      <c r="B216" s="140"/>
      <c r="C216" s="140" t="s">
        <v>359</v>
      </c>
      <c r="D216" s="140"/>
      <c r="E216" s="140"/>
      <c r="F216" s="140"/>
      <c r="G216" s="140"/>
      <c r="H216" s="140"/>
      <c r="I216" s="140"/>
      <c r="J216" s="140"/>
      <c r="K216" s="14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</row>
    <row r="217" spans="1:40">
      <c r="A217" s="124"/>
      <c r="B217" s="140"/>
      <c r="C217" s="140" t="s">
        <v>84</v>
      </c>
      <c r="D217" s="140"/>
      <c r="E217" s="140"/>
      <c r="F217" s="140"/>
      <c r="G217" s="140"/>
      <c r="H217" s="140"/>
      <c r="I217" s="140"/>
      <c r="J217" s="140"/>
      <c r="K217" s="14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</row>
    <row r="218" spans="1:40">
      <c r="A218" s="124"/>
      <c r="B218" s="140"/>
      <c r="C218" s="140" t="s">
        <v>112</v>
      </c>
      <c r="D218" s="140"/>
      <c r="E218" s="140"/>
      <c r="F218" s="140"/>
      <c r="G218" s="140"/>
      <c r="H218" s="140"/>
      <c r="I218" s="140"/>
      <c r="J218" s="140"/>
      <c r="K218" s="14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</row>
    <row r="219" spans="1:40">
      <c r="A219" s="124" t="s">
        <v>259</v>
      </c>
      <c r="B219" s="140"/>
      <c r="C219" s="140" t="s">
        <v>265</v>
      </c>
      <c r="D219" s="140"/>
      <c r="E219" s="140"/>
      <c r="F219" s="140"/>
      <c r="G219" s="140"/>
      <c r="H219" s="140"/>
      <c r="I219" s="140"/>
      <c r="J219" s="140"/>
      <c r="K219" s="14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</row>
    <row r="220" spans="1:40">
      <c r="A220" s="124" t="s">
        <v>260</v>
      </c>
      <c r="B220" s="140"/>
      <c r="C220" s="140" t="s">
        <v>76</v>
      </c>
      <c r="D220" s="140"/>
      <c r="E220" s="140"/>
      <c r="F220" s="140"/>
      <c r="G220" s="140"/>
      <c r="H220" s="140"/>
      <c r="I220" s="140"/>
      <c r="J220" s="140"/>
      <c r="K220" s="14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</row>
    <row r="221" spans="1:40">
      <c r="A221" s="124" t="s">
        <v>261</v>
      </c>
      <c r="B221" s="140"/>
      <c r="C221" s="140" t="s">
        <v>85</v>
      </c>
      <c r="D221" s="140"/>
      <c r="E221" s="140"/>
      <c r="F221" s="140"/>
      <c r="G221" s="140"/>
      <c r="H221" s="140"/>
      <c r="I221" s="140"/>
      <c r="J221" s="140"/>
      <c r="K221" s="14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</row>
    <row r="222" spans="1:40">
      <c r="A222" s="124" t="s">
        <v>262</v>
      </c>
      <c r="B222" s="140"/>
      <c r="C222" s="140" t="s">
        <v>396</v>
      </c>
      <c r="D222" s="140"/>
      <c r="E222" s="140"/>
      <c r="F222" s="140"/>
      <c r="G222" s="140"/>
      <c r="H222" s="140"/>
      <c r="I222" s="140"/>
      <c r="J222" s="84"/>
      <c r="K222" s="14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</row>
    <row r="223" spans="1:40">
      <c r="A223" s="124"/>
      <c r="B223" s="140"/>
      <c r="C223" s="116" t="s">
        <v>136</v>
      </c>
      <c r="D223" s="140"/>
      <c r="E223" s="140"/>
      <c r="F223" s="140"/>
      <c r="G223" s="140"/>
      <c r="H223" s="140"/>
      <c r="I223" s="140"/>
      <c r="J223" s="84"/>
      <c r="K223" s="14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</row>
    <row r="224" spans="1:40">
      <c r="A224" s="124" t="s">
        <v>263</v>
      </c>
      <c r="B224" s="140"/>
      <c r="C224" s="140" t="s">
        <v>268</v>
      </c>
      <c r="D224" s="140"/>
      <c r="E224" s="140"/>
      <c r="F224" s="140"/>
      <c r="G224" s="140"/>
      <c r="H224" s="140"/>
      <c r="I224" s="140"/>
      <c r="J224" s="84"/>
      <c r="K224" s="14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</row>
    <row r="225" spans="1:40">
      <c r="A225" s="124"/>
      <c r="B225" s="140"/>
      <c r="C225" s="140" t="s">
        <v>193</v>
      </c>
      <c r="D225" s="140"/>
      <c r="E225" s="140"/>
      <c r="F225" s="140"/>
      <c r="G225" s="140"/>
      <c r="H225" s="140"/>
      <c r="I225" s="140"/>
      <c r="J225" s="84"/>
      <c r="K225" s="14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</row>
    <row r="226" spans="1:40">
      <c r="A226" s="124"/>
      <c r="B226" s="140"/>
      <c r="C226" s="140" t="s">
        <v>291</v>
      </c>
      <c r="D226" s="140"/>
      <c r="E226" s="140"/>
      <c r="F226" s="140"/>
      <c r="G226" s="140"/>
      <c r="H226" s="140"/>
      <c r="I226" s="140"/>
      <c r="J226" s="84"/>
      <c r="K226" s="14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</row>
    <row r="227" spans="1:40">
      <c r="A227" s="124" t="s">
        <v>264</v>
      </c>
      <c r="B227" s="140"/>
      <c r="C227" s="140" t="s">
        <v>275</v>
      </c>
      <c r="D227" s="140"/>
      <c r="E227" s="140"/>
      <c r="F227" s="140"/>
      <c r="G227" s="140"/>
      <c r="H227" s="140"/>
      <c r="I227" s="84"/>
      <c r="J227" s="84"/>
      <c r="K227" s="14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</row>
    <row r="228" spans="1:40">
      <c r="A228" s="124"/>
      <c r="B228" s="140"/>
      <c r="C228" s="140" t="s">
        <v>277</v>
      </c>
      <c r="D228" s="140"/>
      <c r="E228" s="140"/>
      <c r="F228" s="140"/>
      <c r="G228" s="140"/>
      <c r="H228" s="140"/>
      <c r="I228" s="140"/>
      <c r="J228" s="140"/>
      <c r="K228" s="14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</row>
    <row r="229" spans="1:40">
      <c r="A229" s="124"/>
      <c r="B229" s="140"/>
      <c r="C229" s="140" t="s">
        <v>278</v>
      </c>
      <c r="D229" s="140"/>
      <c r="E229" s="140"/>
      <c r="F229" s="140"/>
      <c r="G229" s="140"/>
      <c r="H229" s="140"/>
      <c r="I229" s="140"/>
      <c r="J229" s="193"/>
      <c r="K229" s="14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</row>
    <row r="230" spans="1:40">
      <c r="A230" s="124"/>
      <c r="B230" s="140"/>
      <c r="C230" s="140" t="s">
        <v>279</v>
      </c>
      <c r="D230" s="140"/>
      <c r="E230" s="140"/>
      <c r="F230" s="140"/>
      <c r="G230" s="140"/>
      <c r="H230" s="140"/>
      <c r="I230" s="140"/>
      <c r="J230" s="140"/>
      <c r="K230" s="14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</row>
    <row r="231" spans="1:40">
      <c r="A231" s="124"/>
      <c r="B231" s="140"/>
      <c r="C231" s="140" t="s">
        <v>280</v>
      </c>
      <c r="D231" s="140"/>
      <c r="E231" s="140"/>
      <c r="F231" s="140"/>
      <c r="G231" s="140"/>
      <c r="H231" s="140"/>
      <c r="I231" s="140"/>
      <c r="J231" s="140"/>
      <c r="K231" s="14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</row>
    <row r="232" spans="1:40">
      <c r="A232" s="124"/>
      <c r="B232" s="140"/>
      <c r="C232" s="140" t="s">
        <v>113</v>
      </c>
      <c r="D232" s="140"/>
      <c r="E232" s="140"/>
      <c r="F232" s="140"/>
      <c r="G232" s="140"/>
      <c r="H232" s="140"/>
      <c r="I232" s="140"/>
      <c r="J232" s="140"/>
      <c r="K232" s="14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</row>
    <row r="233" spans="1:40">
      <c r="A233" s="124" t="s">
        <v>194</v>
      </c>
      <c r="B233" s="140"/>
      <c r="C233" s="140" t="s">
        <v>288</v>
      </c>
      <c r="D233" s="140" t="s">
        <v>281</v>
      </c>
      <c r="E233" s="194">
        <v>0.21</v>
      </c>
      <c r="F233" s="140"/>
      <c r="G233" s="140"/>
      <c r="H233" s="140"/>
      <c r="I233" s="140"/>
      <c r="J233" s="140"/>
      <c r="K233" s="14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</row>
    <row r="234" spans="1:40">
      <c r="A234" s="124"/>
      <c r="B234" s="140"/>
      <c r="C234" s="140"/>
      <c r="D234" s="140" t="s">
        <v>282</v>
      </c>
      <c r="E234" s="194">
        <v>0</v>
      </c>
      <c r="F234" s="140" t="s">
        <v>283</v>
      </c>
      <c r="G234" s="140"/>
      <c r="H234" s="140"/>
      <c r="I234" s="140"/>
      <c r="J234" s="140"/>
      <c r="K234" s="14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</row>
    <row r="235" spans="1:40">
      <c r="A235" s="124"/>
      <c r="B235" s="140"/>
      <c r="C235" s="140"/>
      <c r="D235" s="140" t="s">
        <v>284</v>
      </c>
      <c r="E235" s="194">
        <v>0</v>
      </c>
      <c r="F235" s="140" t="s">
        <v>285</v>
      </c>
      <c r="G235" s="140"/>
      <c r="H235" s="140"/>
      <c r="I235" s="140"/>
      <c r="J235" s="140"/>
      <c r="K235" s="14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</row>
    <row r="236" spans="1:40">
      <c r="A236" s="195" t="s">
        <v>266</v>
      </c>
      <c r="B236" s="116"/>
      <c r="C236" s="116" t="s">
        <v>72</v>
      </c>
      <c r="D236" s="116"/>
      <c r="E236" s="116"/>
      <c r="F236" s="116"/>
      <c r="G236" s="116"/>
      <c r="H236" s="116"/>
      <c r="I236" s="116"/>
      <c r="J236" s="116"/>
      <c r="K236" s="116"/>
    </row>
    <row r="237" spans="1:40">
      <c r="C237" s="140" t="s">
        <v>71</v>
      </c>
    </row>
    <row r="238" spans="1:40">
      <c r="A238" s="196" t="s">
        <v>267</v>
      </c>
      <c r="C238" s="140" t="s">
        <v>43</v>
      </c>
    </row>
    <row r="239" spans="1:40">
      <c r="A239" s="196" t="s">
        <v>476</v>
      </c>
      <c r="C239" s="140" t="s">
        <v>477</v>
      </c>
    </row>
  </sheetData>
  <mergeCells count="13">
    <mergeCell ref="A70:K70"/>
    <mergeCell ref="A204:K204"/>
    <mergeCell ref="A205:K205"/>
    <mergeCell ref="A207:K207"/>
    <mergeCell ref="A131:K131"/>
    <mergeCell ref="A126:K126"/>
    <mergeCell ref="A127:K127"/>
    <mergeCell ref="A129:K129"/>
    <mergeCell ref="A4:K4"/>
    <mergeCell ref="A5:K5"/>
    <mergeCell ref="A7:K7"/>
    <mergeCell ref="A67:K67"/>
    <mergeCell ref="A68:K68"/>
  </mergeCells>
  <phoneticPr fontId="20" type="noConversion"/>
  <printOptions horizontalCentered="1"/>
  <pageMargins left="0.5" right="0.5" top="0.75" bottom="0.75" header="0.5" footer="0.5"/>
  <pageSetup scale="52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3" max="10" man="1"/>
    <brk id="122" max="10" man="1"/>
    <brk id="20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3:P77"/>
  <sheetViews>
    <sheetView workbookViewId="0">
      <selection activeCell="T20" sqref="A1:XFD1048576"/>
    </sheetView>
  </sheetViews>
  <sheetFormatPr defaultColWidth="8.88671875" defaultRowHeight="12.75"/>
  <cols>
    <col min="1" max="1" width="3.88671875" style="197" customWidth="1"/>
    <col min="2" max="2" width="2.5546875" style="197" customWidth="1"/>
    <col min="3" max="3" width="3" style="197" customWidth="1"/>
    <col min="4" max="4" width="2.44140625" style="197" customWidth="1"/>
    <col min="5" max="6" width="8.88671875" style="197"/>
    <col min="7" max="7" width="1.88671875" style="197" customWidth="1"/>
    <col min="8" max="11" width="8.88671875" style="197"/>
    <col min="12" max="12" width="15" style="197" customWidth="1"/>
    <col min="13" max="13" width="11.88671875" style="197" customWidth="1"/>
    <col min="14" max="15" width="10.33203125" style="197" customWidth="1"/>
    <col min="16" max="16384" width="8.88671875" style="197"/>
  </cols>
  <sheetData>
    <row r="3" spans="1:16" ht="15.75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32"/>
      <c r="M3" s="32"/>
      <c r="N3" s="32" t="s">
        <v>417</v>
      </c>
      <c r="O3" s="198">
        <f>+'True-Up'!J1</f>
        <v>45443</v>
      </c>
      <c r="P3" s="117"/>
    </row>
    <row r="4" spans="1:16">
      <c r="L4" s="32"/>
      <c r="M4" s="32"/>
      <c r="N4" s="32" t="s">
        <v>166</v>
      </c>
      <c r="O4" s="199">
        <f>'True-Up'!J2</f>
        <v>2023</v>
      </c>
    </row>
    <row r="5" spans="1:16" ht="15.75">
      <c r="A5" s="277" t="s">
        <v>431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6">
      <c r="A6" s="62" t="s">
        <v>196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>
      <c r="A7" s="63" t="s">
        <v>197</v>
      </c>
    </row>
    <row r="8" spans="1:16">
      <c r="A8" s="24">
        <v>1</v>
      </c>
      <c r="B8" s="201" t="s">
        <v>389</v>
      </c>
    </row>
    <row r="9" spans="1:16">
      <c r="A9" s="24">
        <f>A8+1</f>
        <v>2</v>
      </c>
    </row>
    <row r="10" spans="1:16">
      <c r="A10" s="24">
        <f t="shared" ref="A10:A74" si="0">A9+1</f>
        <v>3</v>
      </c>
      <c r="B10" s="197" t="s">
        <v>145</v>
      </c>
      <c r="D10" s="201" t="s">
        <v>390</v>
      </c>
    </row>
    <row r="11" spans="1:16">
      <c r="A11" s="24">
        <f t="shared" si="0"/>
        <v>4</v>
      </c>
      <c r="E11" s="197" t="s">
        <v>149</v>
      </c>
    </row>
    <row r="12" spans="1:16">
      <c r="A12" s="24">
        <f t="shared" si="0"/>
        <v>5</v>
      </c>
      <c r="E12" s="197" t="s">
        <v>146</v>
      </c>
    </row>
    <row r="13" spans="1:16">
      <c r="A13" s="24">
        <f t="shared" si="0"/>
        <v>6</v>
      </c>
      <c r="E13" s="197" t="s">
        <v>147</v>
      </c>
    </row>
    <row r="14" spans="1:16">
      <c r="A14" s="24">
        <f t="shared" si="0"/>
        <v>7</v>
      </c>
    </row>
    <row r="15" spans="1:16">
      <c r="A15" s="24">
        <f t="shared" si="0"/>
        <v>8</v>
      </c>
      <c r="B15" s="197" t="s">
        <v>148</v>
      </c>
      <c r="D15" s="197" t="s">
        <v>150</v>
      </c>
    </row>
    <row r="16" spans="1:16">
      <c r="A16" s="24">
        <f t="shared" si="0"/>
        <v>9</v>
      </c>
      <c r="E16" s="197" t="s">
        <v>151</v>
      </c>
    </row>
    <row r="17" spans="1:8">
      <c r="A17" s="24">
        <f t="shared" si="0"/>
        <v>10</v>
      </c>
    </row>
    <row r="18" spans="1:8">
      <c r="A18" s="24">
        <f t="shared" si="0"/>
        <v>11</v>
      </c>
      <c r="B18" s="197" t="s">
        <v>152</v>
      </c>
      <c r="D18" s="197" t="s">
        <v>153</v>
      </c>
    </row>
    <row r="19" spans="1:8">
      <c r="A19" s="24">
        <f t="shared" si="0"/>
        <v>12</v>
      </c>
    </row>
    <row r="20" spans="1:8">
      <c r="A20" s="24">
        <f t="shared" si="0"/>
        <v>13</v>
      </c>
      <c r="D20" s="197" t="s">
        <v>21</v>
      </c>
    </row>
    <row r="21" spans="1:8">
      <c r="A21" s="24">
        <f t="shared" si="0"/>
        <v>14</v>
      </c>
    </row>
    <row r="22" spans="1:8">
      <c r="A22" s="24">
        <f t="shared" si="0"/>
        <v>15</v>
      </c>
      <c r="D22" s="197" t="s">
        <v>154</v>
      </c>
      <c r="F22" s="202" t="s">
        <v>155</v>
      </c>
      <c r="G22" s="197" t="s">
        <v>19</v>
      </c>
    </row>
    <row r="23" spans="1:8">
      <c r="A23" s="24">
        <f t="shared" si="0"/>
        <v>16</v>
      </c>
      <c r="H23" s="197" t="s">
        <v>115</v>
      </c>
    </row>
    <row r="24" spans="1:8">
      <c r="A24" s="24">
        <f t="shared" si="0"/>
        <v>17</v>
      </c>
      <c r="H24" s="197" t="s">
        <v>20</v>
      </c>
    </row>
    <row r="25" spans="1:8">
      <c r="A25" s="24">
        <f t="shared" si="0"/>
        <v>18</v>
      </c>
    </row>
    <row r="26" spans="1:8">
      <c r="A26" s="24">
        <f t="shared" si="0"/>
        <v>19</v>
      </c>
      <c r="B26" s="203" t="s">
        <v>424</v>
      </c>
    </row>
    <row r="27" spans="1:8">
      <c r="A27" s="24">
        <f t="shared" si="0"/>
        <v>20</v>
      </c>
    </row>
    <row r="28" spans="1:8">
      <c r="A28" s="24">
        <f t="shared" si="0"/>
        <v>21</v>
      </c>
      <c r="E28" s="204" t="s">
        <v>187</v>
      </c>
      <c r="F28" s="204" t="s">
        <v>188</v>
      </c>
      <c r="G28" s="205" t="s">
        <v>189</v>
      </c>
    </row>
    <row r="29" spans="1:8">
      <c r="A29" s="24">
        <f t="shared" si="0"/>
        <v>22</v>
      </c>
      <c r="B29" s="200" t="s">
        <v>50</v>
      </c>
      <c r="E29" s="204"/>
      <c r="F29" s="204"/>
      <c r="G29" s="206"/>
    </row>
    <row r="30" spans="1:8">
      <c r="A30" s="24">
        <f t="shared" si="0"/>
        <v>23</v>
      </c>
      <c r="C30" s="197" t="s">
        <v>53</v>
      </c>
      <c r="E30" s="204" t="s">
        <v>191</v>
      </c>
      <c r="F30" s="207">
        <v>2010</v>
      </c>
      <c r="G30" s="208" t="s">
        <v>425</v>
      </c>
      <c r="H30" s="201"/>
    </row>
    <row r="31" spans="1:8">
      <c r="A31" s="24">
        <f t="shared" si="0"/>
        <v>24</v>
      </c>
      <c r="C31" s="197" t="s">
        <v>54</v>
      </c>
      <c r="E31" s="204" t="s">
        <v>191</v>
      </c>
      <c r="F31" s="207">
        <v>2010</v>
      </c>
      <c r="G31" s="208" t="s">
        <v>426</v>
      </c>
      <c r="H31" s="201"/>
    </row>
    <row r="32" spans="1:8">
      <c r="A32" s="24">
        <f t="shared" si="0"/>
        <v>25</v>
      </c>
      <c r="C32" s="197" t="s">
        <v>55</v>
      </c>
      <c r="E32" s="204" t="str">
        <f>+E30</f>
        <v>May</v>
      </c>
      <c r="F32" s="207">
        <v>2010</v>
      </c>
      <c r="G32" s="208" t="s">
        <v>427</v>
      </c>
      <c r="H32" s="201"/>
    </row>
    <row r="33" spans="1:8">
      <c r="A33" s="24">
        <f t="shared" si="0"/>
        <v>26</v>
      </c>
      <c r="C33" s="197" t="s">
        <v>56</v>
      </c>
      <c r="E33" s="204" t="s">
        <v>51</v>
      </c>
      <c r="F33" s="207">
        <v>2010</v>
      </c>
      <c r="G33" s="208" t="s">
        <v>52</v>
      </c>
      <c r="H33" s="201"/>
    </row>
    <row r="34" spans="1:8">
      <c r="A34" s="24">
        <f t="shared" si="0"/>
        <v>27</v>
      </c>
      <c r="E34" s="204"/>
      <c r="F34" s="204"/>
      <c r="G34" s="205"/>
    </row>
    <row r="35" spans="1:8">
      <c r="A35" s="24">
        <f t="shared" si="0"/>
        <v>28</v>
      </c>
      <c r="B35" s="200" t="s">
        <v>58</v>
      </c>
      <c r="E35" s="209"/>
      <c r="F35" s="204"/>
      <c r="G35" s="205"/>
    </row>
    <row r="36" spans="1:8">
      <c r="A36" s="24">
        <f t="shared" si="0"/>
        <v>29</v>
      </c>
      <c r="C36" s="197" t="s">
        <v>57</v>
      </c>
      <c r="E36" s="204" t="s">
        <v>182</v>
      </c>
      <c r="F36" s="207">
        <v>2010</v>
      </c>
      <c r="G36" s="208" t="s">
        <v>428</v>
      </c>
      <c r="H36" s="201"/>
    </row>
    <row r="37" spans="1:8">
      <c r="A37" s="24">
        <f t="shared" si="0"/>
        <v>30</v>
      </c>
      <c r="C37" s="197" t="s">
        <v>59</v>
      </c>
      <c r="E37" s="204" t="s">
        <v>182</v>
      </c>
      <c r="F37" s="207">
        <v>2010</v>
      </c>
      <c r="G37" s="208" t="s">
        <v>429</v>
      </c>
      <c r="H37" s="201"/>
    </row>
    <row r="38" spans="1:8">
      <c r="A38" s="24">
        <f t="shared" si="0"/>
        <v>31</v>
      </c>
      <c r="C38" s="197" t="s">
        <v>60</v>
      </c>
      <c r="E38" s="204" t="s">
        <v>182</v>
      </c>
      <c r="F38" s="207">
        <v>2010</v>
      </c>
      <c r="G38" s="208" t="s">
        <v>44</v>
      </c>
      <c r="H38" s="201"/>
    </row>
    <row r="39" spans="1:8">
      <c r="A39" s="24">
        <f t="shared" si="0"/>
        <v>32</v>
      </c>
      <c r="C39" s="197" t="s">
        <v>61</v>
      </c>
      <c r="E39" s="204" t="s">
        <v>182</v>
      </c>
      <c r="F39" s="207">
        <v>2010</v>
      </c>
      <c r="G39" s="208" t="s">
        <v>63</v>
      </c>
      <c r="H39" s="201"/>
    </row>
    <row r="40" spans="1:8">
      <c r="A40" s="24">
        <f t="shared" si="0"/>
        <v>33</v>
      </c>
      <c r="C40" s="197" t="s">
        <v>62</v>
      </c>
      <c r="E40" s="204" t="s">
        <v>157</v>
      </c>
      <c r="F40" s="207">
        <v>2010</v>
      </c>
      <c r="G40" s="208" t="s">
        <v>24</v>
      </c>
      <c r="H40" s="201"/>
    </row>
    <row r="41" spans="1:8">
      <c r="A41" s="24">
        <f t="shared" si="0"/>
        <v>34</v>
      </c>
      <c r="C41" s="197" t="s">
        <v>23</v>
      </c>
      <c r="E41" s="209" t="s">
        <v>159</v>
      </c>
      <c r="F41" s="207">
        <v>2011</v>
      </c>
      <c r="G41" s="208" t="s">
        <v>64</v>
      </c>
      <c r="H41" s="201"/>
    </row>
    <row r="42" spans="1:8">
      <c r="A42" s="24">
        <f t="shared" si="0"/>
        <v>35</v>
      </c>
    </row>
    <row r="43" spans="1:8">
      <c r="A43" s="24">
        <f t="shared" si="0"/>
        <v>36</v>
      </c>
      <c r="E43" s="197" t="s">
        <v>160</v>
      </c>
      <c r="F43" s="197" t="s">
        <v>161</v>
      </c>
    </row>
    <row r="44" spans="1:8">
      <c r="A44" s="24">
        <f t="shared" si="0"/>
        <v>37</v>
      </c>
      <c r="F44" s="197" t="s">
        <v>162</v>
      </c>
    </row>
    <row r="45" spans="1:8">
      <c r="A45" s="24">
        <f t="shared" si="0"/>
        <v>38</v>
      </c>
      <c r="F45" s="197" t="s">
        <v>163</v>
      </c>
    </row>
    <row r="46" spans="1:8">
      <c r="A46" s="24">
        <f t="shared" si="0"/>
        <v>39</v>
      </c>
      <c r="F46" s="197" t="s">
        <v>116</v>
      </c>
    </row>
    <row r="47" spans="1:8">
      <c r="A47" s="24">
        <f t="shared" si="0"/>
        <v>40</v>
      </c>
      <c r="F47" s="197" t="s">
        <v>174</v>
      </c>
    </row>
    <row r="48" spans="1:8">
      <c r="A48" s="24">
        <f t="shared" si="0"/>
        <v>41</v>
      </c>
      <c r="F48" s="197" t="s">
        <v>175</v>
      </c>
    </row>
    <row r="49" spans="1:15">
      <c r="A49" s="24">
        <f t="shared" si="0"/>
        <v>42</v>
      </c>
    </row>
    <row r="50" spans="1:15">
      <c r="A50" s="24">
        <f t="shared" si="0"/>
        <v>43</v>
      </c>
      <c r="F50" s="201" t="s">
        <v>388</v>
      </c>
    </row>
    <row r="51" spans="1:15">
      <c r="A51" s="24">
        <f t="shared" si="0"/>
        <v>44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0" t="s">
        <v>207</v>
      </c>
      <c r="N51" s="200" t="s">
        <v>296</v>
      </c>
      <c r="O51" s="201"/>
    </row>
    <row r="52" spans="1:15">
      <c r="A52" s="24">
        <f t="shared" si="0"/>
        <v>45</v>
      </c>
      <c r="C52" s="197" t="s">
        <v>258</v>
      </c>
      <c r="D52" s="200" t="str">
        <f>"True-Up Amount (Transmission see pg 3 line "&amp;'True-Up'!A120&amp;" and Schedule 1 see pg 10 line "&amp;'BHP Sch. 1'!A22&amp;")"</f>
        <v>True-Up Amount (Transmission see pg 3 line 92 and Schedule 1 see pg 10 line 12)</v>
      </c>
      <c r="E52" s="200"/>
      <c r="F52" s="200"/>
      <c r="G52" s="200"/>
      <c r="H52" s="200"/>
      <c r="I52" s="200"/>
      <c r="J52" s="200"/>
      <c r="K52" s="200"/>
      <c r="L52" s="200"/>
      <c r="M52" s="29">
        <f>+'True-Up'!J120</f>
        <v>-1473968.2878691331</v>
      </c>
      <c r="N52" s="29">
        <f>+'BHP Sch. 1'!D22</f>
        <v>353754</v>
      </c>
      <c r="O52" s="75"/>
    </row>
    <row r="53" spans="1:15">
      <c r="A53" s="24">
        <f t="shared" si="0"/>
        <v>46</v>
      </c>
      <c r="C53" s="197" t="s">
        <v>259</v>
      </c>
      <c r="D53" s="200" t="s">
        <v>45</v>
      </c>
      <c r="E53" s="200"/>
      <c r="F53" s="200"/>
      <c r="G53" s="200"/>
      <c r="H53" s="200"/>
      <c r="I53" s="200"/>
      <c r="J53" s="200"/>
      <c r="K53" s="210"/>
      <c r="L53" s="200"/>
      <c r="M53" s="29">
        <f>ROUND((1+$K$77)^18,2)</f>
        <v>1.1200000000000001</v>
      </c>
      <c r="N53" s="29">
        <f>ROUND((1+$K$77)^18,2)</f>
        <v>1.1200000000000001</v>
      </c>
      <c r="O53" s="75"/>
    </row>
    <row r="54" spans="1:15">
      <c r="A54" s="24">
        <f t="shared" si="0"/>
        <v>47</v>
      </c>
      <c r="C54" s="197" t="s">
        <v>260</v>
      </c>
      <c r="D54" s="200" t="s">
        <v>430</v>
      </c>
      <c r="E54" s="200"/>
      <c r="F54" s="200"/>
      <c r="G54" s="200"/>
      <c r="H54" s="200"/>
      <c r="I54" s="200"/>
      <c r="J54" s="200"/>
      <c r="K54" s="210"/>
      <c r="L54" s="200"/>
      <c r="M54" s="211">
        <f>+M52*M53</f>
        <v>-1650844.4824134291</v>
      </c>
      <c r="N54" s="211">
        <f>+N52*N53</f>
        <v>396204.48000000004</v>
      </c>
      <c r="O54" s="75"/>
    </row>
    <row r="55" spans="1:15">
      <c r="A55" s="24">
        <f t="shared" si="0"/>
        <v>48</v>
      </c>
      <c r="K55" s="212"/>
      <c r="O55" s="212"/>
    </row>
    <row r="56" spans="1:15">
      <c r="A56" s="24">
        <f t="shared" si="0"/>
        <v>49</v>
      </c>
      <c r="E56" s="197" t="s">
        <v>154</v>
      </c>
      <c r="F56" s="197" t="s">
        <v>176</v>
      </c>
      <c r="K56" s="212"/>
      <c r="M56" s="201"/>
      <c r="O56" s="212"/>
    </row>
    <row r="57" spans="1:15">
      <c r="A57" s="24">
        <f t="shared" si="0"/>
        <v>50</v>
      </c>
      <c r="K57" s="212"/>
      <c r="N57" s="212"/>
      <c r="O57" s="212"/>
    </row>
    <row r="58" spans="1:15">
      <c r="A58" s="24">
        <f t="shared" si="0"/>
        <v>51</v>
      </c>
      <c r="D58" s="212" t="s">
        <v>177</v>
      </c>
      <c r="E58" s="212"/>
      <c r="F58" s="212"/>
      <c r="G58" s="212"/>
      <c r="H58" s="212"/>
      <c r="I58" s="212"/>
      <c r="J58" s="212"/>
      <c r="K58" s="212"/>
    </row>
    <row r="59" spans="1:15">
      <c r="A59" s="24">
        <f t="shared" si="0"/>
        <v>52</v>
      </c>
      <c r="D59" s="212"/>
      <c r="E59" s="212"/>
      <c r="F59" s="212"/>
      <c r="G59" s="212"/>
      <c r="H59" s="212"/>
      <c r="I59" s="212"/>
      <c r="J59" s="212"/>
      <c r="K59" s="213" t="s">
        <v>11</v>
      </c>
    </row>
    <row r="60" spans="1:15">
      <c r="A60" s="24">
        <f t="shared" si="0"/>
        <v>53</v>
      </c>
      <c r="D60" s="212"/>
      <c r="E60" s="214" t="s">
        <v>187</v>
      </c>
      <c r="F60" s="213"/>
      <c r="G60" s="213"/>
      <c r="H60" s="214" t="s">
        <v>188</v>
      </c>
      <c r="I60" s="212"/>
      <c r="J60" s="212"/>
      <c r="K60" s="214" t="s">
        <v>178</v>
      </c>
    </row>
    <row r="61" spans="1:15">
      <c r="A61" s="24">
        <f t="shared" si="0"/>
        <v>54</v>
      </c>
      <c r="E61" s="197" t="s">
        <v>159</v>
      </c>
      <c r="H61" s="197" t="s">
        <v>185</v>
      </c>
      <c r="K61" s="88">
        <v>5.4000000000000003E-3</v>
      </c>
    </row>
    <row r="62" spans="1:15">
      <c r="A62" s="24">
        <f t="shared" si="0"/>
        <v>55</v>
      </c>
      <c r="E62" s="197" t="s">
        <v>179</v>
      </c>
      <c r="H62" s="197" t="s">
        <v>185</v>
      </c>
      <c r="K62" s="88">
        <v>4.7999999999999996E-3</v>
      </c>
    </row>
    <row r="63" spans="1:15">
      <c r="A63" s="24">
        <f t="shared" si="0"/>
        <v>56</v>
      </c>
      <c r="E63" s="197" t="s">
        <v>180</v>
      </c>
      <c r="H63" s="197" t="s">
        <v>185</v>
      </c>
      <c r="K63" s="88">
        <v>5.4000000000000003E-3</v>
      </c>
    </row>
    <row r="64" spans="1:15">
      <c r="A64" s="24">
        <f t="shared" si="0"/>
        <v>57</v>
      </c>
      <c r="E64" s="197" t="s">
        <v>190</v>
      </c>
      <c r="H64" s="197" t="s">
        <v>185</v>
      </c>
      <c r="K64" s="88">
        <v>6.1999999999999998E-3</v>
      </c>
    </row>
    <row r="65" spans="1:11">
      <c r="A65" s="24">
        <f t="shared" si="0"/>
        <v>58</v>
      </c>
      <c r="E65" s="197" t="s">
        <v>191</v>
      </c>
      <c r="H65" s="197" t="s">
        <v>185</v>
      </c>
      <c r="K65" s="88">
        <v>6.4000000000000003E-3</v>
      </c>
    </row>
    <row r="66" spans="1:11">
      <c r="A66" s="24">
        <f t="shared" si="0"/>
        <v>59</v>
      </c>
      <c r="E66" s="197" t="s">
        <v>192</v>
      </c>
      <c r="H66" s="197" t="s">
        <v>185</v>
      </c>
      <c r="K66" s="88">
        <v>6.1999999999999998E-3</v>
      </c>
    </row>
    <row r="67" spans="1:11">
      <c r="A67" s="24">
        <f t="shared" si="0"/>
        <v>60</v>
      </c>
      <c r="E67" s="197" t="s">
        <v>181</v>
      </c>
      <c r="H67" s="197" t="s">
        <v>185</v>
      </c>
      <c r="K67" s="88">
        <v>6.7999999999999996E-3</v>
      </c>
    </row>
    <row r="68" spans="1:11">
      <c r="A68" s="24">
        <f t="shared" si="0"/>
        <v>61</v>
      </c>
      <c r="E68" s="197" t="s">
        <v>156</v>
      </c>
      <c r="H68" s="197" t="s">
        <v>185</v>
      </c>
      <c r="K68" s="88">
        <v>6.7999999999999996E-3</v>
      </c>
    </row>
    <row r="69" spans="1:11">
      <c r="A69" s="24">
        <f t="shared" si="0"/>
        <v>62</v>
      </c>
      <c r="E69" s="197" t="s">
        <v>182</v>
      </c>
      <c r="H69" s="197" t="s">
        <v>185</v>
      </c>
      <c r="K69" s="88">
        <v>6.6E-3</v>
      </c>
    </row>
    <row r="70" spans="1:11">
      <c r="A70" s="24">
        <f t="shared" si="0"/>
        <v>63</v>
      </c>
      <c r="E70" s="197" t="s">
        <v>157</v>
      </c>
      <c r="H70" s="197" t="s">
        <v>185</v>
      </c>
      <c r="K70" s="88">
        <v>7.1000000000000004E-3</v>
      </c>
    </row>
    <row r="71" spans="1:11">
      <c r="A71" s="24">
        <f t="shared" si="0"/>
        <v>64</v>
      </c>
      <c r="E71" s="197" t="s">
        <v>158</v>
      </c>
      <c r="H71" s="197" t="s">
        <v>185</v>
      </c>
      <c r="K71" s="88">
        <v>6.8999999999999999E-3</v>
      </c>
    </row>
    <row r="72" spans="1:11">
      <c r="A72" s="24">
        <f t="shared" si="0"/>
        <v>65</v>
      </c>
      <c r="E72" s="197" t="s">
        <v>183</v>
      </c>
      <c r="H72" s="197" t="s">
        <v>185</v>
      </c>
      <c r="K72" s="88">
        <v>7.1000000000000004E-3</v>
      </c>
    </row>
    <row r="73" spans="1:11">
      <c r="A73" s="24">
        <f t="shared" si="0"/>
        <v>66</v>
      </c>
      <c r="E73" s="197" t="s">
        <v>159</v>
      </c>
      <c r="H73" s="197" t="s">
        <v>186</v>
      </c>
      <c r="K73" s="88">
        <v>7.1999999999999998E-3</v>
      </c>
    </row>
    <row r="74" spans="1:11">
      <c r="A74" s="24">
        <f t="shared" si="0"/>
        <v>67</v>
      </c>
      <c r="E74" s="197" t="s">
        <v>179</v>
      </c>
      <c r="H74" s="197" t="s">
        <v>186</v>
      </c>
      <c r="K74" s="88">
        <v>6.7999999999999996E-3</v>
      </c>
    </row>
    <row r="75" spans="1:11">
      <c r="A75" s="24">
        <f>A74+1</f>
        <v>68</v>
      </c>
      <c r="E75" s="197" t="s">
        <v>180</v>
      </c>
      <c r="H75" s="197" t="s">
        <v>186</v>
      </c>
      <c r="K75" s="88">
        <v>7.1999999999999998E-3</v>
      </c>
    </row>
    <row r="76" spans="1:11">
      <c r="A76" s="24">
        <f>A75+1</f>
        <v>69</v>
      </c>
      <c r="E76" s="197" t="s">
        <v>190</v>
      </c>
      <c r="H76" s="197" t="s">
        <v>186</v>
      </c>
      <c r="K76" s="88">
        <v>7.0000000000000001E-3</v>
      </c>
    </row>
    <row r="77" spans="1:11">
      <c r="A77" s="24">
        <f>A76+1</f>
        <v>70</v>
      </c>
      <c r="F77" s="197" t="s">
        <v>184</v>
      </c>
      <c r="K77" s="76">
        <f>ROUND(AVERAGE(K61:K76),6)</f>
        <v>6.4939999999999998E-3</v>
      </c>
    </row>
  </sheetData>
  <mergeCells count="1">
    <mergeCell ref="A5:O5"/>
  </mergeCells>
  <phoneticPr fontId="20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3:H33"/>
  <sheetViews>
    <sheetView workbookViewId="0">
      <selection activeCell="M26" sqref="A1:XFD1048576"/>
    </sheetView>
  </sheetViews>
  <sheetFormatPr defaultColWidth="7.109375" defaultRowHeight="12.75"/>
  <cols>
    <col min="1" max="1" width="10.109375" style="215" customWidth="1"/>
    <col min="2" max="2" width="3.5546875" style="215" customWidth="1"/>
    <col min="3" max="4" width="1.88671875" style="215" customWidth="1"/>
    <col min="5" max="5" width="4" style="215" customWidth="1"/>
    <col min="6" max="6" width="24.109375" style="215" customWidth="1"/>
    <col min="7" max="7" width="1.88671875" style="215" customWidth="1"/>
    <col min="8" max="8" width="8.109375" style="216" customWidth="1"/>
    <col min="9" max="9" width="8.109375" style="215" customWidth="1"/>
    <col min="10" max="16384" width="7.109375" style="215"/>
  </cols>
  <sheetData>
    <row r="3" spans="1:8">
      <c r="F3" s="197"/>
    </row>
    <row r="4" spans="1:8">
      <c r="A4" s="278" t="s">
        <v>432</v>
      </c>
      <c r="B4" s="278"/>
      <c r="C4" s="278"/>
      <c r="D4" s="278"/>
      <c r="E4" s="278"/>
      <c r="F4" s="278"/>
      <c r="G4" s="278"/>
      <c r="H4" s="278"/>
    </row>
    <row r="5" spans="1:8">
      <c r="B5" s="217" t="s">
        <v>196</v>
      </c>
      <c r="H5" s="218" t="s">
        <v>416</v>
      </c>
    </row>
    <row r="6" spans="1:8">
      <c r="B6" s="219" t="s">
        <v>197</v>
      </c>
      <c r="D6" s="220" t="s">
        <v>342</v>
      </c>
      <c r="E6" s="220"/>
      <c r="F6" s="220"/>
      <c r="H6" s="221" t="s">
        <v>172</v>
      </c>
    </row>
    <row r="7" spans="1:8">
      <c r="B7" s="217">
        <v>1</v>
      </c>
    </row>
    <row r="8" spans="1:8">
      <c r="B8" s="217">
        <v>2</v>
      </c>
      <c r="D8" s="222" t="s">
        <v>111</v>
      </c>
      <c r="E8" s="222"/>
    </row>
    <row r="9" spans="1:8">
      <c r="B9" s="217">
        <v>3</v>
      </c>
    </row>
    <row r="10" spans="1:8">
      <c r="B10" s="217">
        <v>4</v>
      </c>
      <c r="E10" s="215">
        <v>350</v>
      </c>
      <c r="F10" s="215" t="s">
        <v>343</v>
      </c>
      <c r="H10" s="33">
        <v>0</v>
      </c>
    </row>
    <row r="11" spans="1:8">
      <c r="B11" s="217">
        <v>5</v>
      </c>
      <c r="E11" s="215">
        <v>352</v>
      </c>
      <c r="F11" s="215" t="s">
        <v>344</v>
      </c>
      <c r="H11" s="33">
        <v>2.3900000000000001E-2</v>
      </c>
    </row>
    <row r="12" spans="1:8">
      <c r="B12" s="217">
        <v>6</v>
      </c>
      <c r="E12" s="215">
        <v>353</v>
      </c>
      <c r="F12" s="215" t="s">
        <v>345</v>
      </c>
      <c r="H12" s="33">
        <v>2.6599999999999999E-2</v>
      </c>
    </row>
    <row r="13" spans="1:8">
      <c r="B13" s="217">
        <v>7</v>
      </c>
      <c r="E13" s="215">
        <v>354</v>
      </c>
      <c r="F13" s="215" t="s">
        <v>346</v>
      </c>
      <c r="H13" s="33">
        <v>2.0400000000000001E-2</v>
      </c>
    </row>
    <row r="14" spans="1:8">
      <c r="B14" s="217">
        <v>8</v>
      </c>
      <c r="E14" s="215">
        <v>355</v>
      </c>
      <c r="F14" s="215" t="s">
        <v>347</v>
      </c>
      <c r="H14" s="33">
        <v>2.2200000000000001E-2</v>
      </c>
    </row>
    <row r="15" spans="1:8">
      <c r="B15" s="217">
        <v>9</v>
      </c>
      <c r="E15" s="215">
        <v>356</v>
      </c>
      <c r="F15" s="215" t="s">
        <v>348</v>
      </c>
      <c r="H15" s="33">
        <v>2.0400000000000001E-2</v>
      </c>
    </row>
    <row r="16" spans="1:8">
      <c r="B16" s="217">
        <v>10</v>
      </c>
      <c r="E16" s="215">
        <v>359</v>
      </c>
      <c r="F16" s="215" t="s">
        <v>349</v>
      </c>
      <c r="H16" s="33">
        <v>1.95E-2</v>
      </c>
    </row>
    <row r="17" spans="2:8">
      <c r="B17" s="217">
        <v>11</v>
      </c>
      <c r="F17" s="215" t="s">
        <v>4</v>
      </c>
      <c r="H17" s="33">
        <v>2.3199999999999998E-2</v>
      </c>
    </row>
    <row r="18" spans="2:8">
      <c r="B18" s="217">
        <v>12</v>
      </c>
      <c r="H18" s="33"/>
    </row>
    <row r="19" spans="2:8">
      <c r="B19" s="217">
        <v>13</v>
      </c>
      <c r="D19" s="222" t="s">
        <v>100</v>
      </c>
      <c r="H19" s="33"/>
    </row>
    <row r="20" spans="2:8">
      <c r="B20" s="217">
        <v>14</v>
      </c>
      <c r="H20" s="33"/>
    </row>
    <row r="21" spans="2:8">
      <c r="B21" s="217">
        <v>15</v>
      </c>
      <c r="E21" s="215">
        <v>389</v>
      </c>
      <c r="F21" s="223" t="s">
        <v>343</v>
      </c>
      <c r="H21" s="33">
        <v>0</v>
      </c>
    </row>
    <row r="22" spans="2:8">
      <c r="B22" s="217">
        <v>16</v>
      </c>
      <c r="E22" s="215">
        <v>390</v>
      </c>
      <c r="F22" s="215" t="s">
        <v>344</v>
      </c>
      <c r="H22" s="33">
        <v>4.7300000000000002E-2</v>
      </c>
    </row>
    <row r="23" spans="2:8">
      <c r="B23" s="217">
        <v>17</v>
      </c>
      <c r="E23" s="215">
        <v>391</v>
      </c>
      <c r="F23" s="215" t="s">
        <v>350</v>
      </c>
      <c r="H23" s="33">
        <v>0.1056</v>
      </c>
    </row>
    <row r="24" spans="2:8">
      <c r="B24" s="217">
        <v>18</v>
      </c>
      <c r="E24" s="215">
        <v>392</v>
      </c>
      <c r="F24" s="215" t="s">
        <v>351</v>
      </c>
      <c r="H24" s="33">
        <v>9.06E-2</v>
      </c>
    </row>
    <row r="25" spans="2:8">
      <c r="B25" s="217">
        <v>19</v>
      </c>
      <c r="E25" s="215">
        <v>393</v>
      </c>
      <c r="F25" s="215" t="s">
        <v>352</v>
      </c>
      <c r="H25" s="33">
        <v>4.2299999999999997E-2</v>
      </c>
    </row>
    <row r="26" spans="2:8">
      <c r="B26" s="217">
        <v>20</v>
      </c>
      <c r="E26" s="215">
        <v>394</v>
      </c>
      <c r="F26" s="215" t="s">
        <v>13</v>
      </c>
      <c r="H26" s="33">
        <v>4.2299999999999997E-2</v>
      </c>
    </row>
    <row r="27" spans="2:8">
      <c r="B27" s="217">
        <v>21</v>
      </c>
      <c r="E27" s="215">
        <v>395</v>
      </c>
      <c r="F27" s="215" t="s">
        <v>353</v>
      </c>
      <c r="H27" s="33">
        <v>3.0599999999999999E-2</v>
      </c>
    </row>
    <row r="28" spans="2:8">
      <c r="B28" s="217">
        <v>22</v>
      </c>
      <c r="E28" s="215">
        <v>396</v>
      </c>
      <c r="F28" s="215" t="s">
        <v>354</v>
      </c>
      <c r="H28" s="33">
        <v>4.2299999999999997E-2</v>
      </c>
    </row>
    <row r="29" spans="2:8">
      <c r="B29" s="217">
        <v>23</v>
      </c>
      <c r="E29" s="215">
        <v>397</v>
      </c>
      <c r="F29" s="215" t="s">
        <v>355</v>
      </c>
      <c r="H29" s="33">
        <v>4.3900000000000002E-2</v>
      </c>
    </row>
    <row r="30" spans="2:8">
      <c r="B30" s="217">
        <v>24</v>
      </c>
      <c r="E30" s="215">
        <v>398</v>
      </c>
      <c r="F30" s="215" t="s">
        <v>356</v>
      </c>
      <c r="H30" s="33">
        <v>5.8099999999999999E-2</v>
      </c>
    </row>
    <row r="31" spans="2:8">
      <c r="B31" s="217">
        <v>25</v>
      </c>
      <c r="F31" s="215" t="s">
        <v>12</v>
      </c>
      <c r="H31" s="33">
        <v>6.5299999999999997E-2</v>
      </c>
    </row>
    <row r="32" spans="2:8">
      <c r="B32" s="217">
        <v>26</v>
      </c>
    </row>
    <row r="33" spans="2:5">
      <c r="B33" s="217">
        <v>27</v>
      </c>
      <c r="D33" s="215" t="s">
        <v>415</v>
      </c>
      <c r="E33" s="224"/>
    </row>
  </sheetData>
  <mergeCells count="1">
    <mergeCell ref="A4:H4"/>
  </mergeCells>
  <phoneticPr fontId="20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2:AQ176"/>
  <sheetViews>
    <sheetView zoomScale="80" zoomScaleNormal="80" workbookViewId="0">
      <pane ySplit="12" topLeftCell="A45" activePane="bottomLeft" state="frozen"/>
      <selection activeCell="T20" sqref="T20"/>
      <selection pane="bottomLeft" activeCell="E55" sqref="E55:F55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4.44140625" customWidth="1"/>
    <col min="5" max="5" width="16.109375" customWidth="1"/>
    <col min="6" max="11" width="15.88671875" customWidth="1"/>
    <col min="12" max="12" width="17.6640625" bestFit="1" customWidth="1"/>
    <col min="13" max="13" width="16.109375" bestFit="1" customWidth="1"/>
    <col min="14" max="15" width="15.88671875" customWidth="1"/>
    <col min="16" max="16" width="19.6640625" bestFit="1" customWidth="1"/>
    <col min="17" max="17" width="14.88671875" bestFit="1" customWidth="1"/>
    <col min="18" max="18" width="17.88671875" customWidth="1"/>
    <col min="19" max="19" width="15.44140625" customWidth="1"/>
    <col min="20" max="20" width="14.88671875" bestFit="1" customWidth="1"/>
    <col min="21" max="21" width="14.109375" bestFit="1" customWidth="1"/>
    <col min="22" max="22" width="13.33203125" bestFit="1" customWidth="1"/>
  </cols>
  <sheetData>
    <row r="2" spans="1:43" ht="15.75">
      <c r="A2" s="116"/>
      <c r="B2" s="116"/>
      <c r="C2" s="116"/>
      <c r="D2" s="117"/>
      <c r="E2" s="116"/>
      <c r="F2" s="116"/>
      <c r="G2" s="116"/>
      <c r="H2" s="116"/>
      <c r="I2" s="118" t="str">
        <f>'CU AC Rate Design - True-Up'!H1</f>
        <v>Date: May 31, 2024</v>
      </c>
      <c r="J2" s="116"/>
      <c r="K2" s="116"/>
      <c r="L2" s="116"/>
      <c r="O2" s="119"/>
      <c r="R2" s="225" t="str">
        <f>I2</f>
        <v>Date: May 31, 2024</v>
      </c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</row>
    <row r="3" spans="1:4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9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</row>
    <row r="4" spans="1:43" ht="15" customHeight="1">
      <c r="A4" s="273" t="s">
        <v>321</v>
      </c>
      <c r="B4" s="273"/>
      <c r="C4" s="273"/>
      <c r="D4" s="273"/>
      <c r="E4" s="273"/>
      <c r="F4" s="273"/>
      <c r="G4" s="273"/>
      <c r="H4" s="273"/>
      <c r="I4" s="273"/>
      <c r="J4" s="273" t="s">
        <v>321</v>
      </c>
      <c r="K4" s="273"/>
      <c r="L4" s="273"/>
      <c r="M4" s="273"/>
      <c r="N4" s="273"/>
      <c r="O4" s="273"/>
      <c r="P4" s="273"/>
      <c r="Q4" s="273"/>
      <c r="R4" s="273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</row>
    <row r="5" spans="1:43" ht="15.75">
      <c r="A5" s="274" t="s">
        <v>195</v>
      </c>
      <c r="B5" s="274"/>
      <c r="C5" s="274"/>
      <c r="D5" s="274"/>
      <c r="E5" s="274"/>
      <c r="F5" s="274"/>
      <c r="G5" s="274"/>
      <c r="H5" s="274"/>
      <c r="I5" s="274"/>
      <c r="J5" s="274" t="s">
        <v>195</v>
      </c>
      <c r="K5" s="274"/>
      <c r="L5" s="274"/>
      <c r="M5" s="274"/>
      <c r="N5" s="274"/>
      <c r="O5" s="274"/>
      <c r="P5" s="274"/>
      <c r="Q5" s="274"/>
      <c r="R5" s="274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</row>
    <row r="6" spans="1:43">
      <c r="A6" s="116"/>
      <c r="B6" s="116"/>
      <c r="C6" s="119"/>
      <c r="D6" s="119"/>
      <c r="F6" s="119"/>
      <c r="G6" s="119"/>
      <c r="H6" s="119"/>
      <c r="I6" s="119"/>
      <c r="J6" s="116"/>
      <c r="K6" s="116"/>
      <c r="L6" s="119"/>
      <c r="M6" s="119"/>
      <c r="O6" s="119"/>
      <c r="P6" s="119"/>
      <c r="Q6" s="119"/>
      <c r="R6" s="119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</row>
    <row r="7" spans="1:43" ht="15" customHeight="1">
      <c r="A7" s="275" t="s">
        <v>320</v>
      </c>
      <c r="B7" s="275"/>
      <c r="C7" s="275"/>
      <c r="D7" s="275"/>
      <c r="E7" s="275"/>
      <c r="F7" s="275"/>
      <c r="G7" s="275"/>
      <c r="H7" s="275"/>
      <c r="I7" s="275"/>
      <c r="J7" s="275" t="s">
        <v>320</v>
      </c>
      <c r="K7" s="275"/>
      <c r="L7" s="275"/>
      <c r="M7" s="275"/>
      <c r="N7" s="275"/>
      <c r="O7" s="275"/>
      <c r="P7" s="275"/>
      <c r="Q7" s="275"/>
      <c r="R7" s="275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</row>
    <row r="8" spans="1:43">
      <c r="A8" s="124"/>
      <c r="B8" s="116"/>
      <c r="C8" s="119"/>
      <c r="D8" s="119"/>
      <c r="E8" s="12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</row>
    <row r="9" spans="1:43">
      <c r="A9" s="116"/>
      <c r="B9" s="116"/>
      <c r="C9" s="126"/>
      <c r="D9" s="126"/>
      <c r="E9" s="126"/>
      <c r="F9" s="127"/>
      <c r="G9" s="127"/>
      <c r="H9" s="127"/>
      <c r="I9" s="127"/>
      <c r="J9" s="127"/>
      <c r="K9" s="127"/>
      <c r="L9" s="1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</row>
    <row r="10" spans="1:43" ht="15.75" customHeight="1">
      <c r="A10" s="116"/>
      <c r="B10" s="116"/>
      <c r="C10" s="119"/>
      <c r="D10" s="122" t="s">
        <v>206</v>
      </c>
      <c r="E10" s="127"/>
      <c r="F10" s="127"/>
      <c r="G10" s="127"/>
      <c r="H10" s="127"/>
      <c r="I10" s="127"/>
      <c r="J10" s="127"/>
      <c r="K10" s="127"/>
      <c r="L10" s="1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</row>
    <row r="11" spans="1:43" ht="15.75">
      <c r="A11" s="124" t="s">
        <v>196</v>
      </c>
      <c r="B11" s="116"/>
      <c r="C11" s="119"/>
      <c r="D11" s="131" t="s">
        <v>208</v>
      </c>
      <c r="E11" s="121" t="s">
        <v>209</v>
      </c>
      <c r="F11" s="132"/>
      <c r="G11" s="132"/>
      <c r="H11" s="132"/>
      <c r="I11" s="132"/>
      <c r="J11" s="132"/>
      <c r="K11" s="132"/>
      <c r="L11" s="126"/>
      <c r="O11" s="226"/>
      <c r="P11" s="226"/>
      <c r="Q11" s="227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</row>
    <row r="12" spans="1:43" ht="16.5" thickBot="1">
      <c r="A12" s="135" t="s">
        <v>197</v>
      </c>
      <c r="B12" s="116"/>
      <c r="C12" s="136" t="s">
        <v>211</v>
      </c>
      <c r="D12" s="127"/>
      <c r="E12" s="165" t="s">
        <v>26</v>
      </c>
      <c r="F12" s="165" t="s">
        <v>27</v>
      </c>
      <c r="G12" s="165" t="s">
        <v>28</v>
      </c>
      <c r="H12" s="165" t="s">
        <v>29</v>
      </c>
      <c r="I12" s="165" t="s">
        <v>30</v>
      </c>
      <c r="J12" s="165" t="s">
        <v>31</v>
      </c>
      <c r="K12" s="165" t="s">
        <v>32</v>
      </c>
      <c r="L12" s="165" t="s">
        <v>33</v>
      </c>
      <c r="M12" s="165" t="s">
        <v>145</v>
      </c>
      <c r="N12" s="165" t="s">
        <v>34</v>
      </c>
      <c r="O12" s="165" t="s">
        <v>35</v>
      </c>
      <c r="P12" s="165" t="s">
        <v>36</v>
      </c>
      <c r="Q12" s="165" t="s">
        <v>37</v>
      </c>
      <c r="R12" s="165" t="s">
        <v>38</v>
      </c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</row>
    <row r="13" spans="1:43" ht="15" customHeight="1">
      <c r="A13" s="124"/>
      <c r="B13" s="116"/>
      <c r="C13" s="119"/>
      <c r="D13" s="127"/>
      <c r="E13" s="228">
        <v>44896</v>
      </c>
      <c r="F13" s="228">
        <v>44927</v>
      </c>
      <c r="G13" s="228">
        <v>44958</v>
      </c>
      <c r="H13" s="228">
        <v>44986</v>
      </c>
      <c r="I13" s="228">
        <v>45017</v>
      </c>
      <c r="J13" s="228">
        <v>45047</v>
      </c>
      <c r="K13" s="228">
        <v>45078</v>
      </c>
      <c r="L13" s="228">
        <v>45108</v>
      </c>
      <c r="M13" s="228">
        <v>45139</v>
      </c>
      <c r="N13" s="228">
        <v>45170</v>
      </c>
      <c r="O13" s="228">
        <v>45200</v>
      </c>
      <c r="P13" s="228">
        <v>45231</v>
      </c>
      <c r="Q13" s="228">
        <v>45261</v>
      </c>
      <c r="R13" s="11" t="s">
        <v>25</v>
      </c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</row>
    <row r="14" spans="1:43">
      <c r="A14" s="124"/>
      <c r="B14" s="116"/>
      <c r="C14" s="119" t="s">
        <v>41</v>
      </c>
      <c r="D14" s="127" t="s">
        <v>411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3">
      <c r="A15" s="124">
        <v>1</v>
      </c>
      <c r="B15" s="116"/>
      <c r="C15" s="119" t="s">
        <v>213</v>
      </c>
      <c r="D15" s="127" t="s">
        <v>73</v>
      </c>
      <c r="E15" s="11">
        <f t="shared" ref="E15:Q15" si="0">E69-E90+E111+E133+E154</f>
        <v>710477040.59000003</v>
      </c>
      <c r="F15" s="11">
        <f t="shared" si="0"/>
        <v>713430073.79000008</v>
      </c>
      <c r="G15" s="11">
        <f t="shared" si="0"/>
        <v>713399826.25999999</v>
      </c>
      <c r="H15" s="11">
        <f t="shared" si="0"/>
        <v>711387368.91999996</v>
      </c>
      <c r="I15" s="11">
        <f t="shared" si="0"/>
        <v>715230918.46999991</v>
      </c>
      <c r="J15" s="11">
        <f t="shared" si="0"/>
        <v>715549542.85000002</v>
      </c>
      <c r="K15" s="11">
        <f t="shared" si="0"/>
        <v>716798721.2900002</v>
      </c>
      <c r="L15" s="11">
        <f t="shared" si="0"/>
        <v>717886703.95000017</v>
      </c>
      <c r="M15" s="11">
        <f t="shared" si="0"/>
        <v>719029210.34000015</v>
      </c>
      <c r="N15" s="11">
        <f t="shared" si="0"/>
        <v>717185860.44000018</v>
      </c>
      <c r="O15" s="11">
        <f t="shared" si="0"/>
        <v>720228680.11000013</v>
      </c>
      <c r="P15" s="11">
        <f t="shared" si="0"/>
        <v>720502113.49000025</v>
      </c>
      <c r="Q15" s="11">
        <f t="shared" si="0"/>
        <v>720000126.28000033</v>
      </c>
      <c r="R15" s="11">
        <f t="shared" ref="R15:R21" si="1">AVERAGE(E15:Q15)</f>
        <v>716238937.44461548</v>
      </c>
      <c r="S15" s="11"/>
      <c r="T15" s="11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</row>
    <row r="16" spans="1:43">
      <c r="A16" s="124">
        <f t="shared" ref="A16:A65" si="2">+A15+1</f>
        <v>2</v>
      </c>
      <c r="B16" s="116"/>
      <c r="C16" s="119" t="s">
        <v>215</v>
      </c>
      <c r="D16" s="127" t="s">
        <v>120</v>
      </c>
      <c r="E16" s="11">
        <f t="shared" ref="E16:Q16" si="3">E70-E91+E112+E134+E155</f>
        <v>277787054.88999999</v>
      </c>
      <c r="F16" s="11">
        <f t="shared" si="3"/>
        <v>280083415.10999995</v>
      </c>
      <c r="G16" s="11">
        <f t="shared" si="3"/>
        <v>292121685.81999999</v>
      </c>
      <c r="H16" s="11">
        <f t="shared" si="3"/>
        <v>287658734.67000002</v>
      </c>
      <c r="I16" s="11">
        <f t="shared" si="3"/>
        <v>291788443.74000001</v>
      </c>
      <c r="J16" s="11">
        <f t="shared" si="3"/>
        <v>296409496.61000001</v>
      </c>
      <c r="K16" s="11">
        <f t="shared" si="3"/>
        <v>297876969.25999999</v>
      </c>
      <c r="L16" s="11">
        <f t="shared" si="3"/>
        <v>303558694.75999999</v>
      </c>
      <c r="M16" s="11">
        <f t="shared" si="3"/>
        <v>303435912.23000002</v>
      </c>
      <c r="N16" s="11">
        <f t="shared" si="3"/>
        <v>297515490.69000006</v>
      </c>
      <c r="O16" s="11">
        <f t="shared" si="3"/>
        <v>298234559.95000005</v>
      </c>
      <c r="P16" s="11">
        <f t="shared" si="3"/>
        <v>298746030.45000005</v>
      </c>
      <c r="Q16" s="11">
        <f t="shared" si="3"/>
        <v>298726431.65754336</v>
      </c>
      <c r="R16" s="11">
        <f t="shared" si="1"/>
        <v>294149455.37211871</v>
      </c>
      <c r="T16" s="11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</row>
    <row r="17" spans="1:43">
      <c r="A17" s="124">
        <f t="shared" si="2"/>
        <v>3</v>
      </c>
      <c r="B17" s="116"/>
      <c r="C17" s="119" t="s">
        <v>216</v>
      </c>
      <c r="D17" s="127" t="s">
        <v>121</v>
      </c>
      <c r="E17" s="11">
        <f t="shared" ref="E17:Q17" si="4">E71-E92+E113+E135+E156</f>
        <v>511089759.20999998</v>
      </c>
      <c r="F17" s="11">
        <f t="shared" si="4"/>
        <v>518061830.54000008</v>
      </c>
      <c r="G17" s="11">
        <f t="shared" si="4"/>
        <v>524236995.44999999</v>
      </c>
      <c r="H17" s="11">
        <f t="shared" si="4"/>
        <v>522883698.45000005</v>
      </c>
      <c r="I17" s="11">
        <f t="shared" si="4"/>
        <v>525661657.62</v>
      </c>
      <c r="J17" s="11">
        <f t="shared" si="4"/>
        <v>525356783.89999992</v>
      </c>
      <c r="K17" s="11">
        <f t="shared" si="4"/>
        <v>523444770.4460125</v>
      </c>
      <c r="L17" s="11">
        <f t="shared" si="4"/>
        <v>526576272.48999995</v>
      </c>
      <c r="M17" s="11">
        <f t="shared" si="4"/>
        <v>529455778.75999999</v>
      </c>
      <c r="N17" s="11">
        <f t="shared" si="4"/>
        <v>531248794.70170391</v>
      </c>
      <c r="O17" s="11">
        <f t="shared" si="4"/>
        <v>535395938.78000003</v>
      </c>
      <c r="P17" s="11">
        <f t="shared" si="4"/>
        <v>538957313.1099999</v>
      </c>
      <c r="Q17" s="11">
        <f t="shared" si="4"/>
        <v>539541946.36650956</v>
      </c>
      <c r="R17" s="11">
        <f t="shared" si="1"/>
        <v>527070118.44801736</v>
      </c>
      <c r="T17" s="11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</row>
    <row r="18" spans="1:43">
      <c r="A18" s="124">
        <f t="shared" si="2"/>
        <v>4</v>
      </c>
      <c r="B18" s="116"/>
      <c r="C18" s="119" t="s">
        <v>217</v>
      </c>
      <c r="D18" s="127" t="s">
        <v>453</v>
      </c>
      <c r="E18" s="11">
        <f t="shared" ref="E18:Q18" si="5">E72-E93+E114+E136+E157</f>
        <v>66227852.809999995</v>
      </c>
      <c r="F18" s="11">
        <f t="shared" si="5"/>
        <v>66430933.429999992</v>
      </c>
      <c r="G18" s="11">
        <f t="shared" si="5"/>
        <v>66310718.229999989</v>
      </c>
      <c r="H18" s="11">
        <f t="shared" si="5"/>
        <v>66405958.269999988</v>
      </c>
      <c r="I18" s="11">
        <f t="shared" si="5"/>
        <v>66699264.219999999</v>
      </c>
      <c r="J18" s="11">
        <f t="shared" si="5"/>
        <v>66707169.080000013</v>
      </c>
      <c r="K18" s="11">
        <f t="shared" si="5"/>
        <v>66401637.320000067</v>
      </c>
      <c r="L18" s="11">
        <f t="shared" si="5"/>
        <v>67595584.710000008</v>
      </c>
      <c r="M18" s="11">
        <f t="shared" si="5"/>
        <v>68108998.500000045</v>
      </c>
      <c r="N18" s="11">
        <f t="shared" si="5"/>
        <v>68208239.040000051</v>
      </c>
      <c r="O18" s="11">
        <f t="shared" si="5"/>
        <v>68231749.120000049</v>
      </c>
      <c r="P18" s="11">
        <f t="shared" si="5"/>
        <v>68322173.400000006</v>
      </c>
      <c r="Q18" s="11">
        <f t="shared" si="5"/>
        <v>70254998.269999996</v>
      </c>
      <c r="R18" s="11">
        <f t="shared" si="1"/>
        <v>67377328.953846157</v>
      </c>
      <c r="T18" s="11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</row>
    <row r="19" spans="1:43">
      <c r="A19" s="124">
        <f t="shared" si="2"/>
        <v>5</v>
      </c>
      <c r="B19" s="116"/>
      <c r="C19" s="119" t="s">
        <v>137</v>
      </c>
      <c r="D19" s="127" t="s">
        <v>442</v>
      </c>
      <c r="E19" s="11">
        <f t="shared" ref="E19:Q19" si="6">E73-E94+E115+E137+E158</f>
        <v>28110437</v>
      </c>
      <c r="F19" s="11">
        <f t="shared" si="6"/>
        <v>28524496</v>
      </c>
      <c r="G19" s="11">
        <f t="shared" si="6"/>
        <v>28544918</v>
      </c>
      <c r="H19" s="11">
        <f t="shared" si="6"/>
        <v>28954340</v>
      </c>
      <c r="I19" s="11">
        <f t="shared" si="6"/>
        <v>29138134</v>
      </c>
      <c r="J19" s="11">
        <f t="shared" si="6"/>
        <v>28953252</v>
      </c>
      <c r="K19" s="11">
        <f t="shared" si="6"/>
        <v>28969463</v>
      </c>
      <c r="L19" s="11">
        <f t="shared" si="6"/>
        <v>29151818</v>
      </c>
      <c r="M19" s="11">
        <f t="shared" si="6"/>
        <v>29948943</v>
      </c>
      <c r="N19" s="11">
        <f t="shared" si="6"/>
        <v>29887279</v>
      </c>
      <c r="O19" s="11">
        <f t="shared" si="6"/>
        <v>30301039</v>
      </c>
      <c r="P19" s="11">
        <f t="shared" si="6"/>
        <v>30439235</v>
      </c>
      <c r="Q19" s="11">
        <f t="shared" si="6"/>
        <v>34146719</v>
      </c>
      <c r="R19" s="11">
        <f t="shared" si="1"/>
        <v>29620774.846153848</v>
      </c>
      <c r="T19" s="11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</row>
    <row r="20" spans="1:43">
      <c r="A20" s="124">
        <f t="shared" si="2"/>
        <v>6</v>
      </c>
      <c r="B20" s="116"/>
      <c r="C20" s="119" t="s">
        <v>102</v>
      </c>
      <c r="D20" s="127" t="s">
        <v>101</v>
      </c>
      <c r="E20" s="11">
        <f t="shared" ref="E20:Q20" si="7">E74-E95+E116+E138+E159</f>
        <v>6864775.2599999998</v>
      </c>
      <c r="F20" s="11">
        <f t="shared" si="7"/>
        <v>6892103.1900000013</v>
      </c>
      <c r="G20" s="11">
        <f t="shared" si="7"/>
        <v>7157235.6700000018</v>
      </c>
      <c r="H20" s="11">
        <f t="shared" si="7"/>
        <v>7150446.5800000019</v>
      </c>
      <c r="I20" s="11">
        <f t="shared" si="7"/>
        <v>7183675.910000002</v>
      </c>
      <c r="J20" s="11">
        <f t="shared" si="7"/>
        <v>7149369.2400000021</v>
      </c>
      <c r="K20" s="11">
        <f t="shared" si="7"/>
        <v>7152553.8300000019</v>
      </c>
      <c r="L20" s="11">
        <f t="shared" si="7"/>
        <v>7152935.2600000016</v>
      </c>
      <c r="M20" s="11">
        <f t="shared" si="7"/>
        <v>7191787.2100000009</v>
      </c>
      <c r="N20" s="11">
        <f t="shared" si="7"/>
        <v>7173950.4700000007</v>
      </c>
      <c r="O20" s="11">
        <f t="shared" si="7"/>
        <v>7225506.9800000014</v>
      </c>
      <c r="P20" s="11">
        <f t="shared" si="7"/>
        <v>6654459.7800000012</v>
      </c>
      <c r="Q20" s="11">
        <f t="shared" si="7"/>
        <v>6831887.1899999995</v>
      </c>
      <c r="R20" s="11">
        <f t="shared" si="1"/>
        <v>7060052.8130769245</v>
      </c>
      <c r="T20" s="11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</row>
    <row r="21" spans="1:43">
      <c r="A21" s="124">
        <f t="shared" si="2"/>
        <v>7</v>
      </c>
      <c r="B21" s="116"/>
      <c r="C21" s="119" t="s">
        <v>219</v>
      </c>
      <c r="D21" s="127" t="s">
        <v>220</v>
      </c>
      <c r="E21" s="11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0</v>
      </c>
      <c r="R21" s="11">
        <f t="shared" si="1"/>
        <v>0</v>
      </c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</row>
    <row r="22" spans="1:43">
      <c r="A22" s="124">
        <f t="shared" si="2"/>
        <v>8</v>
      </c>
      <c r="B22" s="116"/>
      <c r="C22" s="140" t="s">
        <v>5</v>
      </c>
      <c r="D22" s="127" t="str">
        <f>"(sum lines "&amp;A15&amp;" - "&amp;A21&amp;")"</f>
        <v>(sum lines 1 - 7)</v>
      </c>
      <c r="E22" s="20">
        <f>SUM(E15:E21)</f>
        <v>1600556919.76</v>
      </c>
      <c r="F22" s="20">
        <f t="shared" ref="F22:R22" si="8">SUM(F15:F21)</f>
        <v>1613422852.0600002</v>
      </c>
      <c r="G22" s="20">
        <f t="shared" si="8"/>
        <v>1631771379.4300001</v>
      </c>
      <c r="H22" s="20">
        <f t="shared" si="8"/>
        <v>1624440546.8899999</v>
      </c>
      <c r="I22" s="20">
        <f t="shared" si="8"/>
        <v>1635702093.96</v>
      </c>
      <c r="J22" s="20">
        <f t="shared" si="8"/>
        <v>1640125613.6799998</v>
      </c>
      <c r="K22" s="20">
        <f t="shared" si="8"/>
        <v>1640644115.1460128</v>
      </c>
      <c r="L22" s="20">
        <f t="shared" si="8"/>
        <v>1651922009.1700001</v>
      </c>
      <c r="M22" s="20">
        <f t="shared" si="8"/>
        <v>1657170630.0400002</v>
      </c>
      <c r="N22" s="20">
        <f t="shared" si="8"/>
        <v>1651219614.3417041</v>
      </c>
      <c r="O22" s="20">
        <f t="shared" si="8"/>
        <v>1659617473.9400003</v>
      </c>
      <c r="P22" s="20">
        <f t="shared" si="8"/>
        <v>1663621325.2300003</v>
      </c>
      <c r="Q22" s="20">
        <f t="shared" si="8"/>
        <v>1669502108.7640533</v>
      </c>
      <c r="R22" s="20">
        <f t="shared" si="8"/>
        <v>1641516667.8778284</v>
      </c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</row>
    <row r="23" spans="1:43">
      <c r="A23" s="124">
        <f t="shared" si="2"/>
        <v>9</v>
      </c>
      <c r="B23" s="116"/>
      <c r="C23" s="119"/>
      <c r="D23" s="12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</row>
    <row r="24" spans="1:43">
      <c r="A24" s="124">
        <f t="shared" si="2"/>
        <v>10</v>
      </c>
      <c r="B24" s="116"/>
      <c r="C24" s="119" t="s">
        <v>42</v>
      </c>
      <c r="D24" s="127" t="s">
        <v>411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</row>
    <row r="25" spans="1:43">
      <c r="A25" s="124">
        <f t="shared" si="2"/>
        <v>11</v>
      </c>
      <c r="B25" s="116"/>
      <c r="C25" s="119" t="str">
        <f>+C15</f>
        <v xml:space="preserve">  Production</v>
      </c>
      <c r="D25" s="127" t="s">
        <v>407</v>
      </c>
      <c r="E25" s="11">
        <f t="shared" ref="E25:Q25" si="9">+E79-E100+E121-E143+E164</f>
        <v>237974865.99000001</v>
      </c>
      <c r="F25" s="11">
        <f t="shared" si="9"/>
        <v>242159207</v>
      </c>
      <c r="G25" s="11">
        <f t="shared" si="9"/>
        <v>243809844.05000001</v>
      </c>
      <c r="H25" s="11">
        <f t="shared" si="9"/>
        <v>242213470.51999998</v>
      </c>
      <c r="I25" s="11">
        <f t="shared" si="9"/>
        <v>245047075.03999996</v>
      </c>
      <c r="J25" s="11">
        <f t="shared" si="9"/>
        <v>246696063.96999997</v>
      </c>
      <c r="K25" s="11">
        <f t="shared" si="9"/>
        <v>244387128.10999998</v>
      </c>
      <c r="L25" s="11">
        <f t="shared" si="9"/>
        <v>246467156.61000001</v>
      </c>
      <c r="M25" s="11">
        <f t="shared" si="9"/>
        <v>248151989.81999996</v>
      </c>
      <c r="N25" s="11">
        <f t="shared" si="9"/>
        <v>246931187.53999999</v>
      </c>
      <c r="O25" s="11">
        <f t="shared" si="9"/>
        <v>248477117.65999997</v>
      </c>
      <c r="P25" s="11">
        <f t="shared" si="9"/>
        <v>249988860.48000002</v>
      </c>
      <c r="Q25" s="11">
        <f t="shared" si="9"/>
        <v>249744133.58999997</v>
      </c>
      <c r="R25" s="11">
        <f t="shared" ref="R25:R31" si="10">AVERAGE(E25:Q25)</f>
        <v>245542161.56769231</v>
      </c>
      <c r="S25" s="11"/>
      <c r="T25" s="11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</row>
    <row r="26" spans="1:43">
      <c r="A26" s="124">
        <f t="shared" si="2"/>
        <v>12</v>
      </c>
      <c r="B26" s="116"/>
      <c r="C26" s="119" t="s">
        <v>215</v>
      </c>
      <c r="D26" s="127" t="s">
        <v>122</v>
      </c>
      <c r="E26" s="11">
        <f t="shared" ref="E26:Q26" si="11">+E80-E101+E122-E144+E165</f>
        <v>45000016.232300587</v>
      </c>
      <c r="F26" s="11">
        <f t="shared" si="11"/>
        <v>47464569.962666921</v>
      </c>
      <c r="G26" s="11">
        <f t="shared" si="11"/>
        <v>47987805.733370923</v>
      </c>
      <c r="H26" s="11">
        <f t="shared" si="11"/>
        <v>43587390.07505884</v>
      </c>
      <c r="I26" s="11">
        <f t="shared" si="11"/>
        <v>48171455.446039669</v>
      </c>
      <c r="J26" s="11">
        <f t="shared" si="11"/>
        <v>48661445.486890092</v>
      </c>
      <c r="K26" s="11">
        <f t="shared" si="11"/>
        <v>44708570.783088259</v>
      </c>
      <c r="L26" s="11">
        <f t="shared" si="11"/>
        <v>49760003.975097507</v>
      </c>
      <c r="M26" s="11">
        <f t="shared" si="11"/>
        <v>50316949.211643562</v>
      </c>
      <c r="N26" s="11">
        <f t="shared" si="11"/>
        <v>43253764.35693039</v>
      </c>
      <c r="O26" s="11">
        <f t="shared" si="11"/>
        <v>43930792.995380461</v>
      </c>
      <c r="P26" s="11">
        <f t="shared" si="11"/>
        <v>44463849.113332465</v>
      </c>
      <c r="Q26" s="11">
        <f t="shared" si="11"/>
        <v>44835365.358322732</v>
      </c>
      <c r="R26" s="11">
        <f t="shared" si="10"/>
        <v>46318613.748470955</v>
      </c>
      <c r="T26" s="11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</row>
    <row r="27" spans="1:43">
      <c r="A27" s="124">
        <f t="shared" si="2"/>
        <v>13</v>
      </c>
      <c r="B27" s="116"/>
      <c r="C27" s="119" t="s">
        <v>216</v>
      </c>
      <c r="D27" s="127" t="s">
        <v>123</v>
      </c>
      <c r="E27" s="11">
        <f t="shared" ref="E27:Q27" si="12">+E81-E102+E123-E145+E166</f>
        <v>165500499.67000002</v>
      </c>
      <c r="F27" s="11">
        <f t="shared" si="12"/>
        <v>168862769.47</v>
      </c>
      <c r="G27" s="11">
        <f t="shared" si="12"/>
        <v>169721060.89000002</v>
      </c>
      <c r="H27" s="11">
        <f t="shared" si="12"/>
        <v>167619478.18000001</v>
      </c>
      <c r="I27" s="11">
        <f t="shared" si="12"/>
        <v>170042244.94</v>
      </c>
      <c r="J27" s="11">
        <f t="shared" si="12"/>
        <v>169671849.51999998</v>
      </c>
      <c r="K27" s="11">
        <f t="shared" si="12"/>
        <v>167325660.38601252</v>
      </c>
      <c r="L27" s="11">
        <f t="shared" si="12"/>
        <v>170282940.47</v>
      </c>
      <c r="M27" s="11">
        <f t="shared" si="12"/>
        <v>171298553.81</v>
      </c>
      <c r="N27" s="11">
        <f t="shared" si="12"/>
        <v>169819030.73170388</v>
      </c>
      <c r="O27" s="11">
        <f t="shared" si="12"/>
        <v>173027282.65000001</v>
      </c>
      <c r="P27" s="11">
        <f t="shared" si="12"/>
        <v>173796242.03999999</v>
      </c>
      <c r="Q27" s="11">
        <f t="shared" si="12"/>
        <v>172715898.86650965</v>
      </c>
      <c r="R27" s="11">
        <f>AVERAGE(E27:Q27)</f>
        <v>169975654.74032509</v>
      </c>
      <c r="T27" s="11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</row>
    <row r="28" spans="1:43">
      <c r="A28" s="124">
        <f t="shared" si="2"/>
        <v>14</v>
      </c>
      <c r="B28" s="116"/>
      <c r="C28" s="119" t="str">
        <f>+C18</f>
        <v xml:space="preserve">  General &amp; Intangible</v>
      </c>
      <c r="D28" s="127" t="s">
        <v>443</v>
      </c>
      <c r="E28" s="11">
        <f t="shared" ref="E28:Q28" si="13">+E82-E103+E124-E146+E167</f>
        <v>36432465.818566352</v>
      </c>
      <c r="F28" s="11">
        <f t="shared" si="13"/>
        <v>36897753.507367395</v>
      </c>
      <c r="G28" s="11">
        <f t="shared" si="13"/>
        <v>35676676.314838819</v>
      </c>
      <c r="H28" s="11">
        <f t="shared" si="13"/>
        <v>36613369.513201147</v>
      </c>
      <c r="I28" s="11">
        <f t="shared" si="13"/>
        <v>37192892.153840907</v>
      </c>
      <c r="J28" s="11">
        <f t="shared" si="13"/>
        <v>37143827.667418703</v>
      </c>
      <c r="K28" s="11">
        <f t="shared" si="13"/>
        <v>37133334.690193728</v>
      </c>
      <c r="L28" s="11">
        <f t="shared" si="13"/>
        <v>37582913.510699444</v>
      </c>
      <c r="M28" s="11">
        <f t="shared" si="13"/>
        <v>37678751.7816789</v>
      </c>
      <c r="N28" s="11">
        <f t="shared" si="13"/>
        <v>40995177.511616968</v>
      </c>
      <c r="O28" s="11">
        <f t="shared" si="13"/>
        <v>41841171.537151814</v>
      </c>
      <c r="P28" s="11">
        <f t="shared" si="13"/>
        <v>41790412.333407514</v>
      </c>
      <c r="Q28" s="11">
        <f t="shared" si="13"/>
        <v>42254229.758233741</v>
      </c>
      <c r="R28" s="11">
        <f>AVERAGE(E28:Q28)</f>
        <v>38402536.622939646</v>
      </c>
      <c r="T28" s="11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</row>
    <row r="29" spans="1:43">
      <c r="A29" s="124">
        <f t="shared" si="2"/>
        <v>15</v>
      </c>
      <c r="B29" s="116"/>
      <c r="C29" s="119" t="s">
        <v>137</v>
      </c>
      <c r="D29" s="127" t="s">
        <v>444</v>
      </c>
      <c r="E29" s="11">
        <f t="shared" ref="E29:Q29" si="14">+E83-E104+E125-E147+E168</f>
        <v>7469924</v>
      </c>
      <c r="F29" s="11">
        <f t="shared" si="14"/>
        <v>8017580</v>
      </c>
      <c r="G29" s="11">
        <f t="shared" si="14"/>
        <v>8369840</v>
      </c>
      <c r="H29" s="11">
        <f t="shared" si="14"/>
        <v>8738205</v>
      </c>
      <c r="I29" s="11">
        <f t="shared" si="14"/>
        <v>8961106</v>
      </c>
      <c r="J29" s="11">
        <f t="shared" si="14"/>
        <v>9064576</v>
      </c>
      <c r="K29" s="11">
        <f t="shared" si="14"/>
        <v>9404035</v>
      </c>
      <c r="L29" s="11">
        <f t="shared" si="14"/>
        <v>9740531</v>
      </c>
      <c r="M29" s="11">
        <f t="shared" si="14"/>
        <v>10065334</v>
      </c>
      <c r="N29" s="11">
        <f t="shared" si="14"/>
        <v>10267904</v>
      </c>
      <c r="O29" s="11">
        <f t="shared" si="14"/>
        <v>10630705</v>
      </c>
      <c r="P29" s="11">
        <f t="shared" si="14"/>
        <v>10963498</v>
      </c>
      <c r="Q29" s="11">
        <f t="shared" si="14"/>
        <v>11315875</v>
      </c>
      <c r="R29" s="11">
        <f>AVERAGE(E29:Q29)</f>
        <v>9462239.461538462</v>
      </c>
      <c r="T29" s="11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</row>
    <row r="30" spans="1:43">
      <c r="A30" s="124">
        <f t="shared" si="2"/>
        <v>16</v>
      </c>
      <c r="B30" s="116"/>
      <c r="C30" s="119" t="str">
        <f>+C20</f>
        <v xml:space="preserve">  Communication System</v>
      </c>
      <c r="D30" s="127" t="s">
        <v>445</v>
      </c>
      <c r="E30" s="11">
        <f t="shared" ref="E30:Q30" si="15">+E84-E105+E126-E148+E169</f>
        <v>2335041.4235851602</v>
      </c>
      <c r="F30" s="11">
        <f t="shared" si="15"/>
        <v>2366436.4206038266</v>
      </c>
      <c r="G30" s="11">
        <f t="shared" si="15"/>
        <v>2392135.0029352438</v>
      </c>
      <c r="H30" s="11">
        <f t="shared" si="15"/>
        <v>2412086.2683842019</v>
      </c>
      <c r="I30" s="11">
        <f t="shared" si="15"/>
        <v>2438305.7674388266</v>
      </c>
      <c r="J30" s="11">
        <f t="shared" si="15"/>
        <v>2464523.2958590351</v>
      </c>
      <c r="K30" s="11">
        <f t="shared" si="15"/>
        <v>2489161.3068079101</v>
      </c>
      <c r="L30" s="11">
        <f t="shared" si="15"/>
        <v>2515328.4306017021</v>
      </c>
      <c r="M30" s="11">
        <f t="shared" si="15"/>
        <v>2541567.3187864101</v>
      </c>
      <c r="N30" s="11">
        <f t="shared" si="15"/>
        <v>2550040.5336629935</v>
      </c>
      <c r="O30" s="11">
        <f t="shared" si="15"/>
        <v>2594248.9076188682</v>
      </c>
      <c r="P30" s="11">
        <f t="shared" si="15"/>
        <v>2046550.9901507017</v>
      </c>
      <c r="Q30" s="11">
        <f t="shared" si="15"/>
        <v>2053415.6528535767</v>
      </c>
      <c r="R30" s="11">
        <f t="shared" si="10"/>
        <v>2399910.8707144964</v>
      </c>
      <c r="T30" s="11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</row>
    <row r="31" spans="1:43">
      <c r="A31" s="124">
        <f t="shared" si="2"/>
        <v>17</v>
      </c>
      <c r="B31" s="116"/>
      <c r="C31" s="119" t="str">
        <f>+C21</f>
        <v xml:space="preserve">  Common</v>
      </c>
      <c r="D31" s="127" t="s">
        <v>220</v>
      </c>
      <c r="E31" s="11"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0</v>
      </c>
      <c r="R31" s="11">
        <f t="shared" si="10"/>
        <v>0</v>
      </c>
      <c r="S31" s="226"/>
      <c r="T31" s="226"/>
      <c r="U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</row>
    <row r="32" spans="1:43">
      <c r="A32" s="124">
        <f t="shared" si="2"/>
        <v>18</v>
      </c>
      <c r="B32" s="116"/>
      <c r="C32" s="119" t="s">
        <v>7</v>
      </c>
      <c r="D32" s="127" t="str">
        <f>"(sum lines "&amp;A25&amp;" - "&amp;A31&amp;")"</f>
        <v>(sum lines 11 - 17)</v>
      </c>
      <c r="E32" s="20">
        <f>SUM(E25:E31)</f>
        <v>494712813.1344521</v>
      </c>
      <c r="F32" s="20">
        <f>SUM(F25:F31)</f>
        <v>505768316.36063808</v>
      </c>
      <c r="G32" s="20">
        <f t="shared" ref="G32:R32" si="16">SUM(G25:G31)</f>
        <v>507957361.99114501</v>
      </c>
      <c r="H32" s="20">
        <f t="shared" si="16"/>
        <v>501183999.5566442</v>
      </c>
      <c r="I32" s="20">
        <f t="shared" si="16"/>
        <v>511853079.34731936</v>
      </c>
      <c r="J32" s="20">
        <f t="shared" si="16"/>
        <v>513702285.94016778</v>
      </c>
      <c r="K32" s="20">
        <f t="shared" si="16"/>
        <v>505447890.27610242</v>
      </c>
      <c r="L32" s="20">
        <f t="shared" si="16"/>
        <v>516348873.99639875</v>
      </c>
      <c r="M32" s="20">
        <f t="shared" si="16"/>
        <v>520053145.94210881</v>
      </c>
      <c r="N32" s="20">
        <f t="shared" si="16"/>
        <v>513817104.67391419</v>
      </c>
      <c r="O32" s="20">
        <f>SUM(O25:O31)</f>
        <v>520501318.75015116</v>
      </c>
      <c r="P32" s="20">
        <f>SUM(P25:P31)</f>
        <v>523049412.9568907</v>
      </c>
      <c r="Q32" s="20">
        <f>SUM(Q25:Q31)</f>
        <v>522918918.2259196</v>
      </c>
      <c r="R32" s="20">
        <f t="shared" si="16"/>
        <v>512101117.0116809</v>
      </c>
      <c r="S32" s="127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</row>
    <row r="33" spans="1:43">
      <c r="A33" s="124">
        <f t="shared" si="2"/>
        <v>19</v>
      </c>
      <c r="B33" s="116"/>
      <c r="C33" s="116"/>
      <c r="D33" s="127" t="s">
        <v>194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7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</row>
    <row r="34" spans="1:43">
      <c r="A34" s="124">
        <f t="shared" si="2"/>
        <v>20</v>
      </c>
      <c r="B34" s="116"/>
      <c r="C34" s="119" t="s">
        <v>223</v>
      </c>
      <c r="D34" s="127" t="s">
        <v>411</v>
      </c>
      <c r="E34" s="11"/>
      <c r="F34" s="11"/>
      <c r="G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7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</row>
    <row r="35" spans="1:43">
      <c r="A35" s="124">
        <f t="shared" si="2"/>
        <v>21</v>
      </c>
      <c r="B35" s="116"/>
      <c r="C35" s="119" t="str">
        <f>+C25</f>
        <v xml:space="preserve">  Production</v>
      </c>
      <c r="D35" s="127" t="str">
        <f t="shared" ref="D35:D41" si="17">"(line "&amp;A15&amp;" - line "&amp;A25&amp;")"</f>
        <v>(line 1 - line 11)</v>
      </c>
      <c r="E35" s="11">
        <f t="shared" ref="E35:E41" si="18">+E15-E25</f>
        <v>472502174.60000002</v>
      </c>
      <c r="F35" s="11">
        <f t="shared" ref="F35:Q35" si="19">+F15-F25</f>
        <v>471270866.79000008</v>
      </c>
      <c r="G35" s="11">
        <f t="shared" si="19"/>
        <v>469589982.20999998</v>
      </c>
      <c r="H35" s="11">
        <f t="shared" si="19"/>
        <v>469173898.39999998</v>
      </c>
      <c r="I35" s="11">
        <f t="shared" si="19"/>
        <v>470183843.42999995</v>
      </c>
      <c r="J35" s="11">
        <f t="shared" si="19"/>
        <v>468853478.88000005</v>
      </c>
      <c r="K35" s="11">
        <f t="shared" si="19"/>
        <v>472411593.18000019</v>
      </c>
      <c r="L35" s="11">
        <f t="shared" si="19"/>
        <v>471419547.34000015</v>
      </c>
      <c r="M35" s="11">
        <f t="shared" si="19"/>
        <v>470877220.52000022</v>
      </c>
      <c r="N35" s="11">
        <f t="shared" si="19"/>
        <v>470254672.90000021</v>
      </c>
      <c r="O35" s="11">
        <f t="shared" si="19"/>
        <v>471751562.45000017</v>
      </c>
      <c r="P35" s="11">
        <f t="shared" si="19"/>
        <v>470513253.01000023</v>
      </c>
      <c r="Q35" s="11">
        <f t="shared" si="19"/>
        <v>470255992.69000036</v>
      </c>
      <c r="R35" s="11">
        <f>R15-R25</f>
        <v>470696775.8769232</v>
      </c>
      <c r="S35" s="127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</row>
    <row r="36" spans="1:43">
      <c r="A36" s="124">
        <f t="shared" si="2"/>
        <v>22</v>
      </c>
      <c r="B36" s="116"/>
      <c r="C36" s="119" t="s">
        <v>215</v>
      </c>
      <c r="D36" s="127" t="str">
        <f t="shared" si="17"/>
        <v>(line 2 - line 12)</v>
      </c>
      <c r="E36" s="11">
        <f t="shared" si="18"/>
        <v>232787038.65769941</v>
      </c>
      <c r="F36" s="11">
        <f t="shared" ref="F36:Q41" si="20">+F16-F26</f>
        <v>232618845.14733303</v>
      </c>
      <c r="G36" s="11">
        <f t="shared" si="20"/>
        <v>244133880.08662906</v>
      </c>
      <c r="H36" s="11">
        <f t="shared" si="20"/>
        <v>244071344.59494117</v>
      </c>
      <c r="I36" s="11">
        <f t="shared" si="20"/>
        <v>243616988.29396033</v>
      </c>
      <c r="J36" s="11">
        <f t="shared" si="20"/>
        <v>247748051.12310994</v>
      </c>
      <c r="K36" s="11">
        <f t="shared" si="20"/>
        <v>253168398.47691172</v>
      </c>
      <c r="L36" s="11">
        <f t="shared" si="20"/>
        <v>253798690.78490248</v>
      </c>
      <c r="M36" s="11">
        <f t="shared" si="20"/>
        <v>253118963.01835644</v>
      </c>
      <c r="N36" s="11">
        <f t="shared" si="20"/>
        <v>254261726.33306968</v>
      </c>
      <c r="O36" s="11">
        <f t="shared" si="20"/>
        <v>254303766.95461959</v>
      </c>
      <c r="P36" s="11">
        <f t="shared" si="20"/>
        <v>254282181.3366676</v>
      </c>
      <c r="Q36" s="11">
        <f t="shared" si="20"/>
        <v>253891066.29922062</v>
      </c>
      <c r="R36" s="11">
        <f t="shared" ref="R36:R41" si="21">R16-R26</f>
        <v>247830841.62364775</v>
      </c>
      <c r="S36" s="127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</row>
    <row r="37" spans="1:43">
      <c r="A37" s="124">
        <f t="shared" si="2"/>
        <v>23</v>
      </c>
      <c r="B37" s="116"/>
      <c r="C37" s="119" t="s">
        <v>297</v>
      </c>
      <c r="D37" s="127" t="str">
        <f t="shared" si="17"/>
        <v>(line 3 - line 13)</v>
      </c>
      <c r="E37" s="11">
        <f t="shared" si="18"/>
        <v>345589259.53999996</v>
      </c>
      <c r="F37" s="11">
        <f t="shared" si="20"/>
        <v>349199061.07000005</v>
      </c>
      <c r="G37" s="11">
        <f t="shared" si="20"/>
        <v>354515934.55999994</v>
      </c>
      <c r="H37" s="11">
        <f t="shared" si="20"/>
        <v>355264220.27000004</v>
      </c>
      <c r="I37" s="11">
        <f t="shared" si="20"/>
        <v>355619412.68000001</v>
      </c>
      <c r="J37" s="11">
        <f t="shared" si="20"/>
        <v>355684934.37999994</v>
      </c>
      <c r="K37" s="11">
        <f t="shared" si="20"/>
        <v>356119110.05999994</v>
      </c>
      <c r="L37" s="11">
        <f t="shared" si="20"/>
        <v>356293332.01999998</v>
      </c>
      <c r="M37" s="11">
        <f t="shared" si="20"/>
        <v>358157224.94999999</v>
      </c>
      <c r="N37" s="11">
        <f t="shared" si="20"/>
        <v>361429763.97000003</v>
      </c>
      <c r="O37" s="11">
        <f t="shared" si="20"/>
        <v>362368656.13</v>
      </c>
      <c r="P37" s="11">
        <f t="shared" si="20"/>
        <v>365161071.06999993</v>
      </c>
      <c r="Q37" s="11">
        <f t="shared" si="20"/>
        <v>366826047.49999988</v>
      </c>
      <c r="R37" s="11">
        <f t="shared" si="21"/>
        <v>357094463.70769227</v>
      </c>
      <c r="S37" s="127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</row>
    <row r="38" spans="1:43">
      <c r="A38" s="124">
        <f t="shared" si="2"/>
        <v>24</v>
      </c>
      <c r="B38" s="116"/>
      <c r="C38" s="119" t="str">
        <f>+C28</f>
        <v xml:space="preserve">  General &amp; Intangible</v>
      </c>
      <c r="D38" s="127" t="str">
        <f t="shared" si="17"/>
        <v>(line 4 - line 14)</v>
      </c>
      <c r="E38" s="11">
        <f t="shared" si="18"/>
        <v>29795386.991433643</v>
      </c>
      <c r="F38" s="11">
        <f t="shared" si="20"/>
        <v>29533179.922632597</v>
      </c>
      <c r="G38" s="11">
        <f t="shared" si="20"/>
        <v>30634041.91516117</v>
      </c>
      <c r="H38" s="11">
        <f t="shared" si="20"/>
        <v>29792588.756798841</v>
      </c>
      <c r="I38" s="11">
        <f t="shared" si="20"/>
        <v>29506372.066159092</v>
      </c>
      <c r="J38" s="11">
        <f t="shared" si="20"/>
        <v>29563341.41258131</v>
      </c>
      <c r="K38" s="11">
        <f t="shared" si="20"/>
        <v>29268302.62980634</v>
      </c>
      <c r="L38" s="11">
        <f t="shared" si="20"/>
        <v>30012671.199300565</v>
      </c>
      <c r="M38" s="11">
        <f t="shared" si="20"/>
        <v>30430246.718321145</v>
      </c>
      <c r="N38" s="11">
        <f t="shared" si="20"/>
        <v>27213061.528383084</v>
      </c>
      <c r="O38" s="11">
        <f t="shared" si="20"/>
        <v>26390577.582848236</v>
      </c>
      <c r="P38" s="11">
        <f t="shared" si="20"/>
        <v>26531761.066592492</v>
      </c>
      <c r="Q38" s="11">
        <f t="shared" si="20"/>
        <v>28000768.511766255</v>
      </c>
      <c r="R38" s="11">
        <f t="shared" si="21"/>
        <v>28974792.33090651</v>
      </c>
      <c r="S38" s="127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</row>
    <row r="39" spans="1:43">
      <c r="A39" s="124">
        <f t="shared" si="2"/>
        <v>25</v>
      </c>
      <c r="B39" s="116"/>
      <c r="C39" s="119" t="s">
        <v>137</v>
      </c>
      <c r="D39" s="127" t="str">
        <f t="shared" si="17"/>
        <v>(line 5 - line 15)</v>
      </c>
      <c r="E39" s="11">
        <f t="shared" si="18"/>
        <v>20640513</v>
      </c>
      <c r="F39" s="11">
        <f t="shared" si="20"/>
        <v>20506916</v>
      </c>
      <c r="G39" s="11">
        <f t="shared" si="20"/>
        <v>20175078</v>
      </c>
      <c r="H39" s="11">
        <f t="shared" si="20"/>
        <v>20216135</v>
      </c>
      <c r="I39" s="11">
        <f t="shared" si="20"/>
        <v>20177028</v>
      </c>
      <c r="J39" s="11">
        <f t="shared" si="20"/>
        <v>19888676</v>
      </c>
      <c r="K39" s="11">
        <f t="shared" si="20"/>
        <v>19565428</v>
      </c>
      <c r="L39" s="11">
        <f t="shared" si="20"/>
        <v>19411287</v>
      </c>
      <c r="M39" s="11">
        <f t="shared" si="20"/>
        <v>19883609</v>
      </c>
      <c r="N39" s="11">
        <f t="shared" si="20"/>
        <v>19619375</v>
      </c>
      <c r="O39" s="11">
        <f t="shared" si="20"/>
        <v>19670334</v>
      </c>
      <c r="P39" s="11">
        <f t="shared" si="20"/>
        <v>19475737</v>
      </c>
      <c r="Q39" s="11">
        <f t="shared" si="20"/>
        <v>22830844</v>
      </c>
      <c r="R39" s="11">
        <f t="shared" si="21"/>
        <v>20158535.384615384</v>
      </c>
      <c r="S39" s="127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</row>
    <row r="40" spans="1:43">
      <c r="A40" s="124">
        <f t="shared" si="2"/>
        <v>26</v>
      </c>
      <c r="B40" s="116"/>
      <c r="C40" s="119" t="str">
        <f>+C30</f>
        <v xml:space="preserve">  Communication System</v>
      </c>
      <c r="D40" s="127" t="str">
        <f t="shared" si="17"/>
        <v>(line 6 - line 16)</v>
      </c>
      <c r="E40" s="11">
        <f t="shared" si="18"/>
        <v>4529733.8364148401</v>
      </c>
      <c r="F40" s="11">
        <f t="shared" si="20"/>
        <v>4525666.7693961747</v>
      </c>
      <c r="G40" s="11">
        <f t="shared" si="20"/>
        <v>4765100.667064758</v>
      </c>
      <c r="H40" s="11">
        <f t="shared" si="20"/>
        <v>4738360.3116158005</v>
      </c>
      <c r="I40" s="11">
        <f t="shared" si="20"/>
        <v>4745370.1425611749</v>
      </c>
      <c r="J40" s="11">
        <f t="shared" si="20"/>
        <v>4684845.944140967</v>
      </c>
      <c r="K40" s="11">
        <f t="shared" si="20"/>
        <v>4663392.5231920918</v>
      </c>
      <c r="L40" s="11">
        <f t="shared" si="20"/>
        <v>4637606.8293982996</v>
      </c>
      <c r="M40" s="11">
        <f t="shared" si="20"/>
        <v>4650219.8912135903</v>
      </c>
      <c r="N40" s="11">
        <f t="shared" si="20"/>
        <v>4623909.9363370072</v>
      </c>
      <c r="O40" s="11">
        <f t="shared" si="20"/>
        <v>4631258.0723811332</v>
      </c>
      <c r="P40" s="11">
        <f t="shared" si="20"/>
        <v>4607908.7898492999</v>
      </c>
      <c r="Q40" s="11">
        <f>+Q20-Q30</f>
        <v>4778471.537146423</v>
      </c>
      <c r="R40" s="11">
        <f t="shared" si="21"/>
        <v>4660141.9423624277</v>
      </c>
      <c r="S40" s="127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</row>
    <row r="41" spans="1:43">
      <c r="A41" s="124">
        <f t="shared" si="2"/>
        <v>27</v>
      </c>
      <c r="B41" s="116"/>
      <c r="C41" s="119" t="str">
        <f>+C31</f>
        <v xml:space="preserve">  Common</v>
      </c>
      <c r="D41" s="127" t="str">
        <f t="shared" si="17"/>
        <v>(line 7 - line 17)</v>
      </c>
      <c r="E41" s="11">
        <f t="shared" si="18"/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  <c r="O41" s="11">
        <f t="shared" si="20"/>
        <v>0</v>
      </c>
      <c r="P41" s="11">
        <f t="shared" si="20"/>
        <v>0</v>
      </c>
      <c r="Q41" s="11">
        <f t="shared" si="20"/>
        <v>0</v>
      </c>
      <c r="R41" s="19">
        <f t="shared" si="21"/>
        <v>0</v>
      </c>
      <c r="S41" s="127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</row>
    <row r="42" spans="1:43">
      <c r="A42" s="124">
        <f t="shared" si="2"/>
        <v>28</v>
      </c>
      <c r="B42" s="116"/>
      <c r="C42" s="119" t="s">
        <v>6</v>
      </c>
      <c r="D42" s="127" t="str">
        <f>"(sum lines "&amp;A35&amp;" - "&amp;A41&amp;")"</f>
        <v>(sum lines 21 - 27)</v>
      </c>
      <c r="E42" s="20">
        <f>SUM(E35:E41)</f>
        <v>1105844106.6255479</v>
      </c>
      <c r="F42" s="20">
        <f t="shared" ref="F42:Q42" si="22">SUM(F35:F41)</f>
        <v>1107654535.6993618</v>
      </c>
      <c r="G42" s="20">
        <f t="shared" si="22"/>
        <v>1123814017.4388549</v>
      </c>
      <c r="H42" s="20">
        <f t="shared" si="22"/>
        <v>1123256547.3333557</v>
      </c>
      <c r="I42" s="20">
        <f t="shared" si="22"/>
        <v>1123849014.6126804</v>
      </c>
      <c r="J42" s="20">
        <f t="shared" si="22"/>
        <v>1126423327.7398319</v>
      </c>
      <c r="K42" s="20">
        <f t="shared" si="22"/>
        <v>1135196224.8699102</v>
      </c>
      <c r="L42" s="20">
        <f t="shared" si="22"/>
        <v>1135573135.1736016</v>
      </c>
      <c r="M42" s="20">
        <f t="shared" si="22"/>
        <v>1137117484.0978913</v>
      </c>
      <c r="N42" s="20">
        <f t="shared" si="22"/>
        <v>1137402509.6677899</v>
      </c>
      <c r="O42" s="20">
        <f t="shared" si="22"/>
        <v>1139116155.1898491</v>
      </c>
      <c r="P42" s="20">
        <f t="shared" si="22"/>
        <v>1140571912.2731094</v>
      </c>
      <c r="Q42" s="20">
        <f t="shared" si="22"/>
        <v>1146583190.5381334</v>
      </c>
      <c r="R42" s="20">
        <f>SUM(R35:R41)</f>
        <v>1129415550.8661475</v>
      </c>
      <c r="S42" s="127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</row>
    <row r="43" spans="1:43">
      <c r="A43" s="124"/>
      <c r="B43" s="116"/>
      <c r="C43" s="119"/>
      <c r="D43" s="12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27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</row>
    <row r="44" spans="1:43">
      <c r="A44" s="124"/>
      <c r="B44" s="116"/>
      <c r="C44" s="119" t="s">
        <v>412</v>
      </c>
      <c r="D44" s="12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7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</row>
    <row r="45" spans="1:43" ht="18">
      <c r="A45" s="124"/>
      <c r="B45" s="116"/>
      <c r="C45" s="140" t="s">
        <v>413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</row>
    <row r="46" spans="1:43">
      <c r="A46" s="124"/>
      <c r="B46" s="116"/>
      <c r="C46" s="11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</row>
    <row r="47" spans="1:43" ht="23.25">
      <c r="A47" s="124"/>
      <c r="B47" s="116"/>
      <c r="C47" s="119"/>
      <c r="D47" s="127"/>
      <c r="E47" s="229" t="s">
        <v>456</v>
      </c>
      <c r="F47" s="127"/>
      <c r="G47" s="127"/>
      <c r="H47" s="230"/>
      <c r="I47" s="119"/>
      <c r="J47" s="127"/>
      <c r="S47" s="127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</row>
    <row r="48" spans="1:43">
      <c r="A48" s="124">
        <f>+A42+1</f>
        <v>29</v>
      </c>
      <c r="B48" s="116"/>
      <c r="C48" s="116"/>
      <c r="D48" s="127"/>
      <c r="E48" s="30" t="s">
        <v>26</v>
      </c>
      <c r="F48" s="30" t="s">
        <v>27</v>
      </c>
      <c r="G48" s="30" t="s">
        <v>28</v>
      </c>
      <c r="H48" s="30"/>
      <c r="I48" s="116"/>
      <c r="J48" s="116"/>
      <c r="K48" s="116"/>
      <c r="L48" s="11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</row>
    <row r="49" spans="1:36">
      <c r="A49" s="124">
        <f t="shared" si="2"/>
        <v>30</v>
      </c>
      <c r="B49" s="116"/>
      <c r="C49" s="140" t="s">
        <v>408</v>
      </c>
      <c r="D49" s="127"/>
      <c r="E49" s="228">
        <v>44896</v>
      </c>
      <c r="F49" s="228">
        <v>45261</v>
      </c>
      <c r="G49" s="127" t="s">
        <v>40</v>
      </c>
      <c r="H49" s="228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</row>
    <row r="50" spans="1:36">
      <c r="A50" s="124">
        <f t="shared" si="2"/>
        <v>31</v>
      </c>
      <c r="B50" s="116"/>
      <c r="C50" s="119" t="s">
        <v>269</v>
      </c>
      <c r="D50" s="127" t="s">
        <v>401</v>
      </c>
      <c r="E50" s="11">
        <v>0</v>
      </c>
      <c r="F50" s="11">
        <v>0</v>
      </c>
      <c r="G50" s="11">
        <f t="shared" ref="G50:G55" si="23">(+E50+F50)/2</f>
        <v>0</v>
      </c>
      <c r="H50" s="11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</row>
    <row r="51" spans="1:36">
      <c r="A51" s="124">
        <f t="shared" si="2"/>
        <v>32</v>
      </c>
      <c r="B51" s="116"/>
      <c r="C51" s="119" t="s">
        <v>270</v>
      </c>
      <c r="D51" s="127" t="s">
        <v>402</v>
      </c>
      <c r="E51" s="11">
        <v>-148377196</v>
      </c>
      <c r="F51" s="11">
        <v>-152726605</v>
      </c>
      <c r="G51" s="11">
        <f t="shared" si="23"/>
        <v>-150551900.5</v>
      </c>
      <c r="H51" s="119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</row>
    <row r="52" spans="1:36">
      <c r="A52" s="124">
        <f>+A51+1</f>
        <v>33</v>
      </c>
      <c r="B52" s="116"/>
      <c r="C52" s="119" t="s">
        <v>271</v>
      </c>
      <c r="D52" s="127" t="s">
        <v>403</v>
      </c>
      <c r="E52" s="19">
        <v>-17870601</v>
      </c>
      <c r="F52" s="19">
        <v>-17423866</v>
      </c>
      <c r="G52" s="11">
        <f t="shared" si="23"/>
        <v>-17647233.5</v>
      </c>
      <c r="H52" s="119"/>
      <c r="J52" s="127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</row>
    <row r="53" spans="1:36">
      <c r="A53" s="124">
        <f>+A52+1</f>
        <v>34</v>
      </c>
      <c r="B53" s="116"/>
      <c r="C53" s="119" t="s">
        <v>273</v>
      </c>
      <c r="D53" s="127" t="s">
        <v>404</v>
      </c>
      <c r="E53" s="19">
        <v>44839608</v>
      </c>
      <c r="F53" s="19">
        <v>48008895</v>
      </c>
      <c r="G53" s="11">
        <f t="shared" si="23"/>
        <v>46424251.5</v>
      </c>
      <c r="H53" s="119"/>
      <c r="J53" s="127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</row>
    <row r="54" spans="1:36">
      <c r="A54" s="124">
        <f>+A53+1</f>
        <v>35</v>
      </c>
      <c r="B54" s="116"/>
      <c r="C54" s="116" t="s">
        <v>272</v>
      </c>
      <c r="D54" s="127" t="s">
        <v>446</v>
      </c>
      <c r="E54" s="19">
        <v>0</v>
      </c>
      <c r="F54" s="19">
        <v>0</v>
      </c>
      <c r="G54" s="11">
        <f t="shared" si="23"/>
        <v>0</v>
      </c>
      <c r="H54" s="127"/>
      <c r="J54" s="127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</row>
    <row r="55" spans="1:36">
      <c r="A55" s="124">
        <f t="shared" si="2"/>
        <v>36</v>
      </c>
      <c r="B55" s="116"/>
      <c r="C55" s="119" t="s">
        <v>292</v>
      </c>
      <c r="D55" s="116" t="s">
        <v>447</v>
      </c>
      <c r="E55" s="86">
        <v>1763704.97</v>
      </c>
      <c r="F55" s="86">
        <v>1718283.96</v>
      </c>
      <c r="G55" s="86">
        <f t="shared" si="23"/>
        <v>1740994.4649999999</v>
      </c>
      <c r="H55" s="119"/>
      <c r="J55" s="127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</row>
    <row r="56" spans="1:36">
      <c r="A56" s="124">
        <f t="shared" si="2"/>
        <v>37</v>
      </c>
      <c r="B56" s="116"/>
      <c r="C56" s="119" t="s">
        <v>8</v>
      </c>
      <c r="D56" s="127" t="str">
        <f>"(sum lines "&amp;A50&amp;" - "&amp;A55&amp;")"</f>
        <v>(sum lines 31 - 36)</v>
      </c>
      <c r="E56" s="11">
        <f>SUM(E50:E55)</f>
        <v>-119644484.03</v>
      </c>
      <c r="F56" s="11">
        <f>SUM(F50:F55)</f>
        <v>-120423292.04000001</v>
      </c>
      <c r="G56" s="11">
        <f>SUM(G50:G55)</f>
        <v>-120033888.035</v>
      </c>
      <c r="H56" s="127"/>
      <c r="J56" s="127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</row>
    <row r="57" spans="1:36">
      <c r="A57" s="124">
        <f t="shared" si="2"/>
        <v>38</v>
      </c>
      <c r="B57" s="116"/>
      <c r="C57" s="116"/>
      <c r="D57" s="127"/>
      <c r="E57" s="11"/>
      <c r="F57" s="11"/>
      <c r="G57" s="11"/>
      <c r="H57" s="127"/>
      <c r="I57" s="127"/>
      <c r="J57" s="127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</row>
    <row r="58" spans="1:36">
      <c r="A58" s="124">
        <f t="shared" si="2"/>
        <v>39</v>
      </c>
      <c r="B58" s="116"/>
      <c r="C58" s="140" t="s">
        <v>230</v>
      </c>
      <c r="D58" s="127" t="s">
        <v>299</v>
      </c>
      <c r="E58" s="11">
        <v>1268191</v>
      </c>
      <c r="F58" s="11">
        <v>2155556</v>
      </c>
      <c r="G58" s="11">
        <f>(+E58+F58)/2</f>
        <v>1711873.5</v>
      </c>
      <c r="H58" s="127"/>
      <c r="I58" s="127"/>
      <c r="J58" s="127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</row>
    <row r="59" spans="1:36">
      <c r="A59" s="124">
        <f t="shared" si="2"/>
        <v>40</v>
      </c>
      <c r="B59" s="116"/>
      <c r="C59" s="119"/>
      <c r="D59" s="127"/>
      <c r="E59" s="11"/>
      <c r="G59" s="11"/>
      <c r="H59" s="127"/>
      <c r="I59" s="127"/>
      <c r="J59" s="127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</row>
    <row r="60" spans="1:36">
      <c r="A60" s="124">
        <f t="shared" si="2"/>
        <v>41</v>
      </c>
      <c r="B60" s="116"/>
      <c r="C60" s="119" t="s">
        <v>414</v>
      </c>
      <c r="D60" s="127"/>
      <c r="E60" s="11"/>
      <c r="F60" s="11"/>
      <c r="G60" s="11"/>
      <c r="H60" s="127"/>
      <c r="I60" s="127"/>
      <c r="J60" s="127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</row>
    <row r="61" spans="1:36">
      <c r="A61" s="124">
        <f t="shared" si="2"/>
        <v>42</v>
      </c>
      <c r="B61" s="116"/>
      <c r="C61" s="119"/>
      <c r="D61" s="116"/>
      <c r="E61" s="11"/>
      <c r="F61" s="11"/>
      <c r="G61" s="11"/>
      <c r="H61" s="127"/>
      <c r="I61" s="127"/>
      <c r="J61" s="127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36">
      <c r="A62" s="124">
        <f t="shared" si="2"/>
        <v>43</v>
      </c>
      <c r="B62" s="116"/>
      <c r="C62" s="119" t="s">
        <v>358</v>
      </c>
      <c r="D62" s="127" t="s">
        <v>134</v>
      </c>
      <c r="E62" s="19">
        <v>7829590</v>
      </c>
      <c r="F62" s="19">
        <v>7554563</v>
      </c>
      <c r="G62" s="11">
        <f>(+E62+F62)/2</f>
        <v>7692076.5</v>
      </c>
      <c r="H62" s="119"/>
      <c r="J62" s="127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>
      <c r="A63" s="124">
        <f t="shared" si="2"/>
        <v>44</v>
      </c>
      <c r="B63" s="116"/>
      <c r="C63" s="119" t="s">
        <v>358</v>
      </c>
      <c r="D63" s="127" t="s">
        <v>133</v>
      </c>
      <c r="E63" s="19">
        <v>27554</v>
      </c>
      <c r="F63" s="19">
        <v>258612</v>
      </c>
      <c r="G63" s="11">
        <f>(+E63+F63)/2</f>
        <v>143083</v>
      </c>
      <c r="H63" s="119"/>
      <c r="J63" s="127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36">
      <c r="A64" s="124">
        <f t="shared" si="2"/>
        <v>45</v>
      </c>
      <c r="B64" s="116"/>
      <c r="C64" s="119" t="s">
        <v>274</v>
      </c>
      <c r="D64" s="127" t="s">
        <v>74</v>
      </c>
      <c r="E64" s="19">
        <v>3992256</v>
      </c>
      <c r="F64" s="19">
        <v>4086489</v>
      </c>
      <c r="G64" s="11">
        <f>(+E64+F64)/2</f>
        <v>4039372.5</v>
      </c>
      <c r="H64" s="119"/>
      <c r="J64" s="127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>
      <c r="A65" s="124">
        <f t="shared" si="2"/>
        <v>46</v>
      </c>
      <c r="B65" s="116"/>
      <c r="C65" s="119" t="s">
        <v>9</v>
      </c>
      <c r="D65" s="127" t="str">
        <f>"(sum lines "&amp;A61&amp;" - "&amp;A64&amp;")"</f>
        <v>(sum lines 42 - 45)</v>
      </c>
      <c r="E65" s="20">
        <f>SUM(E62:E64)</f>
        <v>11849400</v>
      </c>
      <c r="F65" s="20">
        <f>SUM(F62:F64)</f>
        <v>11899664</v>
      </c>
      <c r="G65" s="20">
        <f>SUM(G62:G64)</f>
        <v>11874532</v>
      </c>
      <c r="H65" s="119"/>
      <c r="I65" s="119"/>
      <c r="J65" s="127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>
      <c r="R66" s="226"/>
    </row>
    <row r="67" spans="1:36">
      <c r="R67" s="226"/>
    </row>
    <row r="68" spans="1:36">
      <c r="C68" s="119" t="s">
        <v>41</v>
      </c>
      <c r="D68" t="s">
        <v>466</v>
      </c>
      <c r="R68" s="226"/>
    </row>
    <row r="69" spans="1:36">
      <c r="C69" s="119" t="s">
        <v>213</v>
      </c>
      <c r="E69" s="11">
        <v>713098861</v>
      </c>
      <c r="F69" s="11">
        <v>713430073.79000008</v>
      </c>
      <c r="G69" s="11">
        <v>713399826.25999999</v>
      </c>
      <c r="H69" s="11">
        <v>714520143.86000001</v>
      </c>
      <c r="I69" s="11">
        <v>715230918.46999991</v>
      </c>
      <c r="J69" s="11">
        <v>715549542.85000002</v>
      </c>
      <c r="K69" s="11">
        <v>717539266.56000018</v>
      </c>
      <c r="L69" s="11">
        <v>717886703.95000017</v>
      </c>
      <c r="M69" s="11">
        <v>719029210.34000015</v>
      </c>
      <c r="N69" s="11">
        <v>720624620.23000014</v>
      </c>
      <c r="O69" s="11">
        <v>720714976.11000013</v>
      </c>
      <c r="P69" s="11">
        <v>720502113.49000025</v>
      </c>
      <c r="Q69" s="11">
        <v>721818045.59000027</v>
      </c>
      <c r="R69" s="226"/>
      <c r="S69" s="11"/>
      <c r="T69" s="11"/>
    </row>
    <row r="70" spans="1:36">
      <c r="C70" s="119" t="s">
        <v>215</v>
      </c>
      <c r="E70" s="11">
        <v>279831348</v>
      </c>
      <c r="F70" s="11">
        <v>280083415.10999995</v>
      </c>
      <c r="G70" s="11">
        <v>292121685.81999999</v>
      </c>
      <c r="H70" s="11">
        <v>291718466.75999999</v>
      </c>
      <c r="I70" s="11">
        <v>291788443.74000001</v>
      </c>
      <c r="J70" s="11">
        <v>296409496.61000001</v>
      </c>
      <c r="K70" s="11">
        <v>302372496.24000001</v>
      </c>
      <c r="L70" s="11">
        <v>303558694.75999999</v>
      </c>
      <c r="M70" s="11">
        <v>303435912.23000002</v>
      </c>
      <c r="N70" s="11">
        <v>297673974.88000005</v>
      </c>
      <c r="O70" s="11">
        <v>298234559.95000005</v>
      </c>
      <c r="P70" s="11">
        <v>298746030.45000005</v>
      </c>
      <c r="Q70" s="11">
        <v>298901770.75000006</v>
      </c>
      <c r="R70" s="226"/>
      <c r="T70" s="11"/>
    </row>
    <row r="71" spans="1:36">
      <c r="C71" s="119" t="s">
        <v>216</v>
      </c>
      <c r="E71" s="11">
        <v>513601938</v>
      </c>
      <c r="F71" s="11">
        <v>518061830.54000008</v>
      </c>
      <c r="G71" s="11">
        <v>524236995.44999999</v>
      </c>
      <c r="H71" s="11">
        <v>525460909.43000007</v>
      </c>
      <c r="I71" s="11">
        <v>525661657.62</v>
      </c>
      <c r="J71" s="11">
        <v>525356783.89999992</v>
      </c>
      <c r="K71" s="11">
        <v>525401271.24999994</v>
      </c>
      <c r="L71" s="11">
        <v>526576272.48999995</v>
      </c>
      <c r="M71" s="11">
        <v>529455778.75999999</v>
      </c>
      <c r="N71" s="11">
        <v>533842839.98000002</v>
      </c>
      <c r="O71" s="11">
        <v>535395938.78000003</v>
      </c>
      <c r="P71" s="11">
        <v>538957313.1099999</v>
      </c>
      <c r="Q71" s="11">
        <v>541257191.05999994</v>
      </c>
      <c r="R71" s="226"/>
      <c r="T71" s="11"/>
    </row>
    <row r="72" spans="1:36">
      <c r="C72" s="119" t="s">
        <v>217</v>
      </c>
      <c r="E72" s="11">
        <f>140907885.18+4</f>
        <v>140907889.18000001</v>
      </c>
      <c r="F72" s="11">
        <v>140084999.94</v>
      </c>
      <c r="G72" s="11">
        <v>139984976.81</v>
      </c>
      <c r="H72" s="11">
        <v>140225408.47</v>
      </c>
      <c r="I72" s="11">
        <v>140373300.55000001</v>
      </c>
      <c r="J72" s="11">
        <v>140381205.41000003</v>
      </c>
      <c r="K72" s="11">
        <v>140039354.88000008</v>
      </c>
      <c r="L72" s="11">
        <v>141783136.81000003</v>
      </c>
      <c r="M72" s="11">
        <v>142340680.81000006</v>
      </c>
      <c r="N72" s="11">
        <v>142063584.66000006</v>
      </c>
      <c r="O72" s="11">
        <v>142257486.45000005</v>
      </c>
      <c r="P72" s="11">
        <v>142539935.72</v>
      </c>
      <c r="Q72" s="11">
        <v>144494748.13</v>
      </c>
      <c r="R72" s="226"/>
      <c r="T72" s="11"/>
    </row>
    <row r="73" spans="1:36">
      <c r="C73" s="119" t="s">
        <v>137</v>
      </c>
      <c r="E73" s="11">
        <v>28110437</v>
      </c>
      <c r="F73" s="11">
        <v>28524496</v>
      </c>
      <c r="G73" s="11">
        <v>28544918</v>
      </c>
      <c r="H73" s="11">
        <v>28954340</v>
      </c>
      <c r="I73" s="11">
        <v>29138134</v>
      </c>
      <c r="J73" s="11">
        <v>28953252</v>
      </c>
      <c r="K73" s="11">
        <v>28969463</v>
      </c>
      <c r="L73" s="11">
        <v>29151818</v>
      </c>
      <c r="M73" s="11">
        <v>29948943</v>
      </c>
      <c r="N73" s="11">
        <v>29887279</v>
      </c>
      <c r="O73" s="11">
        <v>30301039</v>
      </c>
      <c r="P73" s="11">
        <v>30439235</v>
      </c>
      <c r="Q73" s="11">
        <v>34146719</v>
      </c>
      <c r="R73" s="226"/>
      <c r="T73" s="11"/>
    </row>
    <row r="74" spans="1:36">
      <c r="C74" s="119" t="s">
        <v>102</v>
      </c>
      <c r="E74" s="11">
        <f>6870993.13+2</f>
        <v>6870995.1299999999</v>
      </c>
      <c r="F74" s="11">
        <v>6892103.1900000013</v>
      </c>
      <c r="G74" s="11">
        <v>7157235.6700000018</v>
      </c>
      <c r="H74" s="11">
        <v>7150446.5800000019</v>
      </c>
      <c r="I74" s="11">
        <v>7183675.910000002</v>
      </c>
      <c r="J74" s="11">
        <v>7149369.2400000021</v>
      </c>
      <c r="K74" s="11">
        <v>7152553.8300000019</v>
      </c>
      <c r="L74" s="11">
        <v>7152935.2600000016</v>
      </c>
      <c r="M74" s="11">
        <v>7191787.2100000009</v>
      </c>
      <c r="N74" s="11">
        <v>7191787.2100000009</v>
      </c>
      <c r="O74" s="11">
        <v>7225506.9800000014</v>
      </c>
      <c r="P74" s="11">
        <v>6654459.7800000012</v>
      </c>
      <c r="Q74" s="11">
        <v>6849723.9299999997</v>
      </c>
      <c r="R74" s="226"/>
      <c r="T74" s="11"/>
    </row>
    <row r="75" spans="1:36">
      <c r="C75" s="119" t="s">
        <v>219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226"/>
    </row>
    <row r="76" spans="1:36">
      <c r="C76" s="140" t="s">
        <v>5</v>
      </c>
      <c r="E76" s="20">
        <f>SUM(E69:E75)</f>
        <v>1682421468.3100002</v>
      </c>
      <c r="F76" s="20">
        <f>SUM(F69:F75)</f>
        <v>1687076918.5700002</v>
      </c>
      <c r="G76" s="20">
        <f t="shared" ref="G76:Q76" si="24">SUM(G69:G75)</f>
        <v>1705445638.01</v>
      </c>
      <c r="H76" s="20">
        <f t="shared" si="24"/>
        <v>1708029715.1000001</v>
      </c>
      <c r="I76" s="20">
        <f t="shared" si="24"/>
        <v>1709376130.29</v>
      </c>
      <c r="J76" s="20">
        <f t="shared" si="24"/>
        <v>1713799650.01</v>
      </c>
      <c r="K76" s="20">
        <f t="shared" si="24"/>
        <v>1721474405.7600002</v>
      </c>
      <c r="L76" s="20">
        <f t="shared" si="24"/>
        <v>1726109561.27</v>
      </c>
      <c r="M76" s="20">
        <f t="shared" si="24"/>
        <v>1731402312.3500004</v>
      </c>
      <c r="N76" s="20">
        <f t="shared" si="24"/>
        <v>1731284085.9600003</v>
      </c>
      <c r="O76" s="20">
        <f t="shared" si="24"/>
        <v>1734129507.2700002</v>
      </c>
      <c r="P76" s="20">
        <f t="shared" si="24"/>
        <v>1737839087.5500002</v>
      </c>
      <c r="Q76" s="20">
        <f t="shared" si="24"/>
        <v>1747468198.4600003</v>
      </c>
      <c r="R76" s="226"/>
    </row>
    <row r="77" spans="1:36">
      <c r="R77" s="226"/>
    </row>
    <row r="78" spans="1:36">
      <c r="C78" s="119" t="s">
        <v>42</v>
      </c>
      <c r="D78" t="s">
        <v>468</v>
      </c>
      <c r="R78" s="226"/>
    </row>
    <row r="79" spans="1:36">
      <c r="C79" s="119" t="s">
        <v>213</v>
      </c>
      <c r="D79" t="s">
        <v>469</v>
      </c>
      <c r="E79" s="11">
        <v>240596685.99000001</v>
      </c>
      <c r="F79" s="11">
        <v>242159207</v>
      </c>
      <c r="G79" s="11">
        <v>243809844.05000001</v>
      </c>
      <c r="H79" s="11">
        <v>245346245.45999998</v>
      </c>
      <c r="I79" s="11">
        <v>245047075.03999996</v>
      </c>
      <c r="J79" s="11">
        <v>246696063.96999997</v>
      </c>
      <c r="K79" s="11">
        <v>245127673.38</v>
      </c>
      <c r="L79" s="11">
        <v>246467156.61000001</v>
      </c>
      <c r="M79" s="11">
        <v>248151989.81999996</v>
      </c>
      <c r="N79" s="11">
        <v>249883651.32999998</v>
      </c>
      <c r="O79" s="11">
        <v>248477117.65999997</v>
      </c>
      <c r="P79" s="11">
        <v>249988860.48000002</v>
      </c>
      <c r="Q79" s="11">
        <v>251562052.89999998</v>
      </c>
      <c r="R79" s="226"/>
      <c r="S79" s="11"/>
      <c r="T79" s="11"/>
    </row>
    <row r="80" spans="1:36">
      <c r="C80" s="119" t="s">
        <v>215</v>
      </c>
      <c r="D80" t="s">
        <v>467</v>
      </c>
      <c r="E80" s="11">
        <v>47044309.232300587</v>
      </c>
      <c r="F80" s="11">
        <v>47464569.962666921</v>
      </c>
      <c r="G80" s="11">
        <v>47987805.733370923</v>
      </c>
      <c r="H80" s="11">
        <v>47647122.165058844</v>
      </c>
      <c r="I80" s="11">
        <v>48171455.446039669</v>
      </c>
      <c r="J80" s="11">
        <v>48661445.486890092</v>
      </c>
      <c r="K80" s="11">
        <v>49204097.763088256</v>
      </c>
      <c r="L80" s="11">
        <v>49760003.975097507</v>
      </c>
      <c r="M80" s="11">
        <v>50316949.211643562</v>
      </c>
      <c r="N80" s="11">
        <v>43412248.546930388</v>
      </c>
      <c r="O80" s="11">
        <v>43930792.995380461</v>
      </c>
      <c r="P80" s="11">
        <v>44463849.113332465</v>
      </c>
      <c r="Q80" s="11">
        <v>45010704.450779423</v>
      </c>
      <c r="R80" s="226"/>
      <c r="T80" s="11"/>
    </row>
    <row r="81" spans="2:31">
      <c r="C81" s="119" t="s">
        <v>216</v>
      </c>
      <c r="E81" s="11">
        <v>168012678.67000002</v>
      </c>
      <c r="F81" s="11">
        <v>168862769.47</v>
      </c>
      <c r="G81" s="11">
        <v>169721060.89000002</v>
      </c>
      <c r="H81" s="11">
        <v>170196689.16</v>
      </c>
      <c r="I81" s="11">
        <v>170042244.94</v>
      </c>
      <c r="J81" s="11">
        <v>169671849.51999998</v>
      </c>
      <c r="K81" s="11">
        <v>169282161.19</v>
      </c>
      <c r="L81" s="11">
        <v>170282940.47</v>
      </c>
      <c r="M81" s="11">
        <v>171298553.81</v>
      </c>
      <c r="N81" s="11">
        <v>172413076.00999999</v>
      </c>
      <c r="O81" s="11">
        <v>173027282.65000001</v>
      </c>
      <c r="P81" s="11">
        <v>173796242.03999999</v>
      </c>
      <c r="Q81" s="11">
        <v>174431143.56</v>
      </c>
      <c r="R81" s="226"/>
      <c r="T81" s="11"/>
    </row>
    <row r="82" spans="2:31">
      <c r="C82" s="119" t="s">
        <v>217</v>
      </c>
      <c r="D82" t="s">
        <v>470</v>
      </c>
      <c r="E82" s="11">
        <v>50676240.909787998</v>
      </c>
      <c r="F82" s="11">
        <v>51181882.12673679</v>
      </c>
      <c r="G82" s="11">
        <v>51542825.459811211</v>
      </c>
      <c r="H82" s="11">
        <v>52213508.837208405</v>
      </c>
      <c r="I82" s="11">
        <v>52833891.841481373</v>
      </c>
      <c r="J82" s="11">
        <v>53433254.990093909</v>
      </c>
      <c r="K82" s="11">
        <v>53500693.502273582</v>
      </c>
      <c r="L82" s="11">
        <v>54205742.091492161</v>
      </c>
      <c r="M82" s="11">
        <v>54771881.907123625</v>
      </c>
      <c r="N82" s="11">
        <v>55091034.115620747</v>
      </c>
      <c r="O82" s="11">
        <v>55796585.456186622</v>
      </c>
      <c r="P82" s="11">
        <v>56347731.762121245</v>
      </c>
      <c r="Q82" s="11">
        <v>56460021.11021474</v>
      </c>
      <c r="R82" s="226"/>
      <c r="T82" s="11"/>
    </row>
    <row r="83" spans="2:31">
      <c r="C83" s="119" t="str">
        <f>+C73</f>
        <v xml:space="preserve">  Allocated Plant</v>
      </c>
      <c r="D83" t="s">
        <v>471</v>
      </c>
      <c r="E83" s="11">
        <v>7469924</v>
      </c>
      <c r="F83" s="11">
        <v>8017580</v>
      </c>
      <c r="G83" s="11">
        <v>8369840</v>
      </c>
      <c r="H83" s="11">
        <v>8738205</v>
      </c>
      <c r="I83" s="11">
        <v>8961106</v>
      </c>
      <c r="J83" s="11">
        <v>9064576</v>
      </c>
      <c r="K83" s="11">
        <v>9404035</v>
      </c>
      <c r="L83" s="11">
        <v>9740531</v>
      </c>
      <c r="M83" s="11">
        <v>10065334</v>
      </c>
      <c r="N83" s="11">
        <v>10267904</v>
      </c>
      <c r="O83" s="11">
        <v>10630705</v>
      </c>
      <c r="P83" s="11">
        <v>10963498</v>
      </c>
      <c r="Q83" s="11">
        <v>11315875</v>
      </c>
      <c r="R83" s="226"/>
      <c r="T83" s="11"/>
    </row>
    <row r="84" spans="2:31">
      <c r="C84" s="119" t="s">
        <v>102</v>
      </c>
      <c r="E84" s="11">
        <v>2341261.4235851602</v>
      </c>
      <c r="F84" s="11">
        <v>2366436.4206038266</v>
      </c>
      <c r="G84" s="11">
        <v>2392135.0029352438</v>
      </c>
      <c r="H84" s="11">
        <v>2412086.2683842019</v>
      </c>
      <c r="I84" s="11">
        <v>2438305.7674388266</v>
      </c>
      <c r="J84" s="11">
        <v>2464523.2958590351</v>
      </c>
      <c r="K84" s="11">
        <v>2489161.3068079101</v>
      </c>
      <c r="L84" s="11">
        <v>2515328.4306017021</v>
      </c>
      <c r="M84" s="11">
        <v>2541567.3187864101</v>
      </c>
      <c r="N84" s="11">
        <v>2567877.2736629937</v>
      </c>
      <c r="O84" s="11">
        <v>2594248.9076188682</v>
      </c>
      <c r="P84" s="11">
        <v>2046550.9901507017</v>
      </c>
      <c r="Q84" s="11">
        <v>2071252.3928535767</v>
      </c>
      <c r="R84" s="226"/>
      <c r="T84" s="11"/>
    </row>
    <row r="85" spans="2:31">
      <c r="C85" s="119" t="str">
        <f>+C75</f>
        <v xml:space="preserve">  Common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226"/>
    </row>
    <row r="86" spans="2:31">
      <c r="C86" s="119" t="s">
        <v>7</v>
      </c>
      <c r="E86" s="11">
        <v>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v>0</v>
      </c>
      <c r="R86" s="226"/>
    </row>
    <row r="87" spans="2:31">
      <c r="E87" s="20">
        <f>SUM(E79:E86)</f>
        <v>516141100.22567379</v>
      </c>
      <c r="F87" s="20">
        <f t="shared" ref="F87:Q87" si="25">SUM(F79:F86)</f>
        <v>520052444.98000747</v>
      </c>
      <c r="G87" s="20">
        <f t="shared" si="25"/>
        <v>523823511.1361174</v>
      </c>
      <c r="H87" s="20">
        <f t="shared" si="25"/>
        <v>526553856.89065146</v>
      </c>
      <c r="I87" s="20">
        <f t="shared" si="25"/>
        <v>527494079.03495985</v>
      </c>
      <c r="J87" s="20">
        <f t="shared" si="25"/>
        <v>529991713.26284295</v>
      </c>
      <c r="K87" s="20">
        <f t="shared" si="25"/>
        <v>529007822.14216971</v>
      </c>
      <c r="L87" s="20">
        <f t="shared" si="25"/>
        <v>532971702.57719147</v>
      </c>
      <c r="M87" s="20">
        <f t="shared" si="25"/>
        <v>537146276.06755352</v>
      </c>
      <c r="N87" s="20">
        <f t="shared" si="25"/>
        <v>533635791.27621406</v>
      </c>
      <c r="O87" s="20">
        <f t="shared" si="25"/>
        <v>534456732.669186</v>
      </c>
      <c r="P87" s="20">
        <f t="shared" si="25"/>
        <v>537606732.3856045</v>
      </c>
      <c r="Q87" s="20">
        <f t="shared" si="25"/>
        <v>540851049.4138478</v>
      </c>
      <c r="R87" s="226"/>
    </row>
    <row r="88" spans="2:31">
      <c r="B88" s="231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3"/>
    </row>
    <row r="89" spans="2:31">
      <c r="B89" s="234"/>
      <c r="C89" s="119" t="s">
        <v>41</v>
      </c>
      <c r="D89" t="s">
        <v>463</v>
      </c>
      <c r="R89" s="235"/>
    </row>
    <row r="90" spans="2:31">
      <c r="B90" s="234"/>
      <c r="C90" s="119" t="s">
        <v>213</v>
      </c>
      <c r="R90" s="235"/>
    </row>
    <row r="91" spans="2:31">
      <c r="B91" s="234"/>
      <c r="C91" s="119" t="s">
        <v>215</v>
      </c>
      <c r="R91" s="235"/>
    </row>
    <row r="92" spans="2:31">
      <c r="B92" s="234"/>
      <c r="C92" s="119" t="s">
        <v>216</v>
      </c>
      <c r="R92" s="235"/>
      <c r="S92" s="94"/>
    </row>
    <row r="93" spans="2:31">
      <c r="B93" s="234"/>
      <c r="C93" s="119" t="s">
        <v>217</v>
      </c>
      <c r="E93" s="236">
        <v>74534622.500000015</v>
      </c>
      <c r="F93" s="236">
        <v>73654066.510000005</v>
      </c>
      <c r="G93" s="236">
        <v>73674258.580000013</v>
      </c>
      <c r="H93" s="236">
        <v>73674036.330000013</v>
      </c>
      <c r="I93" s="236">
        <v>73674036.330000013</v>
      </c>
      <c r="J93" s="236">
        <v>73674036.330000013</v>
      </c>
      <c r="K93" s="236">
        <v>73637717.560000017</v>
      </c>
      <c r="L93" s="236">
        <v>74187552.100000024</v>
      </c>
      <c r="M93" s="236">
        <v>74231682.310000017</v>
      </c>
      <c r="N93" s="236">
        <v>73855345.620000005</v>
      </c>
      <c r="O93" s="236">
        <v>74025737.329999998</v>
      </c>
      <c r="P93" s="236">
        <v>74217762.319999993</v>
      </c>
      <c r="Q93" s="236">
        <v>74209169</v>
      </c>
      <c r="R93" s="235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</row>
    <row r="94" spans="2:31">
      <c r="B94" s="234"/>
      <c r="C94" s="119" t="s">
        <v>137</v>
      </c>
      <c r="R94" s="235"/>
      <c r="S94" s="94"/>
    </row>
    <row r="95" spans="2:31">
      <c r="B95" s="234"/>
      <c r="C95" s="119" t="s">
        <v>102</v>
      </c>
      <c r="R95" s="235"/>
      <c r="S95" s="94"/>
    </row>
    <row r="96" spans="2:31">
      <c r="B96" s="234"/>
      <c r="C96" s="119" t="s">
        <v>219</v>
      </c>
      <c r="R96" s="235"/>
      <c r="S96" s="94"/>
    </row>
    <row r="97" spans="2:31">
      <c r="B97" s="234"/>
      <c r="C97" s="140" t="s">
        <v>5</v>
      </c>
      <c r="E97" s="90">
        <f>SUM(E90:E96)</f>
        <v>74534622.500000015</v>
      </c>
      <c r="F97" s="90">
        <f t="shared" ref="F97:Q97" si="26">SUM(F90:F96)</f>
        <v>73654066.510000005</v>
      </c>
      <c r="G97" s="90">
        <f t="shared" si="26"/>
        <v>73674258.580000013</v>
      </c>
      <c r="H97" s="90">
        <f t="shared" si="26"/>
        <v>73674036.330000013</v>
      </c>
      <c r="I97" s="90">
        <f t="shared" si="26"/>
        <v>73674036.330000013</v>
      </c>
      <c r="J97" s="90">
        <f t="shared" si="26"/>
        <v>73674036.330000013</v>
      </c>
      <c r="K97" s="90">
        <f t="shared" si="26"/>
        <v>73637717.560000017</v>
      </c>
      <c r="L97" s="90">
        <f t="shared" si="26"/>
        <v>74187552.100000024</v>
      </c>
      <c r="M97" s="90">
        <f t="shared" si="26"/>
        <v>74231682.310000017</v>
      </c>
      <c r="N97" s="90">
        <f t="shared" si="26"/>
        <v>73855345.620000005</v>
      </c>
      <c r="O97" s="90">
        <f t="shared" si="26"/>
        <v>74025737.329999998</v>
      </c>
      <c r="P97" s="90">
        <f t="shared" si="26"/>
        <v>74217762.319999993</v>
      </c>
      <c r="Q97" s="90">
        <f t="shared" si="26"/>
        <v>74209169</v>
      </c>
      <c r="R97" s="235"/>
      <c r="S97" s="94"/>
    </row>
    <row r="98" spans="2:31">
      <c r="B98" s="234"/>
      <c r="R98" s="235"/>
      <c r="S98" s="94"/>
    </row>
    <row r="99" spans="2:31">
      <c r="B99" s="234"/>
      <c r="C99" s="119" t="s">
        <v>42</v>
      </c>
      <c r="D99" t="s">
        <v>463</v>
      </c>
      <c r="R99" s="235"/>
      <c r="S99" s="94"/>
    </row>
    <row r="100" spans="2:31">
      <c r="B100" s="234"/>
      <c r="C100" s="119" t="s">
        <v>213</v>
      </c>
      <c r="R100" s="235"/>
      <c r="S100" s="94"/>
    </row>
    <row r="101" spans="2:31">
      <c r="B101" s="234"/>
      <c r="C101" s="119" t="s">
        <v>215</v>
      </c>
      <c r="R101" s="235"/>
      <c r="S101" s="94"/>
      <c r="T101" s="94"/>
    </row>
    <row r="102" spans="2:31">
      <c r="B102" s="234"/>
      <c r="C102" s="119" t="s">
        <v>216</v>
      </c>
      <c r="R102" s="235"/>
      <c r="S102" s="94"/>
      <c r="T102" s="94"/>
    </row>
    <row r="103" spans="2:31">
      <c r="B103" s="234"/>
      <c r="C103" s="119" t="s">
        <v>217</v>
      </c>
      <c r="E103" s="236">
        <v>11662989.091221647</v>
      </c>
      <c r="F103" s="236">
        <v>11862554.619369395</v>
      </c>
      <c r="G103" s="236">
        <v>12060917.144972391</v>
      </c>
      <c r="H103" s="236">
        <v>12260959.454007262</v>
      </c>
      <c r="I103" s="236">
        <v>12461533.687640464</v>
      </c>
      <c r="J103" s="236">
        <v>12662268.322675204</v>
      </c>
      <c r="K103" s="236">
        <v>12818033.812079856</v>
      </c>
      <c r="L103" s="236">
        <v>13019115.580792718</v>
      </c>
      <c r="M103" s="236">
        <v>13220994.125444723</v>
      </c>
      <c r="N103" s="236">
        <v>13042568.604003778</v>
      </c>
      <c r="O103" s="236">
        <v>13250322.919034805</v>
      </c>
      <c r="P103" s="236">
        <v>13456000.428713731</v>
      </c>
      <c r="Q103" s="236">
        <v>13348012.491980998</v>
      </c>
      <c r="R103" s="235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</row>
    <row r="104" spans="2:31">
      <c r="B104" s="234"/>
      <c r="C104" s="119" t="s">
        <v>137</v>
      </c>
      <c r="R104" s="235"/>
      <c r="T104" s="94"/>
    </row>
    <row r="105" spans="2:31">
      <c r="B105" s="234"/>
      <c r="C105" s="119" t="s">
        <v>102</v>
      </c>
      <c r="R105" s="235"/>
      <c r="T105" s="94"/>
    </row>
    <row r="106" spans="2:31">
      <c r="B106" s="234"/>
      <c r="C106" s="119" t="str">
        <f>+C96</f>
        <v xml:space="preserve">  Common</v>
      </c>
      <c r="R106" s="235"/>
      <c r="T106" s="94"/>
    </row>
    <row r="107" spans="2:31">
      <c r="B107" s="234"/>
      <c r="C107" s="119" t="s">
        <v>7</v>
      </c>
      <c r="E107" s="90">
        <f>SUM(E100:E106)</f>
        <v>11662989.091221647</v>
      </c>
      <c r="F107" s="90">
        <f t="shared" ref="F107:Q107" si="27">SUM(F100:F106)</f>
        <v>11862554.619369395</v>
      </c>
      <c r="G107" s="90">
        <f t="shared" si="27"/>
        <v>12060917.144972391</v>
      </c>
      <c r="H107" s="90">
        <f t="shared" si="27"/>
        <v>12260959.454007262</v>
      </c>
      <c r="I107" s="90">
        <f t="shared" si="27"/>
        <v>12461533.687640464</v>
      </c>
      <c r="J107" s="90">
        <f t="shared" si="27"/>
        <v>12662268.322675204</v>
      </c>
      <c r="K107" s="90">
        <f t="shared" si="27"/>
        <v>12818033.812079856</v>
      </c>
      <c r="L107" s="90">
        <f t="shared" si="27"/>
        <v>13019115.580792718</v>
      </c>
      <c r="M107" s="90">
        <f t="shared" si="27"/>
        <v>13220994.125444723</v>
      </c>
      <c r="N107" s="90">
        <f t="shared" si="27"/>
        <v>13042568.604003778</v>
      </c>
      <c r="O107" s="90">
        <f t="shared" si="27"/>
        <v>13250322.919034805</v>
      </c>
      <c r="P107" s="90">
        <f t="shared" si="27"/>
        <v>13456000.428713731</v>
      </c>
      <c r="Q107" s="90">
        <f t="shared" si="27"/>
        <v>13348012.491980998</v>
      </c>
      <c r="R107" s="235"/>
      <c r="T107" s="94"/>
    </row>
    <row r="108" spans="2:31">
      <c r="B108" s="237"/>
      <c r="C108" s="180"/>
      <c r="D108" s="238" t="s">
        <v>448</v>
      </c>
      <c r="E108" s="239">
        <v>532023</v>
      </c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Q108" s="239">
        <v>497774</v>
      </c>
      <c r="R108" s="240"/>
      <c r="T108" s="94"/>
    </row>
    <row r="109" spans="2:31">
      <c r="B109" s="231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3"/>
      <c r="T109" s="94"/>
    </row>
    <row r="110" spans="2:31">
      <c r="B110" s="234"/>
      <c r="C110" s="119" t="s">
        <v>41</v>
      </c>
      <c r="D110" t="s">
        <v>449</v>
      </c>
      <c r="R110" s="235"/>
      <c r="T110" s="94"/>
    </row>
    <row r="111" spans="2:31">
      <c r="B111" s="234"/>
      <c r="C111" s="119" t="s">
        <v>213</v>
      </c>
      <c r="R111" s="235"/>
      <c r="T111" s="94"/>
    </row>
    <row r="112" spans="2:31">
      <c r="B112" s="234"/>
      <c r="C112" s="119" t="s">
        <v>215</v>
      </c>
      <c r="R112" s="235"/>
      <c r="T112" s="94"/>
    </row>
    <row r="113" spans="2:18">
      <c r="B113" s="234"/>
      <c r="C113" s="119" t="s">
        <v>216</v>
      </c>
      <c r="R113" s="235"/>
    </row>
    <row r="114" spans="2:18">
      <c r="B114" s="234"/>
      <c r="C114" s="119" t="s">
        <v>217</v>
      </c>
      <c r="R114" s="235"/>
    </row>
    <row r="115" spans="2:18">
      <c r="B115" s="234"/>
      <c r="C115" s="119" t="s">
        <v>137</v>
      </c>
      <c r="R115" s="235"/>
    </row>
    <row r="116" spans="2:18">
      <c r="B116" s="234"/>
      <c r="C116" s="119" t="s">
        <v>102</v>
      </c>
      <c r="R116" s="235"/>
    </row>
    <row r="117" spans="2:18">
      <c r="B117" s="234"/>
      <c r="C117" s="119" t="s">
        <v>219</v>
      </c>
      <c r="R117" s="235"/>
    </row>
    <row r="118" spans="2:18">
      <c r="B118" s="234"/>
      <c r="C118" s="140" t="s">
        <v>5</v>
      </c>
      <c r="E118" s="90">
        <f>SUM(E111:E117)</f>
        <v>0</v>
      </c>
      <c r="F118" s="90">
        <f t="shared" ref="F118:Q118" si="28">SUM(F111:F117)</f>
        <v>0</v>
      </c>
      <c r="G118" s="90">
        <f t="shared" si="28"/>
        <v>0</v>
      </c>
      <c r="H118" s="90">
        <f t="shared" si="28"/>
        <v>0</v>
      </c>
      <c r="I118" s="90">
        <f t="shared" si="28"/>
        <v>0</v>
      </c>
      <c r="J118" s="90">
        <f t="shared" si="28"/>
        <v>0</v>
      </c>
      <c r="K118" s="90">
        <f t="shared" si="28"/>
        <v>0</v>
      </c>
      <c r="L118" s="90">
        <f t="shared" si="28"/>
        <v>0</v>
      </c>
      <c r="M118" s="90">
        <f t="shared" si="28"/>
        <v>0</v>
      </c>
      <c r="N118" s="90">
        <f t="shared" si="28"/>
        <v>0</v>
      </c>
      <c r="O118" s="90">
        <f t="shared" si="28"/>
        <v>0</v>
      </c>
      <c r="P118" s="90">
        <f t="shared" si="28"/>
        <v>0</v>
      </c>
      <c r="Q118" s="90">
        <f t="shared" si="28"/>
        <v>0</v>
      </c>
      <c r="R118" s="235"/>
    </row>
    <row r="119" spans="2:18">
      <c r="B119" s="234"/>
      <c r="R119" s="235"/>
    </row>
    <row r="120" spans="2:18">
      <c r="B120" s="234"/>
      <c r="C120" s="119" t="s">
        <v>42</v>
      </c>
      <c r="D120" t="s">
        <v>449</v>
      </c>
      <c r="R120" s="235"/>
    </row>
    <row r="121" spans="2:18">
      <c r="B121" s="234"/>
      <c r="C121" s="119" t="s">
        <v>213</v>
      </c>
      <c r="R121" s="235"/>
    </row>
    <row r="122" spans="2:18">
      <c r="B122" s="234"/>
      <c r="C122" s="119" t="s">
        <v>215</v>
      </c>
      <c r="R122" s="235"/>
    </row>
    <row r="123" spans="2:18">
      <c r="B123" s="234"/>
      <c r="C123" s="119" t="s">
        <v>216</v>
      </c>
      <c r="R123" s="235"/>
    </row>
    <row r="124" spans="2:18">
      <c r="B124" s="234"/>
      <c r="C124" s="119" t="s">
        <v>217</v>
      </c>
      <c r="R124" s="235"/>
    </row>
    <row r="125" spans="2:18">
      <c r="B125" s="234"/>
      <c r="C125" s="119" t="s">
        <v>137</v>
      </c>
      <c r="R125" s="235"/>
    </row>
    <row r="126" spans="2:18">
      <c r="B126" s="234"/>
      <c r="C126" s="119" t="s">
        <v>102</v>
      </c>
      <c r="R126" s="235"/>
    </row>
    <row r="127" spans="2:18">
      <c r="B127" s="234"/>
      <c r="C127" s="119" t="s">
        <v>219</v>
      </c>
      <c r="R127" s="235"/>
    </row>
    <row r="128" spans="2:18">
      <c r="B128" s="234"/>
      <c r="C128" s="119" t="s">
        <v>7</v>
      </c>
      <c r="E128" s="90">
        <f>SUM(E121:E127)</f>
        <v>0</v>
      </c>
      <c r="F128" s="90">
        <f t="shared" ref="F128:Q128" si="29">SUM(F121:F127)</f>
        <v>0</v>
      </c>
      <c r="G128" s="90">
        <f t="shared" si="29"/>
        <v>0</v>
      </c>
      <c r="H128" s="90">
        <f t="shared" si="29"/>
        <v>0</v>
      </c>
      <c r="I128" s="90">
        <f t="shared" si="29"/>
        <v>0</v>
      </c>
      <c r="J128" s="90">
        <f t="shared" si="29"/>
        <v>0</v>
      </c>
      <c r="K128" s="90">
        <f t="shared" si="29"/>
        <v>0</v>
      </c>
      <c r="L128" s="90">
        <f t="shared" si="29"/>
        <v>0</v>
      </c>
      <c r="M128" s="90">
        <f t="shared" si="29"/>
        <v>0</v>
      </c>
      <c r="N128" s="90">
        <f t="shared" si="29"/>
        <v>0</v>
      </c>
      <c r="O128" s="90">
        <f t="shared" si="29"/>
        <v>0</v>
      </c>
      <c r="P128" s="90">
        <f t="shared" si="29"/>
        <v>0</v>
      </c>
      <c r="Q128" s="90">
        <f t="shared" si="29"/>
        <v>0</v>
      </c>
      <c r="R128" s="235"/>
    </row>
    <row r="129" spans="2:18">
      <c r="B129" s="234"/>
      <c r="R129" s="235"/>
    </row>
    <row r="130" spans="2:18">
      <c r="B130" s="234"/>
      <c r="C130" s="119" t="s">
        <v>450</v>
      </c>
      <c r="E130">
        <v>3125778.34</v>
      </c>
      <c r="F130" s="95">
        <v>2848280</v>
      </c>
      <c r="G130" s="95">
        <v>2753618</v>
      </c>
      <c r="H130" s="95">
        <v>2903014</v>
      </c>
      <c r="I130" s="95">
        <v>2695770</v>
      </c>
      <c r="J130" s="95">
        <v>2714609</v>
      </c>
      <c r="K130" s="95">
        <v>2776253</v>
      </c>
      <c r="L130" s="95">
        <v>2908787</v>
      </c>
      <c r="M130" s="95">
        <v>3066436</v>
      </c>
      <c r="N130" s="95">
        <v>2994526</v>
      </c>
      <c r="O130" s="95">
        <v>2896117</v>
      </c>
      <c r="P130" s="95">
        <v>2650200</v>
      </c>
      <c r="Q130">
        <v>2435372</v>
      </c>
      <c r="R130" s="235"/>
    </row>
    <row r="131" spans="2:18">
      <c r="B131" s="237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40"/>
    </row>
    <row r="132" spans="2:18">
      <c r="B132" s="231"/>
      <c r="C132" s="170" t="s">
        <v>41</v>
      </c>
      <c r="D132" s="232" t="s">
        <v>451</v>
      </c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3"/>
    </row>
    <row r="133" spans="2:18">
      <c r="B133" s="234"/>
      <c r="C133" s="119" t="s">
        <v>213</v>
      </c>
      <c r="R133" s="235"/>
    </row>
    <row r="134" spans="2:18">
      <c r="B134" s="234"/>
      <c r="C134" s="119" t="s">
        <v>215</v>
      </c>
      <c r="R134" s="235"/>
    </row>
    <row r="135" spans="2:18">
      <c r="B135" s="234"/>
      <c r="C135" s="119" t="s">
        <v>216</v>
      </c>
      <c r="R135" s="235"/>
    </row>
    <row r="136" spans="2:18">
      <c r="B136" s="234"/>
      <c r="C136" s="119" t="s">
        <v>217</v>
      </c>
      <c r="R136" s="235"/>
    </row>
    <row r="137" spans="2:18">
      <c r="B137" s="234"/>
      <c r="C137" s="119" t="s">
        <v>137</v>
      </c>
      <c r="E137" s="110"/>
      <c r="R137" s="235"/>
    </row>
    <row r="138" spans="2:18">
      <c r="B138" s="234"/>
      <c r="C138" s="119" t="s">
        <v>102</v>
      </c>
      <c r="R138" s="235"/>
    </row>
    <row r="139" spans="2:18">
      <c r="B139" s="234"/>
      <c r="C139" s="119" t="s">
        <v>219</v>
      </c>
      <c r="R139" s="235"/>
    </row>
    <row r="140" spans="2:18">
      <c r="B140" s="234"/>
      <c r="C140" s="140" t="s">
        <v>5</v>
      </c>
      <c r="E140" s="90">
        <f t="shared" ref="E140:Q140" si="30">SUM(E133:E139)</f>
        <v>0</v>
      </c>
      <c r="F140" s="90">
        <f t="shared" si="30"/>
        <v>0</v>
      </c>
      <c r="G140" s="90">
        <f t="shared" si="30"/>
        <v>0</v>
      </c>
      <c r="H140" s="90">
        <f t="shared" si="30"/>
        <v>0</v>
      </c>
      <c r="I140" s="90">
        <f t="shared" si="30"/>
        <v>0</v>
      </c>
      <c r="J140" s="90">
        <f t="shared" si="30"/>
        <v>0</v>
      </c>
      <c r="K140" s="90">
        <f t="shared" si="30"/>
        <v>0</v>
      </c>
      <c r="L140" s="90">
        <f t="shared" si="30"/>
        <v>0</v>
      </c>
      <c r="M140" s="90">
        <f t="shared" si="30"/>
        <v>0</v>
      </c>
      <c r="N140" s="90">
        <f t="shared" si="30"/>
        <v>0</v>
      </c>
      <c r="O140" s="90">
        <f t="shared" si="30"/>
        <v>0</v>
      </c>
      <c r="P140" s="90">
        <f t="shared" si="30"/>
        <v>0</v>
      </c>
      <c r="Q140" s="90">
        <f t="shared" si="30"/>
        <v>0</v>
      </c>
      <c r="R140" s="235"/>
    </row>
    <row r="141" spans="2:18">
      <c r="B141" s="234"/>
      <c r="R141" s="235"/>
    </row>
    <row r="142" spans="2:18">
      <c r="B142" s="234"/>
      <c r="C142" s="119" t="s">
        <v>42</v>
      </c>
      <c r="D142" t="s">
        <v>451</v>
      </c>
      <c r="R142" s="235"/>
    </row>
    <row r="143" spans="2:18">
      <c r="B143" s="234"/>
      <c r="C143" s="119" t="s">
        <v>213</v>
      </c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89"/>
    </row>
    <row r="144" spans="2:18">
      <c r="B144" s="234"/>
      <c r="C144" s="119" t="s">
        <v>215</v>
      </c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89"/>
    </row>
    <row r="145" spans="2:18">
      <c r="B145" s="234"/>
      <c r="C145" s="119" t="s">
        <v>216</v>
      </c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89"/>
    </row>
    <row r="146" spans="2:18">
      <c r="B146" s="234"/>
      <c r="C146" s="119" t="s">
        <v>217</v>
      </c>
      <c r="E146" s="241">
        <v>2435372</v>
      </c>
      <c r="F146" s="241">
        <v>2421574</v>
      </c>
      <c r="G146" s="241">
        <v>3805232</v>
      </c>
      <c r="H146" s="241">
        <v>3193766</v>
      </c>
      <c r="I146" s="241">
        <v>3179466</v>
      </c>
      <c r="J146" s="241">
        <v>3627159</v>
      </c>
      <c r="K146" s="241">
        <v>3549325</v>
      </c>
      <c r="L146" s="241">
        <v>3603713</v>
      </c>
      <c r="M146" s="241">
        <v>3872136</v>
      </c>
      <c r="N146" s="241">
        <v>1053288</v>
      </c>
      <c r="O146" s="241">
        <v>705091</v>
      </c>
      <c r="P146" s="241">
        <v>1101319</v>
      </c>
      <c r="Q146" s="241">
        <v>827198</v>
      </c>
      <c r="R146" s="89"/>
    </row>
    <row r="147" spans="2:18">
      <c r="B147" s="234"/>
      <c r="C147" s="119" t="s">
        <v>137</v>
      </c>
      <c r="E147" s="241">
        <v>0</v>
      </c>
      <c r="F147" s="241">
        <v>0</v>
      </c>
      <c r="G147" s="241">
        <v>0</v>
      </c>
      <c r="H147" s="241">
        <v>0</v>
      </c>
      <c r="I147" s="241">
        <v>0</v>
      </c>
      <c r="J147" s="241">
        <v>0</v>
      </c>
      <c r="K147" s="241">
        <v>0</v>
      </c>
      <c r="L147" s="241">
        <v>0</v>
      </c>
      <c r="M147" s="241">
        <v>0</v>
      </c>
      <c r="N147" s="241">
        <v>0</v>
      </c>
      <c r="O147" s="241">
        <v>0</v>
      </c>
      <c r="P147" s="241">
        <v>0</v>
      </c>
      <c r="Q147" s="241">
        <v>0</v>
      </c>
      <c r="R147" s="235"/>
    </row>
    <row r="148" spans="2:18">
      <c r="B148" s="234"/>
      <c r="C148" s="119" t="s">
        <v>102</v>
      </c>
      <c r="E148" s="241">
        <v>0</v>
      </c>
      <c r="F148" s="241">
        <v>0</v>
      </c>
      <c r="G148" s="241">
        <v>0</v>
      </c>
      <c r="H148" s="241">
        <v>0</v>
      </c>
      <c r="I148" s="241">
        <v>0</v>
      </c>
      <c r="J148" s="241">
        <v>0</v>
      </c>
      <c r="K148" s="241">
        <v>0</v>
      </c>
      <c r="L148" s="241">
        <v>0</v>
      </c>
      <c r="M148" s="241">
        <v>0</v>
      </c>
      <c r="N148" s="241">
        <v>0</v>
      </c>
      <c r="O148" s="241">
        <v>0</v>
      </c>
      <c r="P148" s="241">
        <v>0</v>
      </c>
      <c r="Q148" s="241">
        <v>0</v>
      </c>
      <c r="R148" s="235"/>
    </row>
    <row r="149" spans="2:18">
      <c r="B149" s="234"/>
      <c r="C149" s="119" t="s">
        <v>219</v>
      </c>
      <c r="E149" s="241">
        <f t="shared" ref="E149:Q149" si="31">E$130*E85/$E$87</f>
        <v>0</v>
      </c>
      <c r="F149" s="241">
        <f t="shared" si="31"/>
        <v>0</v>
      </c>
      <c r="G149" s="241">
        <f t="shared" si="31"/>
        <v>0</v>
      </c>
      <c r="H149" s="241">
        <f t="shared" si="31"/>
        <v>0</v>
      </c>
      <c r="I149" s="241">
        <f t="shared" si="31"/>
        <v>0</v>
      </c>
      <c r="J149" s="241">
        <f t="shared" si="31"/>
        <v>0</v>
      </c>
      <c r="K149" s="241">
        <f t="shared" si="31"/>
        <v>0</v>
      </c>
      <c r="L149" s="241">
        <f t="shared" si="31"/>
        <v>0</v>
      </c>
      <c r="M149" s="241">
        <f t="shared" si="31"/>
        <v>0</v>
      </c>
      <c r="N149" s="241">
        <f t="shared" si="31"/>
        <v>0</v>
      </c>
      <c r="O149" s="241">
        <f t="shared" si="31"/>
        <v>0</v>
      </c>
      <c r="P149" s="241">
        <f t="shared" si="31"/>
        <v>0</v>
      </c>
      <c r="Q149" s="241">
        <f t="shared" si="31"/>
        <v>0</v>
      </c>
      <c r="R149" s="235"/>
    </row>
    <row r="150" spans="2:18">
      <c r="B150" s="234"/>
      <c r="C150" s="119" t="s">
        <v>7</v>
      </c>
      <c r="E150" s="90">
        <f>SUM(E143:E149)</f>
        <v>2435372</v>
      </c>
      <c r="F150" s="90">
        <v>2848280</v>
      </c>
      <c r="G150" s="90">
        <v>2753618</v>
      </c>
      <c r="H150" s="90">
        <v>2903014</v>
      </c>
      <c r="I150" s="90">
        <v>2695770</v>
      </c>
      <c r="J150" s="90">
        <v>2714609</v>
      </c>
      <c r="K150" s="90">
        <v>2776253</v>
      </c>
      <c r="L150" s="90">
        <v>2908787</v>
      </c>
      <c r="M150" s="90">
        <v>3066436</v>
      </c>
      <c r="N150" s="90">
        <v>2994526</v>
      </c>
      <c r="O150" s="90">
        <v>2896117</v>
      </c>
      <c r="P150" s="90">
        <v>2650200</v>
      </c>
      <c r="Q150" s="90">
        <v>2435372</v>
      </c>
      <c r="R150" s="235"/>
    </row>
    <row r="151" spans="2:18">
      <c r="B151" s="237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40"/>
    </row>
    <row r="152" spans="2:18">
      <c r="B152" s="231"/>
      <c r="C152" s="170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3"/>
    </row>
    <row r="153" spans="2:18">
      <c r="B153" s="234"/>
      <c r="C153" s="119" t="s">
        <v>41</v>
      </c>
      <c r="D153" s="119" t="s">
        <v>452</v>
      </c>
      <c r="R153" s="235"/>
    </row>
    <row r="154" spans="2:18">
      <c r="B154" s="234"/>
      <c r="C154" s="119" t="s">
        <v>213</v>
      </c>
      <c r="E154" s="95">
        <v>-2621820.4100000006</v>
      </c>
      <c r="F154" s="95">
        <v>0</v>
      </c>
      <c r="G154" s="95">
        <v>0</v>
      </c>
      <c r="H154" s="95">
        <v>-3132774.94</v>
      </c>
      <c r="I154" s="95">
        <v>0</v>
      </c>
      <c r="J154" s="95">
        <v>0</v>
      </c>
      <c r="K154" s="95">
        <v>-740545.27</v>
      </c>
      <c r="L154" s="95">
        <v>0</v>
      </c>
      <c r="M154" s="95">
        <v>0</v>
      </c>
      <c r="N154" s="95">
        <v>-3438759.79</v>
      </c>
      <c r="O154" s="95">
        <v>-486296</v>
      </c>
      <c r="P154" s="95">
        <v>0</v>
      </c>
      <c r="Q154" s="95">
        <v>-1817919.31</v>
      </c>
      <c r="R154" s="235"/>
    </row>
    <row r="155" spans="2:18">
      <c r="B155" s="234"/>
      <c r="C155" s="119" t="s">
        <v>215</v>
      </c>
      <c r="E155" s="95">
        <v>-2044293.1099999999</v>
      </c>
      <c r="F155" s="95">
        <v>0</v>
      </c>
      <c r="G155" s="95">
        <v>0</v>
      </c>
      <c r="H155" s="95">
        <v>-4059732.0900000008</v>
      </c>
      <c r="I155" s="95">
        <v>0</v>
      </c>
      <c r="J155" s="95">
        <v>0</v>
      </c>
      <c r="K155" s="95">
        <v>-4495526.9799999986</v>
      </c>
      <c r="L155" s="95">
        <v>0</v>
      </c>
      <c r="M155" s="95">
        <v>0</v>
      </c>
      <c r="N155" s="95">
        <v>-158484.19</v>
      </c>
      <c r="O155" s="95">
        <v>0</v>
      </c>
      <c r="P155" s="95">
        <v>0</v>
      </c>
      <c r="Q155" s="95">
        <v>-175339.09245669108</v>
      </c>
      <c r="R155" s="235"/>
    </row>
    <row r="156" spans="2:18">
      <c r="B156" s="234"/>
      <c r="C156" s="119" t="s">
        <v>216</v>
      </c>
      <c r="E156" s="95">
        <v>-2512178.7899999996</v>
      </c>
      <c r="F156" s="95">
        <v>0</v>
      </c>
      <c r="G156" s="95">
        <v>0</v>
      </c>
      <c r="H156" s="95">
        <v>-2577210.98</v>
      </c>
      <c r="I156" s="95">
        <v>0</v>
      </c>
      <c r="J156" s="95">
        <v>0</v>
      </c>
      <c r="K156" s="95">
        <v>-1956500.8039874658</v>
      </c>
      <c r="L156" s="95">
        <v>0</v>
      </c>
      <c r="M156" s="95">
        <v>0</v>
      </c>
      <c r="N156" s="95">
        <v>-2594045.2782961093</v>
      </c>
      <c r="O156" s="95">
        <v>0</v>
      </c>
      <c r="P156" s="95">
        <v>0</v>
      </c>
      <c r="Q156" s="95">
        <v>-1715244.6934903448</v>
      </c>
      <c r="R156" s="235"/>
    </row>
    <row r="157" spans="2:18">
      <c r="B157" s="234"/>
      <c r="C157" s="119" t="s">
        <v>217</v>
      </c>
      <c r="E157" s="95">
        <v>-145413.87</v>
      </c>
      <c r="F157" s="95">
        <v>0</v>
      </c>
      <c r="G157" s="95">
        <v>0</v>
      </c>
      <c r="H157" s="95">
        <v>-145413.87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-30580.86</v>
      </c>
      <c r="R157" s="235"/>
    </row>
    <row r="158" spans="2:18">
      <c r="B158" s="234"/>
      <c r="C158" s="119" t="s">
        <v>137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235"/>
    </row>
    <row r="159" spans="2:18">
      <c r="B159" s="234"/>
      <c r="C159" s="119" t="s">
        <v>102</v>
      </c>
      <c r="E159" s="95">
        <v>-6219.87</v>
      </c>
      <c r="F159" s="95"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0</v>
      </c>
      <c r="M159" s="95">
        <v>0</v>
      </c>
      <c r="N159" s="95">
        <v>-17836.740000000002</v>
      </c>
      <c r="O159" s="95">
        <v>0</v>
      </c>
      <c r="P159" s="95">
        <v>0</v>
      </c>
      <c r="Q159" s="95">
        <v>-17836.740000000002</v>
      </c>
      <c r="R159" s="235"/>
    </row>
    <row r="160" spans="2:18">
      <c r="B160" s="234"/>
      <c r="C160" s="119" t="s">
        <v>219</v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235"/>
    </row>
    <row r="161" spans="2:18">
      <c r="B161" s="234"/>
      <c r="C161" s="140" t="s">
        <v>5</v>
      </c>
      <c r="E161" s="90">
        <f>SUM(E154:E160)</f>
        <v>-7329926.0500000007</v>
      </c>
      <c r="F161" s="90">
        <f t="shared" ref="F161:P161" si="32">SUM(F154:F160)</f>
        <v>0</v>
      </c>
      <c r="G161" s="90">
        <f t="shared" si="32"/>
        <v>0</v>
      </c>
      <c r="H161" s="90">
        <f t="shared" si="32"/>
        <v>-9915131.8800000008</v>
      </c>
      <c r="I161" s="90">
        <f t="shared" si="32"/>
        <v>0</v>
      </c>
      <c r="J161" s="90">
        <f t="shared" si="32"/>
        <v>0</v>
      </c>
      <c r="K161" s="90">
        <f t="shared" si="32"/>
        <v>-7192573.0539874639</v>
      </c>
      <c r="L161" s="90">
        <f t="shared" si="32"/>
        <v>0</v>
      </c>
      <c r="M161" s="90">
        <f t="shared" si="32"/>
        <v>0</v>
      </c>
      <c r="N161" s="90">
        <f t="shared" si="32"/>
        <v>-6209125.99829611</v>
      </c>
      <c r="O161" s="90">
        <f t="shared" si="32"/>
        <v>-486296</v>
      </c>
      <c r="P161" s="90">
        <f t="shared" si="32"/>
        <v>0</v>
      </c>
      <c r="Q161" s="90">
        <f>SUM(Q154:Q160)</f>
        <v>-3756920.6959470357</v>
      </c>
      <c r="R161" s="235"/>
    </row>
    <row r="162" spans="2:18">
      <c r="B162" s="23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235"/>
    </row>
    <row r="163" spans="2:18">
      <c r="B163" s="234"/>
      <c r="C163" s="119" t="s">
        <v>42</v>
      </c>
      <c r="D163" s="119" t="s">
        <v>452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235"/>
    </row>
    <row r="164" spans="2:18">
      <c r="B164" s="234"/>
      <c r="C164" s="119" t="s">
        <v>213</v>
      </c>
      <c r="E164" s="95">
        <v>-2621820</v>
      </c>
      <c r="F164" s="95"/>
      <c r="G164" s="95"/>
      <c r="H164" s="95">
        <v>-3132774.94</v>
      </c>
      <c r="I164" s="95">
        <v>0</v>
      </c>
      <c r="J164" s="95">
        <v>0</v>
      </c>
      <c r="K164" s="95">
        <v>-740545.27</v>
      </c>
      <c r="L164" s="95">
        <v>0</v>
      </c>
      <c r="M164" s="95">
        <v>0</v>
      </c>
      <c r="N164" s="95">
        <v>-2952463.79</v>
      </c>
      <c r="O164" s="95">
        <v>0</v>
      </c>
      <c r="P164" s="95">
        <v>0</v>
      </c>
      <c r="Q164" s="95">
        <v>-1817919.3100000003</v>
      </c>
      <c r="R164" s="242"/>
    </row>
    <row r="165" spans="2:18">
      <c r="B165" s="234"/>
      <c r="C165" s="119" t="s">
        <v>215</v>
      </c>
      <c r="E165" s="95">
        <v>-2044293</v>
      </c>
      <c r="F165" s="95"/>
      <c r="G165" s="95"/>
      <c r="H165" s="95">
        <v>-4059732.0900000008</v>
      </c>
      <c r="I165" s="95">
        <v>0</v>
      </c>
      <c r="J165" s="95">
        <v>0</v>
      </c>
      <c r="K165" s="95">
        <v>-4495526.9799999986</v>
      </c>
      <c r="L165" s="95">
        <v>0</v>
      </c>
      <c r="M165" s="95">
        <v>0</v>
      </c>
      <c r="N165" s="95">
        <v>-158484.19</v>
      </c>
      <c r="O165" s="95">
        <v>0</v>
      </c>
      <c r="P165" s="95">
        <v>0</v>
      </c>
      <c r="Q165" s="95">
        <v>-175339.09245669108</v>
      </c>
      <c r="R165" s="242"/>
    </row>
    <row r="166" spans="2:18">
      <c r="B166" s="234"/>
      <c r="C166" s="119" t="s">
        <v>216</v>
      </c>
      <c r="E166" s="95">
        <v>-2512179</v>
      </c>
      <c r="F166" s="95"/>
      <c r="G166" s="95"/>
      <c r="H166" s="95">
        <v>-2577210.98</v>
      </c>
      <c r="I166" s="95">
        <v>0</v>
      </c>
      <c r="J166" s="95">
        <v>0</v>
      </c>
      <c r="K166" s="95">
        <v>-1956500.8039874658</v>
      </c>
      <c r="L166" s="95">
        <v>0</v>
      </c>
      <c r="M166" s="95">
        <v>0</v>
      </c>
      <c r="N166" s="95">
        <v>-2594045.2782961093</v>
      </c>
      <c r="O166" s="95">
        <v>0</v>
      </c>
      <c r="P166" s="95">
        <v>0</v>
      </c>
      <c r="Q166" s="95">
        <v>-1715244.6934903448</v>
      </c>
      <c r="R166" s="242"/>
    </row>
    <row r="167" spans="2:18">
      <c r="B167" s="234"/>
      <c r="C167" s="119" t="s">
        <v>217</v>
      </c>
      <c r="E167" s="95">
        <f>-151634+6220</f>
        <v>-145414</v>
      </c>
      <c r="F167" s="95"/>
      <c r="G167" s="95"/>
      <c r="H167" s="95">
        <v>-145413.87</v>
      </c>
      <c r="I167" s="95">
        <v>0</v>
      </c>
      <c r="J167" s="95">
        <v>0</v>
      </c>
      <c r="K167" s="95">
        <v>0</v>
      </c>
      <c r="L167" s="95">
        <v>0</v>
      </c>
      <c r="M167" s="95">
        <v>0</v>
      </c>
      <c r="N167" s="95">
        <v>0</v>
      </c>
      <c r="O167" s="95">
        <v>0</v>
      </c>
      <c r="P167" s="95">
        <v>0</v>
      </c>
      <c r="Q167" s="95">
        <v>-30580.86</v>
      </c>
      <c r="R167" s="242"/>
    </row>
    <row r="168" spans="2:18">
      <c r="B168" s="234"/>
      <c r="C168" s="119" t="s">
        <v>137</v>
      </c>
      <c r="E168" s="95"/>
      <c r="F168" s="95"/>
      <c r="G168" s="95"/>
      <c r="H168" s="95">
        <v>0</v>
      </c>
      <c r="I168" s="95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5">
        <v>0</v>
      </c>
      <c r="P168" s="95">
        <v>0</v>
      </c>
      <c r="Q168" s="95">
        <v>0</v>
      </c>
      <c r="R168" s="242"/>
    </row>
    <row r="169" spans="2:18">
      <c r="B169" s="234"/>
      <c r="C169" s="119" t="s">
        <v>102</v>
      </c>
      <c r="E169" s="95">
        <v>-6220</v>
      </c>
      <c r="F169" s="95"/>
      <c r="G169" s="95"/>
      <c r="H169" s="95">
        <v>0</v>
      </c>
      <c r="I169" s="95">
        <v>0</v>
      </c>
      <c r="J169" s="95">
        <v>0</v>
      </c>
      <c r="K169" s="95">
        <v>0</v>
      </c>
      <c r="L169" s="95">
        <v>0</v>
      </c>
      <c r="M169" s="95">
        <v>0</v>
      </c>
      <c r="N169" s="95">
        <v>-17836.740000000002</v>
      </c>
      <c r="O169" s="95">
        <v>0</v>
      </c>
      <c r="P169" s="95">
        <v>0</v>
      </c>
      <c r="Q169" s="95">
        <v>-17836.740000000002</v>
      </c>
      <c r="R169" s="242"/>
    </row>
    <row r="170" spans="2:18">
      <c r="B170" s="234"/>
      <c r="C170" s="119" t="s">
        <v>219</v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242"/>
    </row>
    <row r="171" spans="2:18">
      <c r="B171" s="234"/>
      <c r="C171" s="119" t="s">
        <v>7</v>
      </c>
      <c r="E171" s="90">
        <f>SUM(E164:E170)</f>
        <v>-7329926</v>
      </c>
      <c r="F171" s="90">
        <f t="shared" ref="F171:Q171" si="33">SUM(F164:F170)</f>
        <v>0</v>
      </c>
      <c r="G171" s="90">
        <f t="shared" si="33"/>
        <v>0</v>
      </c>
      <c r="H171" s="90">
        <f t="shared" si="33"/>
        <v>-9915131.8800000008</v>
      </c>
      <c r="I171" s="90">
        <f t="shared" si="33"/>
        <v>0</v>
      </c>
      <c r="J171" s="90">
        <f t="shared" si="33"/>
        <v>0</v>
      </c>
      <c r="K171" s="90">
        <f t="shared" si="33"/>
        <v>-7192573.0539874639</v>
      </c>
      <c r="L171" s="90">
        <f t="shared" si="33"/>
        <v>0</v>
      </c>
      <c r="M171" s="90">
        <f t="shared" si="33"/>
        <v>0</v>
      </c>
      <c r="N171" s="90">
        <f t="shared" si="33"/>
        <v>-5722829.99829611</v>
      </c>
      <c r="O171" s="90">
        <f t="shared" si="33"/>
        <v>0</v>
      </c>
      <c r="P171" s="90">
        <f t="shared" si="33"/>
        <v>0</v>
      </c>
      <c r="Q171" s="90">
        <f t="shared" si="33"/>
        <v>-3756920.6959470366</v>
      </c>
      <c r="R171" s="242"/>
    </row>
    <row r="172" spans="2:18">
      <c r="B172" s="237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  <c r="Q172" s="238"/>
      <c r="R172" s="243"/>
    </row>
    <row r="174" spans="2:18">
      <c r="N174" t="s">
        <v>464</v>
      </c>
      <c r="O174" t="s">
        <v>464</v>
      </c>
    </row>
    <row r="175" spans="2:18">
      <c r="N175">
        <v>486296</v>
      </c>
      <c r="O175">
        <v>486296</v>
      </c>
    </row>
    <row r="176" spans="2:18">
      <c r="N176" t="s">
        <v>465</v>
      </c>
    </row>
  </sheetData>
  <mergeCells count="6">
    <mergeCell ref="A4:I4"/>
    <mergeCell ref="A5:I5"/>
    <mergeCell ref="A7:I7"/>
    <mergeCell ref="J4:R4"/>
    <mergeCell ref="J5:R5"/>
    <mergeCell ref="J7:R7"/>
  </mergeCells>
  <phoneticPr fontId="20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Y206"/>
  <sheetViews>
    <sheetView workbookViewId="0">
      <selection activeCell="M21" sqref="A1:XFD1048576"/>
    </sheetView>
  </sheetViews>
  <sheetFormatPr defaultColWidth="7.109375" defaultRowHeight="12.75"/>
  <cols>
    <col min="1" max="1" width="4.88671875" style="14" customWidth="1"/>
    <col min="2" max="2" width="15.6640625" style="14" customWidth="1"/>
    <col min="3" max="3" width="7.109375" style="14" customWidth="1"/>
    <col min="4" max="4" width="8.88671875" style="14" customWidth="1"/>
    <col min="5" max="5" width="7.88671875" style="14" customWidth="1"/>
    <col min="6" max="6" width="7.6640625" style="14" customWidth="1"/>
    <col min="7" max="7" width="10.33203125" style="14" customWidth="1"/>
    <col min="8" max="8" width="13" style="14" customWidth="1"/>
    <col min="9" max="9" width="11.88671875" style="14" customWidth="1"/>
    <col min="10" max="10" width="11.109375" style="14" customWidth="1"/>
    <col min="11" max="11" width="8" style="14" customWidth="1"/>
    <col min="12" max="16384" width="7.109375" style="14"/>
  </cols>
  <sheetData>
    <row r="1" spans="1:12">
      <c r="K1" s="61"/>
    </row>
    <row r="2" spans="1:12">
      <c r="B2" s="38"/>
      <c r="C2" s="2"/>
      <c r="D2" s="2"/>
      <c r="E2" s="2"/>
      <c r="F2" s="2"/>
      <c r="G2" s="2"/>
      <c r="H2" s="2"/>
      <c r="J2" s="32" t="str">
        <f>+'CU AC Rate Design - True-Up'!H1</f>
        <v>Date: May 31, 2024</v>
      </c>
    </row>
    <row r="3" spans="1:12" ht="15" customHeight="1">
      <c r="A3" s="272" t="s">
        <v>360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2" ht="15" customHeight="1">
      <c r="A4" s="272" t="s">
        <v>77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2">
      <c r="B5" s="38"/>
      <c r="C5" s="2"/>
      <c r="D5" s="40"/>
      <c r="E5" s="2"/>
      <c r="G5" s="2"/>
      <c r="H5" s="2"/>
      <c r="I5" s="2"/>
      <c r="J5" s="2"/>
    </row>
    <row r="6" spans="1:12" ht="18.75">
      <c r="A6" s="62" t="s">
        <v>196</v>
      </c>
      <c r="B6" s="38"/>
      <c r="C6" s="2"/>
      <c r="D6" s="279" t="s">
        <v>457</v>
      </c>
      <c r="E6" s="280"/>
      <c r="F6" s="280"/>
      <c r="G6" s="280"/>
      <c r="H6" s="281"/>
      <c r="I6" s="2"/>
      <c r="J6" s="2"/>
    </row>
    <row r="7" spans="1:12" ht="13.5" thickBot="1">
      <c r="A7" s="63" t="s">
        <v>197</v>
      </c>
    </row>
    <row r="8" spans="1:12" ht="15">
      <c r="A8" s="24">
        <v>1</v>
      </c>
      <c r="B8" s="64"/>
      <c r="C8" s="4"/>
      <c r="D8" s="3" t="s">
        <v>69</v>
      </c>
      <c r="E8" s="3" t="s">
        <v>94</v>
      </c>
      <c r="F8" s="3" t="s">
        <v>95</v>
      </c>
      <c r="G8" s="4" t="s">
        <v>96</v>
      </c>
      <c r="H8" s="3" t="s">
        <v>139</v>
      </c>
      <c r="I8" s="3" t="s">
        <v>1</v>
      </c>
      <c r="J8" s="3" t="s">
        <v>326</v>
      </c>
      <c r="K8"/>
    </row>
    <row r="9" spans="1:12" ht="15">
      <c r="A9" s="24">
        <f>A8+1</f>
        <v>2</v>
      </c>
      <c r="B9" s="65"/>
      <c r="C9" s="6"/>
      <c r="D9" s="5" t="s">
        <v>326</v>
      </c>
      <c r="E9" s="5" t="s">
        <v>326</v>
      </c>
      <c r="F9" s="5" t="s">
        <v>97</v>
      </c>
      <c r="G9" s="6" t="s">
        <v>98</v>
      </c>
      <c r="H9" s="5" t="s">
        <v>140</v>
      </c>
      <c r="I9" s="5" t="s">
        <v>2</v>
      </c>
      <c r="J9" s="5" t="s">
        <v>109</v>
      </c>
      <c r="K9"/>
    </row>
    <row r="10" spans="1:12" ht="15.75" thickBot="1">
      <c r="A10" s="24">
        <f t="shared" ref="A10:A47" si="0">A9+1</f>
        <v>3</v>
      </c>
      <c r="B10" s="66"/>
      <c r="C10" s="8"/>
      <c r="D10" s="7" t="s">
        <v>99</v>
      </c>
      <c r="E10" s="5" t="s">
        <v>99</v>
      </c>
      <c r="F10" s="7" t="s">
        <v>99</v>
      </c>
      <c r="G10" s="8" t="s">
        <v>99</v>
      </c>
      <c r="H10" s="7" t="s">
        <v>99</v>
      </c>
      <c r="I10" s="7" t="s">
        <v>99</v>
      </c>
      <c r="J10" s="5" t="s">
        <v>110</v>
      </c>
      <c r="K10"/>
    </row>
    <row r="11" spans="1:12" ht="15">
      <c r="A11" s="24">
        <f t="shared" si="0"/>
        <v>4</v>
      </c>
      <c r="B11" s="12" t="s">
        <v>159</v>
      </c>
      <c r="C11" s="13"/>
      <c r="D11" s="100">
        <v>304</v>
      </c>
      <c r="E11" s="97">
        <v>320</v>
      </c>
      <c r="F11" s="105">
        <v>2</v>
      </c>
      <c r="G11" s="97">
        <v>54</v>
      </c>
      <c r="H11" s="106">
        <v>342</v>
      </c>
      <c r="I11" s="100">
        <v>0</v>
      </c>
      <c r="J11" s="97">
        <f>SUM(D11:I11)</f>
        <v>1022</v>
      </c>
      <c r="K11"/>
      <c r="L11" s="87"/>
    </row>
    <row r="12" spans="1:12" ht="15">
      <c r="A12" s="24">
        <f t="shared" si="0"/>
        <v>5</v>
      </c>
      <c r="B12" s="12" t="s">
        <v>179</v>
      </c>
      <c r="D12" s="101">
        <v>309.45</v>
      </c>
      <c r="E12" s="98">
        <v>310.55</v>
      </c>
      <c r="F12" s="107">
        <v>2</v>
      </c>
      <c r="G12" s="98">
        <v>59</v>
      </c>
      <c r="H12" s="28">
        <v>342</v>
      </c>
      <c r="I12" s="101">
        <v>0</v>
      </c>
      <c r="J12" s="98">
        <f>SUM(D12:I12)</f>
        <v>1023</v>
      </c>
      <c r="K12"/>
      <c r="L12" s="87"/>
    </row>
    <row r="13" spans="1:12" ht="15">
      <c r="A13" s="24">
        <f t="shared" si="0"/>
        <v>6</v>
      </c>
      <c r="B13" s="12" t="s">
        <v>180</v>
      </c>
      <c r="D13" s="101">
        <v>290.45999999999998</v>
      </c>
      <c r="E13" s="98">
        <v>315.54000000000002</v>
      </c>
      <c r="F13" s="107">
        <v>2</v>
      </c>
      <c r="G13" s="98">
        <v>50</v>
      </c>
      <c r="H13" s="28">
        <v>342</v>
      </c>
      <c r="I13" s="101">
        <v>0</v>
      </c>
      <c r="J13" s="98">
        <f t="shared" ref="J13:J21" si="1">SUM(D13:I13)</f>
        <v>1000</v>
      </c>
      <c r="K13"/>
      <c r="L13" s="87"/>
    </row>
    <row r="14" spans="1:12" ht="15">
      <c r="A14" s="24">
        <f t="shared" si="0"/>
        <v>7</v>
      </c>
      <c r="B14" s="12" t="s">
        <v>190</v>
      </c>
      <c r="D14" s="101">
        <v>231.56899999999999</v>
      </c>
      <c r="E14" s="98">
        <v>282.41300000000001</v>
      </c>
      <c r="F14" s="107">
        <v>1.97</v>
      </c>
      <c r="G14" s="98">
        <v>46.06</v>
      </c>
      <c r="H14" s="28">
        <v>342</v>
      </c>
      <c r="I14" s="101">
        <v>0</v>
      </c>
      <c r="J14" s="98">
        <f t="shared" si="1"/>
        <v>904.01199999999994</v>
      </c>
      <c r="K14"/>
      <c r="L14" s="87"/>
    </row>
    <row r="15" spans="1:12" ht="15">
      <c r="A15" s="24">
        <f t="shared" si="0"/>
        <v>8</v>
      </c>
      <c r="B15" s="12" t="s">
        <v>191</v>
      </c>
      <c r="D15" s="101">
        <v>225.203</v>
      </c>
      <c r="E15" s="98">
        <v>213.511</v>
      </c>
      <c r="F15" s="107">
        <v>1.9370000000000001</v>
      </c>
      <c r="G15" s="98">
        <v>40.488</v>
      </c>
      <c r="H15" s="28">
        <v>342</v>
      </c>
      <c r="I15" s="101">
        <v>0</v>
      </c>
      <c r="J15" s="98">
        <f t="shared" si="1"/>
        <v>823.13900000000001</v>
      </c>
      <c r="K15"/>
      <c r="L15" s="87"/>
    </row>
    <row r="16" spans="1:12" ht="15">
      <c r="A16" s="24">
        <f t="shared" si="0"/>
        <v>9</v>
      </c>
      <c r="B16" s="12" t="s">
        <v>192</v>
      </c>
      <c r="D16" s="101">
        <v>314.35000000000002</v>
      </c>
      <c r="E16" s="98">
        <v>250.68899999999999</v>
      </c>
      <c r="F16" s="107">
        <v>2.2850000000000001</v>
      </c>
      <c r="G16" s="98">
        <v>58.58</v>
      </c>
      <c r="H16" s="28">
        <v>332</v>
      </c>
      <c r="I16" s="101">
        <v>0</v>
      </c>
      <c r="J16" s="98">
        <f t="shared" si="1"/>
        <v>957.904</v>
      </c>
      <c r="K16"/>
      <c r="L16" s="87"/>
    </row>
    <row r="17" spans="1:25" ht="15">
      <c r="A17" s="24">
        <f t="shared" si="0"/>
        <v>10</v>
      </c>
      <c r="B17" s="12" t="s">
        <v>181</v>
      </c>
      <c r="D17" s="101">
        <v>305.66000000000003</v>
      </c>
      <c r="E17" s="98">
        <v>243.81700000000001</v>
      </c>
      <c r="F17" s="107">
        <v>1.875</v>
      </c>
      <c r="G17" s="98">
        <v>68.866</v>
      </c>
      <c r="H17" s="28">
        <v>347</v>
      </c>
      <c r="I17" s="101">
        <v>0</v>
      </c>
      <c r="J17" s="98">
        <f t="shared" si="1"/>
        <v>967.21800000000007</v>
      </c>
      <c r="K17"/>
      <c r="L17" s="87"/>
    </row>
    <row r="18" spans="1:25" ht="15">
      <c r="A18" s="24">
        <f t="shared" si="0"/>
        <v>11</v>
      </c>
      <c r="B18" s="12" t="s">
        <v>156</v>
      </c>
      <c r="D18" s="101">
        <v>361.70400000000001</v>
      </c>
      <c r="E18" s="98">
        <v>274.79399999999998</v>
      </c>
      <c r="F18" s="107">
        <v>2.714</v>
      </c>
      <c r="G18" s="98">
        <v>74.093999999999994</v>
      </c>
      <c r="H18" s="28">
        <v>347</v>
      </c>
      <c r="I18" s="101">
        <v>0</v>
      </c>
      <c r="J18" s="98">
        <f t="shared" si="1"/>
        <v>1060.306</v>
      </c>
      <c r="K18"/>
      <c r="L18" s="87"/>
    </row>
    <row r="19" spans="1:25" ht="15">
      <c r="A19" s="24">
        <f t="shared" si="0"/>
        <v>12</v>
      </c>
      <c r="B19" s="12" t="s">
        <v>182</v>
      </c>
      <c r="D19" s="101">
        <v>333.62400000000002</v>
      </c>
      <c r="E19" s="98">
        <v>277.11099999999999</v>
      </c>
      <c r="F19" s="107">
        <v>2.61</v>
      </c>
      <c r="G19" s="98">
        <v>64.447999999999993</v>
      </c>
      <c r="H19" s="28">
        <v>347</v>
      </c>
      <c r="I19" s="101">
        <v>0</v>
      </c>
      <c r="J19" s="98">
        <f t="shared" si="1"/>
        <v>1024.7930000000001</v>
      </c>
      <c r="K19"/>
      <c r="L19" s="87"/>
    </row>
    <row r="20" spans="1:25" ht="15">
      <c r="A20" s="24">
        <f t="shared" si="0"/>
        <v>13</v>
      </c>
      <c r="B20" s="12" t="s">
        <v>157</v>
      </c>
      <c r="D20" s="101">
        <v>272.053</v>
      </c>
      <c r="E20" s="98">
        <v>290.87299999999999</v>
      </c>
      <c r="F20" s="107">
        <v>2.1819999999999999</v>
      </c>
      <c r="G20" s="98">
        <v>45.648000000000003</v>
      </c>
      <c r="H20" s="28">
        <v>347</v>
      </c>
      <c r="I20" s="101">
        <v>0</v>
      </c>
      <c r="J20" s="98">
        <f t="shared" si="1"/>
        <v>957.75599999999997</v>
      </c>
      <c r="K20"/>
      <c r="L20" s="87"/>
    </row>
    <row r="21" spans="1:25" ht="15">
      <c r="A21" s="24">
        <f t="shared" si="0"/>
        <v>14</v>
      </c>
      <c r="B21" s="12" t="s">
        <v>158</v>
      </c>
      <c r="D21" s="101">
        <v>256.358</v>
      </c>
      <c r="E21" s="98">
        <v>275.90600000000001</v>
      </c>
      <c r="F21" s="107">
        <v>2.165</v>
      </c>
      <c r="G21" s="98">
        <v>42.396000000000001</v>
      </c>
      <c r="H21" s="28">
        <v>347</v>
      </c>
      <c r="I21" s="101">
        <v>0</v>
      </c>
      <c r="J21" s="98">
        <f t="shared" si="1"/>
        <v>923.82499999999993</v>
      </c>
      <c r="K21"/>
      <c r="L21" s="87"/>
    </row>
    <row r="22" spans="1:25" ht="15.75" thickBot="1">
      <c r="A22" s="24">
        <f t="shared" si="0"/>
        <v>15</v>
      </c>
      <c r="B22" s="15" t="s">
        <v>183</v>
      </c>
      <c r="C22" s="16"/>
      <c r="D22" s="102">
        <v>259.24400000000003</v>
      </c>
      <c r="E22" s="99">
        <v>286.07100000000003</v>
      </c>
      <c r="F22" s="108">
        <v>1.831</v>
      </c>
      <c r="G22" s="99">
        <v>45.567</v>
      </c>
      <c r="H22" s="108">
        <v>347</v>
      </c>
      <c r="I22" s="102">
        <v>0</v>
      </c>
      <c r="J22" s="99">
        <f>SUM(D22:I22)</f>
        <v>939.71300000000008</v>
      </c>
      <c r="K22"/>
      <c r="L22" s="87"/>
    </row>
    <row r="23" spans="1:25" ht="15.75" thickBot="1">
      <c r="A23" s="24">
        <f t="shared" si="0"/>
        <v>16</v>
      </c>
      <c r="B23" s="67"/>
      <c r="D23" s="9"/>
      <c r="E23" s="9"/>
      <c r="F23" s="9"/>
      <c r="G23" s="5"/>
      <c r="H23" s="6"/>
      <c r="I23" s="7"/>
      <c r="J23" s="9"/>
      <c r="K23"/>
      <c r="L23" s="87"/>
    </row>
    <row r="24" spans="1:25" ht="15.75" thickBot="1">
      <c r="A24" s="24">
        <f t="shared" si="0"/>
        <v>17</v>
      </c>
      <c r="B24" s="68" t="s">
        <v>118</v>
      </c>
      <c r="C24" s="69"/>
      <c r="D24" s="37">
        <f t="shared" ref="D24:J24" si="2">SUM(D11:D22)/12</f>
        <v>288.63958333333341</v>
      </c>
      <c r="E24" s="10">
        <f t="shared" si="2"/>
        <v>278.4395833333333</v>
      </c>
      <c r="F24" s="70">
        <f t="shared" si="2"/>
        <v>2.1307499999999995</v>
      </c>
      <c r="G24" s="10">
        <f t="shared" si="2"/>
        <v>54.09558333333333</v>
      </c>
      <c r="H24" s="71">
        <f t="shared" si="2"/>
        <v>343.66666666666669</v>
      </c>
      <c r="I24" s="37">
        <f t="shared" si="2"/>
        <v>0</v>
      </c>
      <c r="J24" s="10">
        <f t="shared" si="2"/>
        <v>966.97216666666657</v>
      </c>
      <c r="K24"/>
      <c r="L24" s="87"/>
    </row>
    <row r="25" spans="1:25">
      <c r="A25" s="24">
        <f t="shared" si="0"/>
        <v>18</v>
      </c>
    </row>
    <row r="26" spans="1:25" ht="18.75">
      <c r="A26" s="24">
        <f t="shared" si="0"/>
        <v>19</v>
      </c>
      <c r="B26" s="38"/>
      <c r="C26" s="2"/>
      <c r="D26" s="279" t="s">
        <v>458</v>
      </c>
      <c r="E26" s="280"/>
      <c r="F26" s="280"/>
      <c r="G26" s="280"/>
      <c r="H26" s="281"/>
      <c r="I26" s="2"/>
    </row>
    <row r="27" spans="1:25" ht="13.5" thickBot="1">
      <c r="A27" s="24">
        <f t="shared" si="0"/>
        <v>20</v>
      </c>
    </row>
    <row r="28" spans="1:25">
      <c r="A28" s="24">
        <f t="shared" si="0"/>
        <v>21</v>
      </c>
      <c r="B28" s="64"/>
      <c r="C28" s="4"/>
      <c r="D28" s="3" t="s">
        <v>69</v>
      </c>
      <c r="E28" s="3" t="s">
        <v>94</v>
      </c>
      <c r="F28" s="3" t="s">
        <v>95</v>
      </c>
      <c r="G28" s="4" t="s">
        <v>96</v>
      </c>
      <c r="H28" s="3" t="s">
        <v>139</v>
      </c>
      <c r="I28" s="3" t="s">
        <v>1</v>
      </c>
      <c r="J28" s="3" t="s">
        <v>326</v>
      </c>
    </row>
    <row r="29" spans="1:25">
      <c r="A29" s="24">
        <f t="shared" si="0"/>
        <v>22</v>
      </c>
      <c r="B29" s="65"/>
      <c r="C29" s="6"/>
      <c r="D29" s="5" t="s">
        <v>326</v>
      </c>
      <c r="E29" s="5" t="s">
        <v>326</v>
      </c>
      <c r="F29" s="5" t="s">
        <v>97</v>
      </c>
      <c r="G29" s="6" t="s">
        <v>98</v>
      </c>
      <c r="H29" s="5" t="s">
        <v>140</v>
      </c>
      <c r="I29" s="5" t="s">
        <v>2</v>
      </c>
      <c r="J29" s="5" t="s">
        <v>109</v>
      </c>
    </row>
    <row r="30" spans="1:25" ht="13.5" thickBot="1">
      <c r="A30" s="24">
        <f t="shared" si="0"/>
        <v>23</v>
      </c>
      <c r="B30" s="66"/>
      <c r="C30" s="8"/>
      <c r="D30" s="7" t="s">
        <v>99</v>
      </c>
      <c r="E30" s="5" t="s">
        <v>99</v>
      </c>
      <c r="F30" s="7" t="s">
        <v>99</v>
      </c>
      <c r="G30" s="8" t="s">
        <v>99</v>
      </c>
      <c r="H30" s="7" t="s">
        <v>99</v>
      </c>
      <c r="I30" s="7" t="s">
        <v>99</v>
      </c>
      <c r="J30" s="7" t="s">
        <v>110</v>
      </c>
    </row>
    <row r="31" spans="1:25">
      <c r="A31" s="24">
        <f t="shared" si="0"/>
        <v>24</v>
      </c>
      <c r="B31" s="12" t="s">
        <v>159</v>
      </c>
      <c r="C31" s="13"/>
      <c r="D31" s="97">
        <v>332</v>
      </c>
      <c r="E31" s="97">
        <v>305</v>
      </c>
      <c r="F31" s="103">
        <v>3</v>
      </c>
      <c r="G31" s="97">
        <v>74.283222413381125</v>
      </c>
      <c r="H31" s="6">
        <v>347</v>
      </c>
      <c r="I31" s="3">
        <v>0</v>
      </c>
      <c r="J31" s="97">
        <f>SUM(D31:I31)</f>
        <v>1061.2832224133813</v>
      </c>
      <c r="S31" s="87"/>
      <c r="T31" s="87"/>
      <c r="U31" s="87"/>
      <c r="V31" s="87"/>
      <c r="W31" s="87"/>
      <c r="X31" s="87"/>
      <c r="Y31" s="87"/>
    </row>
    <row r="32" spans="1:25">
      <c r="A32" s="24">
        <f t="shared" si="0"/>
        <v>25</v>
      </c>
      <c r="B32" s="12" t="s">
        <v>179</v>
      </c>
      <c r="D32" s="98">
        <v>320</v>
      </c>
      <c r="E32" s="98">
        <v>297</v>
      </c>
      <c r="F32" s="104">
        <v>3</v>
      </c>
      <c r="G32" s="98">
        <v>71.017332413381126</v>
      </c>
      <c r="H32" s="6">
        <v>347</v>
      </c>
      <c r="I32" s="5">
        <v>0</v>
      </c>
      <c r="J32" s="98">
        <f>SUM(D32:I32)</f>
        <v>1038.0173324133812</v>
      </c>
      <c r="S32" s="87"/>
      <c r="T32" s="87"/>
      <c r="U32" s="87"/>
      <c r="V32" s="87"/>
      <c r="W32" s="87"/>
      <c r="X32" s="87"/>
      <c r="Y32" s="87"/>
    </row>
    <row r="33" spans="1:25">
      <c r="A33" s="24">
        <f t="shared" si="0"/>
        <v>26</v>
      </c>
      <c r="B33" s="12" t="s">
        <v>180</v>
      </c>
      <c r="D33" s="98">
        <v>300</v>
      </c>
      <c r="E33" s="98">
        <v>279</v>
      </c>
      <c r="F33" s="104">
        <v>3</v>
      </c>
      <c r="G33" s="98">
        <v>67.223692413381116</v>
      </c>
      <c r="H33" s="6">
        <v>347</v>
      </c>
      <c r="I33" s="5">
        <v>0</v>
      </c>
      <c r="J33" s="98">
        <f t="shared" ref="J33:J41" si="3">SUM(D33:I33)</f>
        <v>996.22369241338106</v>
      </c>
      <c r="S33" s="87"/>
      <c r="T33" s="87"/>
      <c r="U33" s="87"/>
      <c r="V33" s="87"/>
      <c r="W33" s="87"/>
      <c r="X33" s="87"/>
      <c r="Y33" s="87"/>
    </row>
    <row r="34" spans="1:25">
      <c r="A34" s="24">
        <f t="shared" si="0"/>
        <v>27</v>
      </c>
      <c r="B34" s="12" t="s">
        <v>190</v>
      </c>
      <c r="D34" s="98">
        <v>271</v>
      </c>
      <c r="E34" s="98">
        <v>263</v>
      </c>
      <c r="F34" s="104">
        <v>3</v>
      </c>
      <c r="G34" s="98">
        <v>60.14652241338112</v>
      </c>
      <c r="H34" s="6">
        <v>347</v>
      </c>
      <c r="I34" s="5">
        <v>0</v>
      </c>
      <c r="J34" s="98">
        <f t="shared" si="3"/>
        <v>944.14652241338115</v>
      </c>
      <c r="S34" s="87"/>
      <c r="T34" s="87"/>
      <c r="U34" s="87"/>
      <c r="V34" s="87"/>
      <c r="W34" s="87"/>
      <c r="X34" s="87"/>
      <c r="Y34" s="87"/>
    </row>
    <row r="35" spans="1:25">
      <c r="A35" s="24">
        <f t="shared" si="0"/>
        <v>28</v>
      </c>
      <c r="B35" s="12" t="s">
        <v>191</v>
      </c>
      <c r="D35" s="98">
        <v>280</v>
      </c>
      <c r="E35" s="98">
        <v>226</v>
      </c>
      <c r="F35" s="104">
        <v>3</v>
      </c>
      <c r="G35" s="98">
        <v>64.551512413381118</v>
      </c>
      <c r="H35" s="6">
        <v>347</v>
      </c>
      <c r="I35" s="5">
        <v>0</v>
      </c>
      <c r="J35" s="98">
        <f t="shared" si="3"/>
        <v>920.55151241338115</v>
      </c>
      <c r="S35" s="87"/>
      <c r="T35" s="87"/>
      <c r="U35" s="87"/>
      <c r="V35" s="87"/>
      <c r="W35" s="87"/>
      <c r="X35" s="87"/>
      <c r="Y35" s="87"/>
    </row>
    <row r="36" spans="1:25">
      <c r="A36" s="24">
        <f t="shared" si="0"/>
        <v>29</v>
      </c>
      <c r="B36" s="12" t="s">
        <v>192</v>
      </c>
      <c r="D36" s="98">
        <v>344</v>
      </c>
      <c r="E36" s="98">
        <v>223</v>
      </c>
      <c r="F36" s="104">
        <v>3</v>
      </c>
      <c r="G36" s="98">
        <v>78.315612413381118</v>
      </c>
      <c r="H36" s="6">
        <v>347</v>
      </c>
      <c r="I36" s="5">
        <v>0</v>
      </c>
      <c r="J36" s="98">
        <f t="shared" si="3"/>
        <v>995.31561241338113</v>
      </c>
      <c r="S36" s="87"/>
      <c r="T36" s="87"/>
      <c r="U36" s="87"/>
      <c r="V36" s="87"/>
      <c r="W36" s="87"/>
      <c r="X36" s="87"/>
      <c r="Y36" s="87"/>
    </row>
    <row r="37" spans="1:25">
      <c r="A37" s="24">
        <f t="shared" si="0"/>
        <v>30</v>
      </c>
      <c r="B37" s="12" t="s">
        <v>181</v>
      </c>
      <c r="D37" s="98">
        <v>379</v>
      </c>
      <c r="E37" s="98">
        <v>242</v>
      </c>
      <c r="F37" s="104">
        <v>3</v>
      </c>
      <c r="G37" s="98">
        <v>87.265542413381127</v>
      </c>
      <c r="H37" s="6">
        <v>347</v>
      </c>
      <c r="I37" s="5">
        <v>0</v>
      </c>
      <c r="J37" s="98">
        <f t="shared" si="3"/>
        <v>1058.2655424133811</v>
      </c>
      <c r="S37" s="87"/>
      <c r="T37" s="87"/>
      <c r="U37" s="87"/>
      <c r="V37" s="87"/>
      <c r="W37" s="87"/>
      <c r="X37" s="87"/>
      <c r="Y37" s="87"/>
    </row>
    <row r="38" spans="1:25">
      <c r="A38" s="24">
        <f t="shared" si="0"/>
        <v>31</v>
      </c>
      <c r="B38" s="12" t="s">
        <v>156</v>
      </c>
      <c r="D38" s="98">
        <v>364</v>
      </c>
      <c r="E38" s="98">
        <v>244</v>
      </c>
      <c r="F38" s="104">
        <v>3</v>
      </c>
      <c r="G38" s="98">
        <v>83.107072413381132</v>
      </c>
      <c r="H38" s="6">
        <v>347</v>
      </c>
      <c r="I38" s="5">
        <v>0</v>
      </c>
      <c r="J38" s="98">
        <f t="shared" si="3"/>
        <v>1041.107072413381</v>
      </c>
      <c r="S38" s="87"/>
      <c r="T38" s="87"/>
      <c r="U38" s="87"/>
      <c r="V38" s="87"/>
      <c r="W38" s="87"/>
      <c r="X38" s="87"/>
      <c r="Y38" s="87"/>
    </row>
    <row r="39" spans="1:25">
      <c r="A39" s="24">
        <f t="shared" si="0"/>
        <v>32</v>
      </c>
      <c r="B39" s="12" t="s">
        <v>182</v>
      </c>
      <c r="D39" s="98">
        <v>325</v>
      </c>
      <c r="E39" s="98">
        <v>233</v>
      </c>
      <c r="F39" s="104">
        <v>3</v>
      </c>
      <c r="G39" s="98">
        <v>76.054495746714451</v>
      </c>
      <c r="H39" s="6">
        <v>347</v>
      </c>
      <c r="I39" s="5">
        <v>0</v>
      </c>
      <c r="J39" s="98">
        <f t="shared" si="3"/>
        <v>984.05449574671445</v>
      </c>
      <c r="S39" s="87"/>
      <c r="T39" s="87"/>
      <c r="U39" s="87"/>
      <c r="V39" s="87"/>
      <c r="W39" s="87"/>
      <c r="X39" s="87"/>
      <c r="Y39" s="87"/>
    </row>
    <row r="40" spans="1:25">
      <c r="A40" s="24">
        <f t="shared" si="0"/>
        <v>33</v>
      </c>
      <c r="B40" s="12" t="s">
        <v>157</v>
      </c>
      <c r="D40" s="98">
        <v>278</v>
      </c>
      <c r="E40" s="98">
        <v>258</v>
      </c>
      <c r="F40" s="104">
        <v>3</v>
      </c>
      <c r="G40" s="98">
        <v>61.419502413381124</v>
      </c>
      <c r="H40" s="6">
        <v>347</v>
      </c>
      <c r="I40" s="5">
        <v>0</v>
      </c>
      <c r="J40" s="98">
        <f t="shared" si="3"/>
        <v>947.41950241338111</v>
      </c>
      <c r="S40" s="87"/>
      <c r="T40" s="87"/>
      <c r="U40" s="87"/>
      <c r="V40" s="87"/>
      <c r="W40" s="87"/>
      <c r="X40" s="87"/>
      <c r="Y40" s="87"/>
    </row>
    <row r="41" spans="1:25">
      <c r="A41" s="24">
        <f t="shared" si="0"/>
        <v>34</v>
      </c>
      <c r="B41" s="12" t="s">
        <v>158</v>
      </c>
      <c r="D41" s="98">
        <v>304</v>
      </c>
      <c r="E41" s="98">
        <v>274</v>
      </c>
      <c r="F41" s="104">
        <v>3</v>
      </c>
      <c r="G41" s="98">
        <v>70.515105746714454</v>
      </c>
      <c r="H41" s="6">
        <v>347</v>
      </c>
      <c r="I41" s="5">
        <v>0</v>
      </c>
      <c r="J41" s="98">
        <f t="shared" si="3"/>
        <v>998.51510574671443</v>
      </c>
      <c r="S41" s="87"/>
      <c r="T41" s="87"/>
      <c r="U41" s="87"/>
      <c r="V41" s="87"/>
      <c r="W41" s="87"/>
      <c r="X41" s="87"/>
      <c r="Y41" s="87"/>
    </row>
    <row r="42" spans="1:25" ht="13.5" thickBot="1">
      <c r="A42" s="24">
        <f t="shared" si="0"/>
        <v>35</v>
      </c>
      <c r="B42" s="15" t="s">
        <v>183</v>
      </c>
      <c r="C42" s="16"/>
      <c r="D42" s="99">
        <v>326</v>
      </c>
      <c r="E42" s="99">
        <v>309</v>
      </c>
      <c r="F42" s="109">
        <v>3</v>
      </c>
      <c r="G42" s="99">
        <v>75.434392413381119</v>
      </c>
      <c r="H42" s="99">
        <v>347</v>
      </c>
      <c r="I42" s="7">
        <v>0</v>
      </c>
      <c r="J42" s="99">
        <f>SUM(D42:I42)</f>
        <v>1060.4343924133811</v>
      </c>
      <c r="S42" s="87"/>
      <c r="T42" s="87"/>
      <c r="U42" s="87"/>
      <c r="V42" s="87"/>
      <c r="W42" s="87"/>
      <c r="X42" s="87"/>
      <c r="Y42" s="87"/>
    </row>
    <row r="43" spans="1:25" ht="13.5" thickBot="1">
      <c r="A43" s="24">
        <f t="shared" si="0"/>
        <v>36</v>
      </c>
      <c r="B43" s="67"/>
      <c r="D43" s="9"/>
      <c r="E43" s="9"/>
      <c r="F43" s="9"/>
      <c r="G43" s="5"/>
      <c r="H43" s="6"/>
      <c r="I43" s="7"/>
      <c r="J43" s="31"/>
      <c r="S43" s="87"/>
      <c r="T43" s="87"/>
      <c r="U43" s="87"/>
      <c r="V43" s="87"/>
      <c r="W43" s="87"/>
      <c r="X43" s="87"/>
      <c r="Y43" s="87"/>
    </row>
    <row r="44" spans="1:25" ht="13.5" thickBot="1">
      <c r="A44" s="24">
        <f t="shared" si="0"/>
        <v>37</v>
      </c>
      <c r="B44" s="68" t="s">
        <v>118</v>
      </c>
      <c r="C44" s="69"/>
      <c r="D44" s="10">
        <f t="shared" ref="D44:J44" si="4">SUM(D31:D42)/12</f>
        <v>318.58333333333331</v>
      </c>
      <c r="E44" s="10">
        <f t="shared" si="4"/>
        <v>262.75</v>
      </c>
      <c r="F44" s="10">
        <f t="shared" si="4"/>
        <v>3</v>
      </c>
      <c r="G44" s="10">
        <f t="shared" si="4"/>
        <v>72.444500468936681</v>
      </c>
      <c r="H44" s="10">
        <f t="shared" si="4"/>
        <v>347</v>
      </c>
      <c r="I44" s="10">
        <f t="shared" si="4"/>
        <v>0</v>
      </c>
      <c r="J44" s="10">
        <f t="shared" si="4"/>
        <v>1003.7778338022698</v>
      </c>
      <c r="K44" s="28"/>
      <c r="S44" s="87"/>
      <c r="T44" s="87"/>
      <c r="U44" s="87"/>
      <c r="V44" s="87"/>
      <c r="W44" s="87"/>
      <c r="X44" s="87"/>
      <c r="Y44" s="87"/>
    </row>
    <row r="45" spans="1:25">
      <c r="A45" s="24">
        <f t="shared" si="0"/>
        <v>38</v>
      </c>
      <c r="S45" s="87"/>
      <c r="T45" s="87"/>
      <c r="U45" s="87"/>
      <c r="V45" s="87"/>
      <c r="W45" s="87"/>
      <c r="X45" s="87"/>
      <c r="Y45" s="87"/>
    </row>
    <row r="46" spans="1:25">
      <c r="A46" s="24">
        <f t="shared" si="0"/>
        <v>39</v>
      </c>
      <c r="B46" s="17" t="s">
        <v>409</v>
      </c>
      <c r="D46" s="72"/>
      <c r="E46" s="72"/>
      <c r="F46" s="72"/>
      <c r="G46" s="73"/>
      <c r="H46" s="73"/>
      <c r="I46" s="74"/>
    </row>
    <row r="47" spans="1:25">
      <c r="A47" s="24">
        <f t="shared" si="0"/>
        <v>40</v>
      </c>
      <c r="B47" s="17" t="s">
        <v>410</v>
      </c>
      <c r="G47" s="73"/>
    </row>
    <row r="48" spans="1:25">
      <c r="A48" s="24"/>
      <c r="B48" s="17"/>
      <c r="D48" s="17"/>
      <c r="E48" s="17"/>
    </row>
    <row r="49" spans="1:10">
      <c r="A49" s="24"/>
      <c r="B49" s="17"/>
      <c r="D49" s="17"/>
      <c r="E49" s="17"/>
    </row>
    <row r="50" spans="1:10">
      <c r="A50" s="24"/>
      <c r="B50" s="17"/>
      <c r="C50" s="17"/>
      <c r="D50" s="112"/>
      <c r="E50" s="112"/>
      <c r="F50" s="112"/>
      <c r="G50" s="112"/>
      <c r="H50" s="112"/>
      <c r="I50" s="112"/>
      <c r="J50" s="112"/>
    </row>
    <row r="51" spans="1:10">
      <c r="A51" s="24"/>
      <c r="B51" s="17"/>
      <c r="C51" s="17"/>
      <c r="D51" s="17"/>
      <c r="E51" s="17"/>
    </row>
    <row r="52" spans="1:10">
      <c r="B52" s="17"/>
      <c r="C52" s="17"/>
      <c r="D52" s="17"/>
      <c r="E52" s="17"/>
    </row>
    <row r="53" spans="1:10">
      <c r="B53" s="17"/>
      <c r="C53" s="17"/>
      <c r="D53" s="17"/>
      <c r="E53" s="17"/>
    </row>
    <row r="54" spans="1:10">
      <c r="B54" s="17"/>
      <c r="C54" s="17"/>
      <c r="D54" s="17"/>
      <c r="E54" s="17"/>
    </row>
    <row r="55" spans="1:10">
      <c r="B55" s="17"/>
      <c r="C55" s="17"/>
      <c r="D55" s="17"/>
      <c r="E55" s="17"/>
    </row>
    <row r="56" spans="1:10">
      <c r="B56" s="17"/>
      <c r="C56" s="17"/>
      <c r="D56" s="17"/>
      <c r="E56" s="17"/>
    </row>
    <row r="57" spans="1:10">
      <c r="B57" s="17"/>
      <c r="C57" s="17"/>
      <c r="D57" s="17"/>
      <c r="E57" s="17"/>
    </row>
    <row r="58" spans="1:10">
      <c r="B58" s="17"/>
      <c r="C58" s="17"/>
      <c r="D58" s="17"/>
      <c r="E58" s="17"/>
    </row>
    <row r="114" spans="8:10">
      <c r="H114" s="14" t="s">
        <v>200</v>
      </c>
      <c r="I114" s="14">
        <f>+K183</f>
        <v>0</v>
      </c>
    </row>
    <row r="115" spans="8:10">
      <c r="I115" s="14">
        <f>+I114</f>
        <v>0</v>
      </c>
    </row>
    <row r="128" spans="8:10">
      <c r="I128" s="14">
        <f>+I6</f>
        <v>0</v>
      </c>
      <c r="J128" s="14">
        <f>+J6</f>
        <v>0</v>
      </c>
    </row>
    <row r="206" spans="9:10">
      <c r="I206" s="14">
        <f>I6</f>
        <v>0</v>
      </c>
      <c r="J206" s="14">
        <f>+J6</f>
        <v>0</v>
      </c>
    </row>
  </sheetData>
  <mergeCells count="4">
    <mergeCell ref="D6:H6"/>
    <mergeCell ref="D26:H26"/>
    <mergeCell ref="A3:J3"/>
    <mergeCell ref="A4:J4"/>
  </mergeCells>
  <phoneticPr fontId="20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R120"/>
  <sheetViews>
    <sheetView workbookViewId="0">
      <selection activeCell="I29" sqref="I29"/>
    </sheetView>
  </sheetViews>
  <sheetFormatPr defaultColWidth="8.5546875" defaultRowHeight="11.25"/>
  <cols>
    <col min="1" max="1" width="3.88671875" style="244" customWidth="1"/>
    <col min="2" max="2" width="18.44140625" style="244" customWidth="1"/>
    <col min="3" max="3" width="11.88671875" style="244" customWidth="1"/>
    <col min="4" max="4" width="10.109375" style="244" customWidth="1"/>
    <col min="5" max="5" width="0.88671875" style="244" customWidth="1"/>
    <col min="6" max="6" width="10.109375" style="244" customWidth="1"/>
    <col min="7" max="7" width="8.5546875" style="244" customWidth="1"/>
    <col min="8" max="8" width="8" style="244" customWidth="1"/>
    <col min="9" max="10" width="8.5546875" style="244"/>
    <col min="11" max="11" width="9.33203125" style="244" bestFit="1" customWidth="1"/>
    <col min="12" max="12" width="8.5546875" style="244"/>
    <col min="13" max="13" width="11.88671875" style="244" customWidth="1"/>
    <col min="14" max="16384" width="8.5546875" style="244"/>
  </cols>
  <sheetData>
    <row r="1" spans="1:14" ht="12.75">
      <c r="C1" s="245"/>
      <c r="H1" s="246" t="str">
        <f>'CU AC Rate Design - True-Up'!H1</f>
        <v>Date: May 31, 2024</v>
      </c>
      <c r="J1" s="247"/>
    </row>
    <row r="2" spans="1:14">
      <c r="C2" s="248"/>
      <c r="D2" s="248"/>
      <c r="H2" s="246" t="s">
        <v>459</v>
      </c>
    </row>
    <row r="3" spans="1:14" ht="12.75">
      <c r="B3" s="282"/>
      <c r="C3" s="282"/>
      <c r="D3" s="282"/>
      <c r="E3" s="282"/>
      <c r="F3" s="282"/>
      <c r="G3" s="282"/>
      <c r="H3" s="282"/>
      <c r="J3" s="247"/>
    </row>
    <row r="4" spans="1:14" ht="12.75">
      <c r="B4" s="249"/>
      <c r="C4" s="245"/>
    </row>
    <row r="5" spans="1:14" ht="12" customHeight="1">
      <c r="B5" s="123"/>
    </row>
    <row r="8" spans="1:14" ht="13.5" customHeight="1">
      <c r="A8" s="250" t="s">
        <v>196</v>
      </c>
      <c r="D8" s="250" t="s">
        <v>300</v>
      </c>
      <c r="F8" s="250" t="s">
        <v>248</v>
      </c>
      <c r="G8" s="250"/>
      <c r="H8" s="250" t="s">
        <v>301</v>
      </c>
    </row>
    <row r="9" spans="1:14" ht="13.5" customHeight="1">
      <c r="A9" s="251" t="s">
        <v>197</v>
      </c>
      <c r="B9" s="252" t="s">
        <v>322</v>
      </c>
      <c r="C9" s="251" t="s">
        <v>302</v>
      </c>
      <c r="D9" s="251" t="s">
        <v>198</v>
      </c>
      <c r="F9" s="251" t="s">
        <v>303</v>
      </c>
      <c r="G9" s="251" t="s">
        <v>199</v>
      </c>
      <c r="H9" s="251" t="s">
        <v>198</v>
      </c>
    </row>
    <row r="10" spans="1:14" ht="13.5" customHeight="1">
      <c r="G10" s="253"/>
      <c r="N10" s="111"/>
    </row>
    <row r="11" spans="1:14">
      <c r="A11" s="250">
        <v>1</v>
      </c>
      <c r="B11" s="244" t="s">
        <v>460</v>
      </c>
      <c r="C11" s="244" t="s">
        <v>397</v>
      </c>
      <c r="D11" s="18">
        <f>154057+736910+256629+280097+639603+258-18544+135015</f>
        <v>2184025</v>
      </c>
      <c r="F11" s="250" t="s">
        <v>387</v>
      </c>
      <c r="G11" s="253">
        <v>1</v>
      </c>
      <c r="H11" s="18">
        <f>D11*G11</f>
        <v>2184025</v>
      </c>
      <c r="J11" s="18"/>
      <c r="M11" s="111"/>
      <c r="N11" s="111"/>
    </row>
    <row r="12" spans="1:14">
      <c r="A12" s="250">
        <f>+A11+1</f>
        <v>2</v>
      </c>
      <c r="B12" s="244" t="s">
        <v>65</v>
      </c>
      <c r="C12" s="244" t="s">
        <v>399</v>
      </c>
      <c r="D12" s="18">
        <v>258</v>
      </c>
      <c r="F12" s="250" t="s">
        <v>387</v>
      </c>
      <c r="G12" s="253">
        <f>+G11</f>
        <v>1</v>
      </c>
      <c r="H12" s="18">
        <f>D12*G12</f>
        <v>258</v>
      </c>
      <c r="J12" s="18"/>
      <c r="M12" s="111"/>
      <c r="N12" s="111"/>
    </row>
    <row r="13" spans="1:14">
      <c r="A13" s="250">
        <f t="shared" ref="A13:A34" si="0">+A12+1</f>
        <v>3</v>
      </c>
      <c r="B13" s="244" t="s">
        <v>66</v>
      </c>
      <c r="C13" s="244" t="s">
        <v>400</v>
      </c>
      <c r="D13" s="18">
        <v>-18544</v>
      </c>
      <c r="F13" s="250" t="s">
        <v>387</v>
      </c>
      <c r="G13" s="253">
        <f>+G12</f>
        <v>1</v>
      </c>
      <c r="H13" s="18">
        <f>D13*G13</f>
        <v>-18544</v>
      </c>
      <c r="J13" s="18"/>
      <c r="K13" s="85"/>
      <c r="M13" s="111"/>
      <c r="N13" s="111"/>
    </row>
    <row r="14" spans="1:14" ht="12" thickBot="1">
      <c r="A14" s="250">
        <f t="shared" si="0"/>
        <v>4</v>
      </c>
      <c r="B14" s="254" t="s">
        <v>325</v>
      </c>
      <c r="C14" s="248"/>
      <c r="D14" s="255">
        <f>+D11-D12-D13</f>
        <v>2202311</v>
      </c>
      <c r="H14" s="256">
        <f>+H11-H12-H13</f>
        <v>2202311</v>
      </c>
      <c r="M14" s="111"/>
      <c r="N14" s="111"/>
    </row>
    <row r="15" spans="1:14">
      <c r="A15" s="250">
        <f t="shared" si="0"/>
        <v>5</v>
      </c>
      <c r="M15" s="111"/>
      <c r="N15" s="111"/>
    </row>
    <row r="16" spans="1:14">
      <c r="A16" s="250">
        <f t="shared" si="0"/>
        <v>6</v>
      </c>
      <c r="B16" s="252" t="s">
        <v>461</v>
      </c>
      <c r="M16" s="111"/>
      <c r="N16" s="111"/>
    </row>
    <row r="17" spans="1:14">
      <c r="A17" s="250">
        <f t="shared" si="0"/>
        <v>7</v>
      </c>
      <c r="B17" s="244" t="s">
        <v>304</v>
      </c>
      <c r="C17" s="244" t="s">
        <v>398</v>
      </c>
      <c r="D17" s="18">
        <f>855648+180935+286633+965209+496+267640</f>
        <v>2556561</v>
      </c>
      <c r="F17" s="18"/>
      <c r="M17" s="257"/>
      <c r="N17" s="111"/>
    </row>
    <row r="18" spans="1:14">
      <c r="A18" s="250">
        <f t="shared" si="0"/>
        <v>8</v>
      </c>
      <c r="B18" s="244" t="s">
        <v>65</v>
      </c>
      <c r="C18" s="244" t="s">
        <v>67</v>
      </c>
      <c r="D18" s="18">
        <v>0</v>
      </c>
      <c r="F18" s="18"/>
      <c r="G18" s="258"/>
      <c r="N18" s="111"/>
    </row>
    <row r="19" spans="1:14">
      <c r="A19" s="250">
        <f t="shared" si="0"/>
        <v>9</v>
      </c>
      <c r="B19" s="244" t="s">
        <v>66</v>
      </c>
      <c r="C19" s="244" t="s">
        <v>68</v>
      </c>
      <c r="D19" s="18">
        <v>496</v>
      </c>
      <c r="F19" s="18"/>
      <c r="G19" s="258"/>
      <c r="N19" s="111"/>
    </row>
    <row r="20" spans="1:14" ht="12" thickBot="1">
      <c r="A20" s="250">
        <f t="shared" si="0"/>
        <v>10</v>
      </c>
      <c r="D20" s="255">
        <f>+D17-D18-D19</f>
        <v>2556065</v>
      </c>
      <c r="F20" s="258"/>
      <c r="G20" s="258"/>
      <c r="N20" s="111"/>
    </row>
    <row r="21" spans="1:14">
      <c r="A21" s="250">
        <f t="shared" si="0"/>
        <v>11</v>
      </c>
      <c r="D21" s="259"/>
      <c r="F21" s="258"/>
      <c r="G21" s="258"/>
    </row>
    <row r="22" spans="1:14">
      <c r="A22" s="250">
        <f t="shared" si="0"/>
        <v>12</v>
      </c>
      <c r="B22" s="244" t="str">
        <f>"True-up Amount to be (Refunded)/Paid (line "&amp;A20&amp;"-line "&amp;A14&amp;")"</f>
        <v>True-up Amount to be (Refunded)/Paid (line 10-line 4)</v>
      </c>
      <c r="D22" s="259">
        <f>D20-D14</f>
        <v>353754</v>
      </c>
      <c r="F22" s="258"/>
      <c r="G22" s="258"/>
    </row>
    <row r="23" spans="1:14">
      <c r="A23" s="250">
        <f t="shared" si="0"/>
        <v>13</v>
      </c>
      <c r="F23" s="258"/>
      <c r="G23" s="258"/>
    </row>
    <row r="24" spans="1:14">
      <c r="A24" s="250">
        <f t="shared" si="0"/>
        <v>14</v>
      </c>
    </row>
    <row r="25" spans="1:14">
      <c r="A25" s="250">
        <f t="shared" si="0"/>
        <v>15</v>
      </c>
      <c r="B25" s="260" t="s">
        <v>305</v>
      </c>
    </row>
    <row r="26" spans="1:14">
      <c r="A26" s="250">
        <f t="shared" si="0"/>
        <v>16</v>
      </c>
    </row>
    <row r="27" spans="1:14" ht="12.75">
      <c r="A27" s="250">
        <f t="shared" si="0"/>
        <v>17</v>
      </c>
      <c r="B27" s="244" t="s">
        <v>306</v>
      </c>
      <c r="D27" s="21">
        <f>D20</f>
        <v>2556065</v>
      </c>
    </row>
    <row r="28" spans="1:14" ht="12.75">
      <c r="A28" s="250">
        <f t="shared" si="0"/>
        <v>18</v>
      </c>
      <c r="B28" s="261" t="s">
        <v>307</v>
      </c>
      <c r="D28" s="262">
        <f>'WP7 CU AC LOADS'!J24*1000</f>
        <v>966972.16666666651</v>
      </c>
      <c r="F28" s="263" t="s">
        <v>308</v>
      </c>
      <c r="G28" s="244" t="s">
        <v>479</v>
      </c>
    </row>
    <row r="29" spans="1:14" ht="12">
      <c r="A29" s="250">
        <f t="shared" si="0"/>
        <v>19</v>
      </c>
      <c r="F29" s="263"/>
    </row>
    <row r="30" spans="1:14" ht="12.75">
      <c r="A30" s="250">
        <f t="shared" si="0"/>
        <v>20</v>
      </c>
      <c r="B30" s="246" t="s">
        <v>309</v>
      </c>
      <c r="D30" s="22">
        <f>D27/D28</f>
        <v>2.6433697764137647</v>
      </c>
      <c r="E30" s="244" t="s">
        <v>310</v>
      </c>
      <c r="F30" s="264" t="s">
        <v>311</v>
      </c>
      <c r="G30" s="244" t="s">
        <v>14</v>
      </c>
    </row>
    <row r="31" spans="1:14" ht="12.75">
      <c r="A31" s="250">
        <f t="shared" si="0"/>
        <v>21</v>
      </c>
      <c r="B31" s="246" t="s">
        <v>312</v>
      </c>
      <c r="D31" s="22">
        <f>D30/12</f>
        <v>0.22028081470114705</v>
      </c>
      <c r="E31" s="244" t="s">
        <v>310</v>
      </c>
      <c r="F31" s="264" t="s">
        <v>313</v>
      </c>
      <c r="G31" s="244" t="s">
        <v>15</v>
      </c>
    </row>
    <row r="32" spans="1:14" ht="12.75">
      <c r="A32" s="250">
        <f t="shared" si="0"/>
        <v>22</v>
      </c>
      <c r="B32" s="246" t="s">
        <v>314</v>
      </c>
      <c r="D32" s="22">
        <f>D30/52</f>
        <v>5.0834034161803168E-2</v>
      </c>
      <c r="E32" s="244" t="s">
        <v>310</v>
      </c>
      <c r="F32" s="264" t="s">
        <v>315</v>
      </c>
      <c r="G32" s="244" t="s">
        <v>16</v>
      </c>
    </row>
    <row r="33" spans="1:8" ht="12.75">
      <c r="A33" s="250">
        <f t="shared" si="0"/>
        <v>23</v>
      </c>
      <c r="B33" s="246" t="s">
        <v>316</v>
      </c>
      <c r="C33" s="250" t="s">
        <v>323</v>
      </c>
      <c r="D33" s="22">
        <f>D30/365</f>
        <v>7.2421089764760672E-3</v>
      </c>
      <c r="E33" s="244" t="s">
        <v>310</v>
      </c>
      <c r="F33" s="264" t="s">
        <v>317</v>
      </c>
      <c r="G33" s="244" t="s">
        <v>17</v>
      </c>
    </row>
    <row r="34" spans="1:8" ht="12.75">
      <c r="A34" s="250">
        <f t="shared" si="0"/>
        <v>24</v>
      </c>
      <c r="B34" s="246" t="s">
        <v>318</v>
      </c>
      <c r="C34" s="250" t="s">
        <v>324</v>
      </c>
      <c r="D34" s="22">
        <f>(D30/8760)*1000</f>
        <v>0.30175454068650281</v>
      </c>
      <c r="E34" s="244" t="s">
        <v>310</v>
      </c>
      <c r="F34" s="264" t="s">
        <v>319</v>
      </c>
      <c r="G34" s="244" t="s">
        <v>18</v>
      </c>
    </row>
    <row r="35" spans="1:8">
      <c r="B35" s="246"/>
    </row>
    <row r="42" spans="1:8" ht="10.5" customHeight="1"/>
    <row r="46" spans="1:8" ht="15.75">
      <c r="H46" s="265"/>
    </row>
    <row r="47" spans="1:8" ht="15">
      <c r="H47" s="266"/>
    </row>
    <row r="48" spans="1:8">
      <c r="H48" s="244" t="s">
        <v>194</v>
      </c>
    </row>
    <row r="52" spans="1:9" ht="14.25">
      <c r="C52" s="267"/>
    </row>
    <row r="53" spans="1:9" ht="14.25">
      <c r="C53" s="267"/>
    </row>
    <row r="54" spans="1:9" ht="14.25">
      <c r="C54" s="268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269"/>
      <c r="O92" s="269"/>
      <c r="P92" s="269"/>
      <c r="Q92" s="269"/>
      <c r="R92" s="269"/>
    </row>
    <row r="93" spans="1:18" ht="15">
      <c r="A93"/>
      <c r="B93"/>
      <c r="C93"/>
      <c r="D93"/>
      <c r="E93"/>
      <c r="F93"/>
      <c r="G93"/>
      <c r="H93"/>
      <c r="I93"/>
      <c r="J93" s="269"/>
    </row>
    <row r="94" spans="1:18" ht="15">
      <c r="A94"/>
      <c r="B94"/>
      <c r="C94"/>
      <c r="D94"/>
      <c r="E94"/>
      <c r="F94"/>
      <c r="G94"/>
      <c r="H94"/>
      <c r="I94"/>
      <c r="M94" s="269"/>
      <c r="O94" s="269"/>
      <c r="P94" s="269"/>
      <c r="Q94" s="269"/>
      <c r="R94" s="269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44" t="s">
        <v>200</v>
      </c>
      <c r="H119" s="244">
        <f>+J188</f>
        <v>0</v>
      </c>
    </row>
    <row r="120" spans="7:8">
      <c r="H120" s="244">
        <f>+H119</f>
        <v>0</v>
      </c>
    </row>
  </sheetData>
  <mergeCells count="1">
    <mergeCell ref="B3:H3"/>
  </mergeCells>
  <phoneticPr fontId="20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Mack, Lori</cp:lastModifiedBy>
  <cp:lastPrinted>2024-04-09T17:40:06Z</cp:lastPrinted>
  <dcterms:created xsi:type="dcterms:W3CDTF">1997-04-03T19:40:56Z</dcterms:created>
  <dcterms:modified xsi:type="dcterms:W3CDTF">2024-06-03T20:03:17Z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