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HSC\BHC\Rates\BHE BHP\FERC\Common Use System\2022 CUS Filing (2023 rate)\True Up\Files to OASIS\"/>
    </mc:Choice>
  </mc:AlternateContent>
  <xr:revisionPtr revIDLastSave="0" documentId="8_{C81BFF21-049F-4617-BC2B-0E47A6E3AF5E}" xr6:coauthVersionLast="47" xr6:coauthVersionMax="47" xr10:uidLastSave="{00000000-0000-0000-0000-000000000000}"/>
  <bookViews>
    <workbookView xWindow="-28920" yWindow="1740" windowWidth="29040" windowHeight="15720" tabRatio="754"/>
  </bookViews>
  <sheets>
    <sheet name="Under-Over Recovery" sheetId="22" r:id="rId1"/>
    <sheet name="Rate - Summary" sheetId="17" r:id="rId2"/>
    <sheet name="Sch. 2 - BHP" sheetId="14" r:id="rId3"/>
    <sheet name="Sch. 2 - Gillette" sheetId="13" r:id="rId4"/>
    <sheet name="Sch. 2 - CLFP" sheetId="16" r:id="rId5"/>
    <sheet name="Sch. 2 - BHW" sheetId="15" r:id="rId6"/>
    <sheet name="Sch. 2 - Basin" sheetId="20" r:id="rId7"/>
    <sheet name="Sch. 2 - WMPA" sheetId="21" r:id="rId8"/>
    <sheet name="Sch. 2 - Total" sheetId="2" r:id="rId9"/>
    <sheet name="CUS AC LOADS" sheetId="5" r:id="rId10"/>
  </sheets>
  <definedNames>
    <definedName name="_xlnm.Print_Area" localSheetId="9">'CUS AC LOADS'!$A$1:$J$69</definedName>
    <definedName name="_xlnm.Print_Area" localSheetId="1">'Rate - Summary'!$A$1:$J$54</definedName>
    <definedName name="_xlnm.Print_Area" localSheetId="6">'Sch. 2 - Basin'!$A$1:$K$31</definedName>
    <definedName name="_xlnm.Print_Area" localSheetId="2">'Sch. 2 - BHP'!$A$1:$K$31</definedName>
    <definedName name="_xlnm.Print_Area" localSheetId="5">'Sch. 2 - BHW'!$A$1:$K$31</definedName>
    <definedName name="_xlnm.Print_Area" localSheetId="4">'Sch. 2 - CLFP'!$A$1:$K$31</definedName>
    <definedName name="_xlnm.Print_Area" localSheetId="3">'Sch. 2 - Gillette'!$A$1:$K$31</definedName>
    <definedName name="_xlnm.Print_Area" localSheetId="8">'Sch. 2 - Total'!$A$1:$K$31</definedName>
    <definedName name="_xlnm.Print_Area" localSheetId="7">'Sch. 2 - WMPA'!$A$1:$K$31</definedName>
    <definedName name="_xlnm.Print_Area" localSheetId="0">'Under-Over Recovery'!$A$1:$J$70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7" l="1"/>
  <c r="E51" i="17"/>
  <c r="F51" i="17"/>
  <c r="G51" i="17"/>
  <c r="H51" i="17"/>
  <c r="I51" i="17"/>
  <c r="C51" i="17"/>
  <c r="C33" i="17"/>
  <c r="D33" i="17"/>
  <c r="E33" i="17"/>
  <c r="F33" i="17"/>
  <c r="G33" i="17"/>
  <c r="H33" i="17"/>
  <c r="I33" i="17"/>
  <c r="I39" i="17"/>
  <c r="C34" i="17"/>
  <c r="D34" i="17"/>
  <c r="D39" i="17"/>
  <c r="E34" i="17"/>
  <c r="E39" i="17"/>
  <c r="F34" i="17"/>
  <c r="G34" i="17"/>
  <c r="H34" i="17"/>
  <c r="I34" i="17"/>
  <c r="C35" i="17"/>
  <c r="D35" i="17"/>
  <c r="E35" i="17"/>
  <c r="F35" i="17"/>
  <c r="G35" i="17"/>
  <c r="H35" i="17"/>
  <c r="I35" i="17"/>
  <c r="C36" i="17"/>
  <c r="C39" i="17"/>
  <c r="D36" i="17"/>
  <c r="E36" i="17"/>
  <c r="F36" i="17"/>
  <c r="G36" i="17"/>
  <c r="H36" i="17"/>
  <c r="I36" i="17"/>
  <c r="C37" i="17"/>
  <c r="D37" i="17"/>
  <c r="E37" i="17"/>
  <c r="F37" i="17"/>
  <c r="G37" i="17"/>
  <c r="H37" i="17"/>
  <c r="H39" i="17"/>
  <c r="I37" i="17"/>
  <c r="C38" i="17"/>
  <c r="D38" i="17"/>
  <c r="E38" i="17"/>
  <c r="F38" i="17"/>
  <c r="G38" i="17"/>
  <c r="H38" i="17"/>
  <c r="I38" i="17"/>
  <c r="F39" i="17"/>
  <c r="G39" i="17"/>
  <c r="F55" i="22"/>
  <c r="F56" i="22"/>
  <c r="F57" i="22"/>
  <c r="F58" i="22"/>
  <c r="F59" i="22"/>
  <c r="F60" i="22"/>
  <c r="F61" i="22"/>
  <c r="F62" i="22"/>
  <c r="F63" i="22"/>
  <c r="F64" i="22"/>
  <c r="F65" i="22"/>
  <c r="F66" i="22"/>
  <c r="F67" i="22"/>
  <c r="F68" i="22"/>
  <c r="F69" i="22"/>
  <c r="I45" i="5"/>
  <c r="H45" i="5"/>
  <c r="G45" i="5"/>
  <c r="F45" i="5"/>
  <c r="E45" i="5"/>
  <c r="D45" i="5"/>
  <c r="J33" i="5"/>
  <c r="J34" i="5"/>
  <c r="J35" i="5"/>
  <c r="J36" i="5"/>
  <c r="J37" i="5"/>
  <c r="J38" i="5"/>
  <c r="J39" i="5"/>
  <c r="J40" i="5"/>
  <c r="J41" i="5"/>
  <c r="J42" i="5"/>
  <c r="J43" i="5"/>
  <c r="J32" i="5"/>
  <c r="J12" i="5"/>
  <c r="J13" i="5"/>
  <c r="J14" i="5"/>
  <c r="J56" i="5"/>
  <c r="J15" i="5"/>
  <c r="J57" i="5"/>
  <c r="J16" i="5"/>
  <c r="J58" i="5"/>
  <c r="J17" i="5"/>
  <c r="J59" i="5"/>
  <c r="J18" i="5"/>
  <c r="J19" i="5"/>
  <c r="J61" i="5"/>
  <c r="J20" i="5"/>
  <c r="J62" i="5"/>
  <c r="J21" i="5"/>
  <c r="J63" i="5"/>
  <c r="J22" i="5"/>
  <c r="J11" i="5"/>
  <c r="B16" i="22"/>
  <c r="E24" i="5"/>
  <c r="F24" i="5"/>
  <c r="G24" i="5"/>
  <c r="H24" i="5"/>
  <c r="I24" i="5"/>
  <c r="D24" i="5"/>
  <c r="B23" i="22"/>
  <c r="B30" i="22"/>
  <c r="B37" i="22"/>
  <c r="B44" i="22"/>
  <c r="H15" i="2"/>
  <c r="J43" i="22"/>
  <c r="H14" i="2"/>
  <c r="H14" i="15"/>
  <c r="H13" i="2"/>
  <c r="J29" i="22"/>
  <c r="J31" i="22"/>
  <c r="H12" i="2"/>
  <c r="J22" i="22"/>
  <c r="J24" i="22"/>
  <c r="H11" i="2"/>
  <c r="H11" i="21"/>
  <c r="H10" i="2"/>
  <c r="H10" i="15"/>
  <c r="I62" i="5"/>
  <c r="I63" i="5"/>
  <c r="I64" i="5"/>
  <c r="H62" i="5"/>
  <c r="H63" i="5"/>
  <c r="H64" i="5"/>
  <c r="G62" i="5"/>
  <c r="G63" i="5"/>
  <c r="G64" i="5"/>
  <c r="F62" i="5"/>
  <c r="F63" i="5"/>
  <c r="F64" i="5"/>
  <c r="E62" i="5"/>
  <c r="E63" i="5"/>
  <c r="E64" i="5"/>
  <c r="D62" i="5"/>
  <c r="D63" i="5"/>
  <c r="D64" i="5"/>
  <c r="M44" i="22"/>
  <c r="M45" i="22"/>
  <c r="J2" i="5"/>
  <c r="J1" i="5"/>
  <c r="K3" i="2"/>
  <c r="K2" i="2"/>
  <c r="K3" i="21"/>
  <c r="K2" i="21"/>
  <c r="K3" i="20"/>
  <c r="K2" i="20"/>
  <c r="K3" i="15"/>
  <c r="K2" i="15"/>
  <c r="K3" i="16"/>
  <c r="K2" i="16"/>
  <c r="K3" i="13"/>
  <c r="K2" i="13"/>
  <c r="K3" i="14"/>
  <c r="K2" i="14"/>
  <c r="J3" i="17"/>
  <c r="J2" i="17"/>
  <c r="I70" i="22"/>
  <c r="J32" i="22"/>
  <c r="H13" i="15"/>
  <c r="H17" i="15"/>
  <c r="H12" i="20"/>
  <c r="H11" i="16"/>
  <c r="B47" i="22"/>
  <c r="B40" i="22"/>
  <c r="B33" i="22"/>
  <c r="B26" i="22"/>
  <c r="B19" i="22"/>
  <c r="I31" i="2"/>
  <c r="I30" i="2"/>
  <c r="I28" i="2"/>
  <c r="I27" i="2"/>
  <c r="I25" i="2"/>
  <c r="I23" i="2"/>
  <c r="I21" i="2"/>
  <c r="I31" i="21"/>
  <c r="I30" i="21"/>
  <c r="I28" i="21"/>
  <c r="I27" i="21"/>
  <c r="I25" i="21"/>
  <c r="I23" i="21"/>
  <c r="I21" i="21"/>
  <c r="I31" i="20"/>
  <c r="I30" i="20"/>
  <c r="I28" i="20"/>
  <c r="I27" i="20"/>
  <c r="I25" i="20"/>
  <c r="I23" i="20"/>
  <c r="I21" i="20"/>
  <c r="I31" i="15"/>
  <c r="I30" i="15"/>
  <c r="I28" i="15"/>
  <c r="I27" i="15"/>
  <c r="I25" i="15"/>
  <c r="I23" i="15"/>
  <c r="I21" i="15"/>
  <c r="I31" i="16"/>
  <c r="I30" i="16"/>
  <c r="I28" i="16"/>
  <c r="I27" i="16"/>
  <c r="I25" i="16"/>
  <c r="I23" i="16"/>
  <c r="I21" i="16"/>
  <c r="I31" i="13"/>
  <c r="I30" i="13"/>
  <c r="I28" i="13"/>
  <c r="I27" i="13"/>
  <c r="I25" i="13"/>
  <c r="I23" i="13"/>
  <c r="I21" i="13"/>
  <c r="H10" i="21"/>
  <c r="H12" i="16"/>
  <c r="H17" i="16"/>
  <c r="H12" i="13"/>
  <c r="H14" i="14"/>
  <c r="A31" i="17"/>
  <c r="A32" i="17"/>
  <c r="A33" i="17"/>
  <c r="A34" i="17"/>
  <c r="A35" i="17"/>
  <c r="A36" i="17"/>
  <c r="A37" i="17"/>
  <c r="A38" i="17"/>
  <c r="A39" i="17"/>
  <c r="A40" i="17"/>
  <c r="A43" i="17"/>
  <c r="A44" i="17"/>
  <c r="A45" i="17"/>
  <c r="A46" i="17"/>
  <c r="A47" i="17"/>
  <c r="A48" i="17"/>
  <c r="A49" i="17"/>
  <c r="A50" i="17"/>
  <c r="A51" i="17"/>
  <c r="A52" i="17"/>
  <c r="A22" i="17"/>
  <c r="A23" i="17"/>
  <c r="A24" i="17"/>
  <c r="A25" i="17"/>
  <c r="A26" i="17"/>
  <c r="A27" i="17"/>
  <c r="A28" i="17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B19" i="2"/>
  <c r="B19" i="21"/>
  <c r="B19" i="20"/>
  <c r="B19" i="15"/>
  <c r="B19" i="16"/>
  <c r="B19" i="13"/>
  <c r="A17" i="13"/>
  <c r="A19" i="13"/>
  <c r="A21" i="13"/>
  <c r="A23" i="13"/>
  <c r="A25" i="13"/>
  <c r="A27" i="13"/>
  <c r="A28" i="13"/>
  <c r="A30" i="13"/>
  <c r="A31" i="13"/>
  <c r="A11" i="14"/>
  <c r="A12" i="14"/>
  <c r="A13" i="14"/>
  <c r="A19" i="14"/>
  <c r="A21" i="14"/>
  <c r="A23" i="14"/>
  <c r="A25" i="14"/>
  <c r="A27" i="14"/>
  <c r="A28" i="14"/>
  <c r="A30" i="14"/>
  <c r="A31" i="14"/>
  <c r="I61" i="5"/>
  <c r="I60" i="5"/>
  <c r="I59" i="5"/>
  <c r="I58" i="5"/>
  <c r="I57" i="5"/>
  <c r="I56" i="5"/>
  <c r="I55" i="5"/>
  <c r="I54" i="5"/>
  <c r="I53" i="5"/>
  <c r="H61" i="5"/>
  <c r="H60" i="5"/>
  <c r="H59" i="5"/>
  <c r="H58" i="5"/>
  <c r="H57" i="5"/>
  <c r="H56" i="5"/>
  <c r="H55" i="5"/>
  <c r="H54" i="5"/>
  <c r="H53" i="5"/>
  <c r="G61" i="5"/>
  <c r="G60" i="5"/>
  <c r="G59" i="5"/>
  <c r="G58" i="5"/>
  <c r="G57" i="5"/>
  <c r="G56" i="5"/>
  <c r="G55" i="5"/>
  <c r="G54" i="5"/>
  <c r="G53" i="5"/>
  <c r="F61" i="5"/>
  <c r="F60" i="5"/>
  <c r="F59" i="5"/>
  <c r="F58" i="5"/>
  <c r="F57" i="5"/>
  <c r="F56" i="5"/>
  <c r="F55" i="5"/>
  <c r="F54" i="5"/>
  <c r="F53" i="5"/>
  <c r="E61" i="5"/>
  <c r="E60" i="5"/>
  <c r="E59" i="5"/>
  <c r="E58" i="5"/>
  <c r="E57" i="5"/>
  <c r="E56" i="5"/>
  <c r="E55" i="5"/>
  <c r="E54" i="5"/>
  <c r="E53" i="5"/>
  <c r="D55" i="5"/>
  <c r="D56" i="5"/>
  <c r="D57" i="5"/>
  <c r="D58" i="5"/>
  <c r="D59" i="5"/>
  <c r="D60" i="5"/>
  <c r="D61" i="5"/>
  <c r="D54" i="5"/>
  <c r="D53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H13" i="14"/>
  <c r="H13" i="13"/>
  <c r="H13" i="16"/>
  <c r="H13" i="20"/>
  <c r="H13" i="21"/>
  <c r="H10" i="14"/>
  <c r="H17" i="14"/>
  <c r="H15" i="20"/>
  <c r="H15" i="16"/>
  <c r="H12" i="14"/>
  <c r="H12" i="21"/>
  <c r="H17" i="2"/>
  <c r="H10" i="13"/>
  <c r="J64" i="5"/>
  <c r="J53" i="5"/>
  <c r="J15" i="22"/>
  <c r="J17" i="22"/>
  <c r="J45" i="22"/>
  <c r="H10" i="20"/>
  <c r="H15" i="14"/>
  <c r="H14" i="20"/>
  <c r="H17" i="20"/>
  <c r="J8" i="22"/>
  <c r="J10" i="22"/>
  <c r="H11" i="20"/>
  <c r="H11" i="13"/>
  <c r="H17" i="13"/>
  <c r="H11" i="14"/>
  <c r="J36" i="22"/>
  <c r="J38" i="22"/>
  <c r="H15" i="15"/>
  <c r="H14" i="13"/>
  <c r="H12" i="15"/>
  <c r="H15" i="13"/>
  <c r="H11" i="15"/>
  <c r="H10" i="16"/>
  <c r="H14" i="21"/>
  <c r="H15" i="21"/>
  <c r="H17" i="21"/>
  <c r="H14" i="16"/>
  <c r="M43" i="22"/>
  <c r="J45" i="5"/>
  <c r="D52" i="17"/>
  <c r="J55" i="5"/>
  <c r="J54" i="5"/>
  <c r="G66" i="5"/>
  <c r="E66" i="5"/>
  <c r="F66" i="5"/>
  <c r="J24" i="5"/>
  <c r="H19" i="20"/>
  <c r="H21" i="20"/>
  <c r="D66" i="5"/>
  <c r="H66" i="5"/>
  <c r="I66" i="5"/>
  <c r="D40" i="17"/>
  <c r="H19" i="16"/>
  <c r="H21" i="16"/>
  <c r="H19" i="13"/>
  <c r="H21" i="13"/>
  <c r="H19" i="14"/>
  <c r="H21" i="14"/>
  <c r="H19" i="21"/>
  <c r="H21" i="21"/>
  <c r="J60" i="5"/>
  <c r="J66" i="5"/>
  <c r="J46" i="22"/>
  <c r="J11" i="22"/>
  <c r="J39" i="22"/>
  <c r="J25" i="22"/>
  <c r="J26" i="22"/>
  <c r="J12" i="22"/>
  <c r="J33" i="22"/>
  <c r="J18" i="22"/>
  <c r="J19" i="22"/>
  <c r="J40" i="22"/>
  <c r="J47" i="22"/>
  <c r="H19" i="15"/>
  <c r="H21" i="15"/>
  <c r="H19" i="2"/>
  <c r="H21" i="2"/>
  <c r="H27" i="13"/>
  <c r="H30" i="13"/>
  <c r="H25" i="13"/>
  <c r="H31" i="13"/>
  <c r="H28" i="13"/>
  <c r="H23" i="13"/>
  <c r="H30" i="15"/>
  <c r="H28" i="15"/>
  <c r="H25" i="15"/>
  <c r="H23" i="15"/>
  <c r="H27" i="15"/>
  <c r="H31" i="15"/>
  <c r="H23" i="2"/>
  <c r="H30" i="2"/>
  <c r="H27" i="2"/>
  <c r="H31" i="2"/>
  <c r="H25" i="2"/>
  <c r="H28" i="2"/>
  <c r="H31" i="16"/>
  <c r="H28" i="16"/>
  <c r="H27" i="16"/>
  <c r="H30" i="16"/>
  <c r="H25" i="16"/>
  <c r="H23" i="16"/>
  <c r="H30" i="20"/>
  <c r="H23" i="20"/>
  <c r="H28" i="20"/>
  <c r="H27" i="20"/>
  <c r="H31" i="20"/>
  <c r="H25" i="20"/>
  <c r="H25" i="21"/>
  <c r="H30" i="21"/>
  <c r="H31" i="21"/>
  <c r="H28" i="21"/>
  <c r="H27" i="21"/>
  <c r="H23" i="21"/>
  <c r="H25" i="14"/>
  <c r="H30" i="14"/>
  <c r="H31" i="14"/>
  <c r="H27" i="14"/>
  <c r="H28" i="14"/>
  <c r="H23" i="14"/>
</calcChain>
</file>

<file path=xl/sharedStrings.xml><?xml version="1.0" encoding="utf-8"?>
<sst xmlns="http://schemas.openxmlformats.org/spreadsheetml/2006/main" count="408" uniqueCount="134">
  <si>
    <t xml:space="preserve">Ancillary Services, Schedule No. 2 - </t>
  </si>
  <si>
    <t>REACTIVE SUPPLY AND VOLTAGE CONTROL FROM</t>
  </si>
  <si>
    <t>GENERATION SOURCE SERVICES</t>
  </si>
  <si>
    <t>Total Revenue Requirement for Reactive Power</t>
  </si>
  <si>
    <t>TOTAL</t>
  </si>
  <si>
    <t>Annual Reactive Power Charges</t>
  </si>
  <si>
    <t>BHP</t>
  </si>
  <si>
    <t>Common Use AC Facilities</t>
  </si>
  <si>
    <t>BASIN</t>
  </si>
  <si>
    <t>SD</t>
  </si>
  <si>
    <t xml:space="preserve">CITY OF </t>
  </si>
  <si>
    <t>WEST</t>
  </si>
  <si>
    <t>GILLETTE</t>
  </si>
  <si>
    <t>LOAD</t>
  </si>
  <si>
    <t>COMMON USE</t>
  </si>
  <si>
    <t>AC LOAD</t>
  </si>
  <si>
    <t>ANNUAL AVERAGE MW</t>
  </si>
  <si>
    <t>FIRM</t>
  </si>
  <si>
    <t>POINT TO POINT</t>
  </si>
  <si>
    <t>August</t>
  </si>
  <si>
    <t>October</t>
  </si>
  <si>
    <t>November</t>
  </si>
  <si>
    <t>January</t>
  </si>
  <si>
    <t>February</t>
  </si>
  <si>
    <t>March</t>
  </si>
  <si>
    <t>July</t>
  </si>
  <si>
    <t>September</t>
  </si>
  <si>
    <t>December</t>
  </si>
  <si>
    <t>April</t>
  </si>
  <si>
    <t>May</t>
  </si>
  <si>
    <t>June</t>
  </si>
  <si>
    <t>Line</t>
  </si>
  <si>
    <t>No.</t>
  </si>
  <si>
    <t>Joint Tariff Rates</t>
  </si>
  <si>
    <t>Common Use System AC Facilities</t>
  </si>
  <si>
    <t>6 days * 16 hours * 52 weeks</t>
  </si>
  <si>
    <t xml:space="preserve">365 days </t>
  </si>
  <si>
    <t>CHEYENNE</t>
  </si>
  <si>
    <t>LIGHT CUS</t>
  </si>
  <si>
    <t>Service</t>
  </si>
  <si>
    <t>Hourly ($/kW Hour)</t>
  </si>
  <si>
    <t>Daily ($/kW Day)</t>
  </si>
  <si>
    <t>Weekly ($/kW Week)</t>
  </si>
  <si>
    <t>Monthly ($/kW Month)</t>
  </si>
  <si>
    <t>On-Peak</t>
  </si>
  <si>
    <t>Off-Peak</t>
  </si>
  <si>
    <t>BHP Charge</t>
  </si>
  <si>
    <t>Gillette Charge</t>
  </si>
  <si>
    <t>CLFP Charge</t>
  </si>
  <si>
    <t>Total Charge</t>
  </si>
  <si>
    <t>Gillette Revenue Requirement</t>
  </si>
  <si>
    <t>Settlement agreement January 14, 2011, paragraph 8</t>
  </si>
  <si>
    <t>Black Hills Wyoming Revenue Requirement</t>
  </si>
  <si>
    <t>Cheyenne Light Revenue Requirement</t>
  </si>
  <si>
    <t>BHW FERC application dated August 25, 2009 (see Page 3)</t>
  </si>
  <si>
    <t>CLFP FERC application dated May 22, 2009 (see Page 2)</t>
  </si>
  <si>
    <t>Gillette</t>
  </si>
  <si>
    <t>Black Hills Power</t>
  </si>
  <si>
    <t>Cheyenne Light</t>
  </si>
  <si>
    <t>Black Hills Wyoming</t>
  </si>
  <si>
    <t>Black Hills Power Revenue Requirement</t>
  </si>
  <si>
    <t>BHP Schedule 2 Tariff:</t>
  </si>
  <si>
    <t>Basin Revenue Requirement</t>
  </si>
  <si>
    <t>WMPA Revenue Requirement</t>
  </si>
  <si>
    <t>Common Use System AC Facilities Ln.17</t>
  </si>
  <si>
    <t>Basin</t>
  </si>
  <si>
    <t>WMPA</t>
  </si>
  <si>
    <t>Basin Charge</t>
  </si>
  <si>
    <t>WMPA Charge</t>
  </si>
  <si>
    <t>BHW Charge</t>
  </si>
  <si>
    <t>Schedule 2 - Interest on Under/(Over) Recovery:</t>
  </si>
  <si>
    <t>Black Hills Power (BHP):</t>
  </si>
  <si>
    <t xml:space="preserve">   Authorized Revenue Requirement</t>
  </si>
  <si>
    <t>True-up Amount - Under/(Over) Recovery</t>
  </si>
  <si>
    <t>Future Value Factor (1+i)^18</t>
  </si>
  <si>
    <t>Gillette:</t>
  </si>
  <si>
    <t>Cheyenne Light:</t>
  </si>
  <si>
    <t>Black Hills Wyoming:</t>
  </si>
  <si>
    <t>Basin:</t>
  </si>
  <si>
    <t>WMPA:</t>
  </si>
  <si>
    <t>authorized</t>
  </si>
  <si>
    <t>total collected</t>
  </si>
  <si>
    <t>Where:</t>
  </si>
  <si>
    <t>i = average interest rate as calculated below</t>
  </si>
  <si>
    <t>Interest on Amount of Refunds or Surcharges Interest 35.19a for Current Year</t>
  </si>
  <si>
    <t>Interest 35.19a</t>
  </si>
  <si>
    <t>Month</t>
  </si>
  <si>
    <t>Year</t>
  </si>
  <si>
    <t>for Month</t>
  </si>
  <si>
    <t>Average Interest Rate</t>
  </si>
  <si>
    <t xml:space="preserve">actual Summed Reactive billing Loads on the Transmission System during each month of the preceding calendar </t>
  </si>
  <si>
    <t>year and the difference between that actual amount and the previously projected amount for the same calendar year.</t>
  </si>
  <si>
    <t xml:space="preserve">If the Aggregate annual Reactive Revenue Requirement has changed during that calendar year pursuant to a Section </t>
  </si>
  <si>
    <t xml:space="preserve">205 or 206 rate change accepted by FERC, the actual and differential load information will be broken out by the </t>
  </si>
  <si>
    <t xml:space="preserve">period(s) before and after the effective date(s) of such change.  From such calculations, the Transmission Provider </t>
  </si>
  <si>
    <t xml:space="preserve">will calculate a true-up adjustment designed to reverse any under-collection or over-collection of the revenue </t>
  </si>
  <si>
    <t xml:space="preserve">requirements identified in Section 2 and 3.  The true-up adjustment and related calculations shall be posted to the </t>
  </si>
  <si>
    <t>Transmission Provider's OASIS no later than June 1."</t>
  </si>
  <si>
    <t xml:space="preserve">" Interest on any over-recovery of the revenue requirements shall be determined based on FERC's regulations </t>
  </si>
  <si>
    <t xml:space="preserve">at 18 C.F.R. 35.19a.  Interest on any under-recovery of the net revenue requirement shall be determined using </t>
  </si>
  <si>
    <t xml:space="preserve">the interest rate equal to Black Hills Power's actual short-term debt costs capped at the applicable FERC refund </t>
  </si>
  <si>
    <t xml:space="preserve">interest rate.  In either case, the interest payable shall be calculated as follows.  The interest rate will be </t>
  </si>
  <si>
    <t xml:space="preserve">determined using the applicable rate averaged across the sixteen (16) months, January of the year prior through </t>
  </si>
  <si>
    <t>the April of the year in which the true-up occurs.  That interest rate will be applied, with quarterly compounding, to the</t>
  </si>
  <si>
    <t xml:space="preserve">principal amount (i.e., the over or under recovery in the net revenue requirement) for the eighteen (18) months during </t>
  </si>
  <si>
    <t>which that over or under recovery exists."</t>
  </si>
  <si>
    <t>Application accepted by FERC July 29, 2013</t>
  </si>
  <si>
    <t>Yearly ($/kW Year)</t>
  </si>
  <si>
    <t xml:space="preserve">True-up " Not later than June 1 of each year, Transmission Provider will calculate and post to its OASIS the </t>
  </si>
  <si>
    <t>$ per kW - Year   (Ln 7/ Ln 8)</t>
  </si>
  <si>
    <t>$ per kW - Month (Ln 9 / 12)</t>
  </si>
  <si>
    <t>$ per kW - Week (Ln 9 / 52)</t>
  </si>
  <si>
    <t>$ per kW - day off peak (Ln 9 / 365)</t>
  </si>
  <si>
    <t>$ per kW - day on peak (Ln 9 / 312)</t>
  </si>
  <si>
    <t>$ per kW - hour off peak (Ln 9 / 8760)</t>
  </si>
  <si>
    <t>$ per kW - hour on peak (Ln 9 / 4992)</t>
  </si>
  <si>
    <t>Application accepted by FERC September 3, 2015</t>
  </si>
  <si>
    <t>1 - Transmission actual load from OATI</t>
  </si>
  <si>
    <t>2 - Transmission projected load from Transmission Planning</t>
  </si>
  <si>
    <t>Black Hills Power, Inc.</t>
  </si>
  <si>
    <t>6 days * 52 weeks</t>
  </si>
  <si>
    <t xml:space="preserve">Total </t>
  </si>
  <si>
    <t>over collected</t>
  </si>
  <si>
    <t>May 31, 2024</t>
  </si>
  <si>
    <t xml:space="preserve">   2023 Collected Revenue</t>
  </si>
  <si>
    <t>True-up Amount to be (Refunded)/Paid based on 2023 Actual Loads</t>
  </si>
  <si>
    <t>2023 Schedule 2 True-up Rates - June 1, 2024</t>
  </si>
  <si>
    <t>2023 Schedule 2 Rates - OASIS</t>
  </si>
  <si>
    <t>2023 Actual Load:</t>
  </si>
  <si>
    <r>
      <t>2023 Actual Load Data</t>
    </r>
    <r>
      <rPr>
        <b/>
        <vertAlign val="superscript"/>
        <sz val="12"/>
        <rFont val="Arial"/>
        <family val="2"/>
      </rPr>
      <t>1</t>
    </r>
  </si>
  <si>
    <r>
      <t>2023 Projected Load Data</t>
    </r>
    <r>
      <rPr>
        <b/>
        <vertAlign val="superscript"/>
        <sz val="12"/>
        <rFont val="Arial"/>
        <family val="2"/>
      </rPr>
      <t>2</t>
    </r>
  </si>
  <si>
    <t>2023 Actual vs Projected Load Data Difference</t>
  </si>
  <si>
    <t>Common Use AC Facility Transmission Load (2023 Actual Load)</t>
  </si>
  <si>
    <t>2023 Projected Load: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</si>
</sst>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8" formatCode="&quot;$&quot;#,##0.00"/>
    <numFmt numFmtId="169" formatCode="&quot;$&quot;#,##0"/>
    <numFmt numFmtId="170" formatCode="0.0000"/>
    <numFmt numFmtId="171" formatCode="&quot;$&quot;#,##0.00000"/>
    <numFmt numFmtId="173" formatCode="&quot;$&quot;#,##0.0000"/>
    <numFmt numFmtId="174" formatCode="0.00000"/>
    <numFmt numFmtId="175" formatCode="0.000"/>
    <numFmt numFmtId="180" formatCode="_(&quot;$&quot;* #,##0_);_(&quot;$&quot;* \(#,##0\);_(&quot;$&quot;* &quot;-&quot;??_);_(@_)"/>
    <numFmt numFmtId="181" formatCode="0.0000%"/>
    <numFmt numFmtId="182" formatCode="_(&quot;$&quot;* #,##0.0000_);_(&quot;$&quot;* \(#,##0.0000\);_(&quot;$&quot;* &quot;-&quot;??_);_(@_)"/>
    <numFmt numFmtId="183" formatCode="mmm\-yyyy"/>
    <numFmt numFmtId="185" formatCode="&quot;$&quot;#,##0.0;[Red]\-&quot;$&quot;#,##0.0"/>
    <numFmt numFmtId="186" formatCode="00000"/>
    <numFmt numFmtId="187" formatCode="#,##0\ ;\(#,##0\);\-\ \ \ \ \ "/>
    <numFmt numFmtId="188" formatCode="#,##0\ ;\(#,##0\);\–\ \ \ \ \ "/>
    <numFmt numFmtId="189" formatCode="#,##0;\(#,##0\)"/>
    <numFmt numFmtId="190" formatCode="yyyymmdd"/>
    <numFmt numFmtId="191" formatCode="_([$€-2]* #,##0.00_);_([$€-2]* \(#,##0.00\);_([$€-2]* &quot;-&quot;??_)"/>
    <numFmt numFmtId="192" formatCode="_-* #,##0.0_-;\-* #,##0.0_-;_-* &quot;-&quot;??_-;_-@_-"/>
    <numFmt numFmtId="193" formatCode="#,##0.00&quot; $&quot;;\-#,##0.00&quot; $&quot;"/>
    <numFmt numFmtId="194" formatCode="000000000"/>
    <numFmt numFmtId="195" formatCode="#,##0.0_);\(#,##0.0\)"/>
    <numFmt numFmtId="196" formatCode="_-&quot;£&quot;* #,##0_-;\-&quot;£&quot;* #,##0_-;_-&quot;£&quot;* &quot;-&quot;_-;_-@_-"/>
    <numFmt numFmtId="197" formatCode="_-&quot;£&quot;* #,##0.00_-;\-&quot;£&quot;* #,##0.00_-;_-&quot;£&quot;* &quot;-&quot;??_-;_-@_-"/>
    <numFmt numFmtId="198" formatCode="0.00_)"/>
    <numFmt numFmtId="199" formatCode="00"/>
    <numFmt numFmtId="200" formatCode="0_);\(0\)"/>
    <numFmt numFmtId="201" formatCode="000\-00\-0000"/>
  </numFmts>
  <fonts count="93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 MT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 MT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 MT"/>
    </font>
    <font>
      <sz val="10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sz val="11"/>
      <name val="Arial"/>
      <family val="2"/>
    </font>
    <font>
      <b/>
      <sz val="11"/>
      <color indexed="10"/>
      <name val="Calibri"/>
      <family val="2"/>
    </font>
    <font>
      <sz val="8"/>
      <name val="Helvetic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0"/>
      <color theme="6" tint="-0.249977111117893"/>
      <name val="Arial"/>
      <family val="2"/>
    </font>
    <font>
      <sz val="10"/>
      <color theme="3" tint="0.3999755851924192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88">
    <xf numFmtId="0" fontId="0" fillId="0" borderId="0"/>
    <xf numFmtId="0" fontId="7" fillId="0" borderId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7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15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15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1" borderId="0" applyNumberFormat="0" applyBorder="0" applyAlignment="0" applyProtection="0"/>
    <xf numFmtId="38" fontId="40" fillId="0" borderId="0" applyBorder="0" applyAlignment="0"/>
    <xf numFmtId="185" fontId="39" fillId="24" borderId="1">
      <alignment horizontal="center" vertical="center"/>
    </xf>
    <xf numFmtId="186" fontId="7" fillId="0" borderId="2">
      <alignment horizontal="left"/>
    </xf>
    <xf numFmtId="186" fontId="7" fillId="0" borderId="2">
      <alignment horizontal="left"/>
    </xf>
    <xf numFmtId="0" fontId="41" fillId="0" borderId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8" borderId="0" applyNumberFormat="0" applyBorder="0" applyAlignment="0" applyProtection="0"/>
    <xf numFmtId="0" fontId="42" fillId="0" borderId="0" applyNumberFormat="0" applyFill="0" applyBorder="0" applyAlignment="0" applyProtection="0"/>
    <xf numFmtId="187" fontId="43" fillId="0" borderId="3" applyNumberFormat="0" applyFill="0" applyAlignment="0" applyProtection="0">
      <alignment horizontal="center"/>
    </xf>
    <xf numFmtId="188" fontId="43" fillId="0" borderId="4" applyFill="0" applyAlignment="0" applyProtection="0">
      <alignment horizontal="center"/>
    </xf>
    <xf numFmtId="38" fontId="7" fillId="0" borderId="0">
      <alignment horizontal="right"/>
    </xf>
    <xf numFmtId="37" fontId="2" fillId="0" borderId="0" applyFill="0">
      <alignment horizontal="right"/>
    </xf>
    <xf numFmtId="37" fontId="2" fillId="0" borderId="0" applyFill="0">
      <alignment horizontal="right"/>
    </xf>
    <xf numFmtId="37" fontId="2" fillId="0" borderId="0">
      <alignment horizontal="right"/>
    </xf>
    <xf numFmtId="37" fontId="2" fillId="0" borderId="0">
      <alignment horizontal="right"/>
    </xf>
    <xf numFmtId="0" fontId="2" fillId="0" borderId="0" applyFill="0">
      <alignment horizontal="center"/>
    </xf>
    <xf numFmtId="0" fontId="2" fillId="0" borderId="0" applyFill="0">
      <alignment horizontal="center"/>
    </xf>
    <xf numFmtId="37" fontId="2" fillId="0" borderId="5" applyFill="0">
      <alignment horizontal="right"/>
    </xf>
    <xf numFmtId="37" fontId="2" fillId="0" borderId="5" applyFill="0">
      <alignment horizontal="right"/>
    </xf>
    <xf numFmtId="37" fontId="2" fillId="0" borderId="0">
      <alignment horizontal="right"/>
    </xf>
    <xf numFmtId="37" fontId="2" fillId="0" borderId="0">
      <alignment horizontal="right"/>
    </xf>
    <xf numFmtId="0" fontId="44" fillId="0" borderId="0" applyFill="0">
      <alignment vertical="top"/>
    </xf>
    <xf numFmtId="0" fontId="45" fillId="0" borderId="0" applyFill="0">
      <alignment horizontal="left" vertical="top"/>
    </xf>
    <xf numFmtId="37" fontId="2" fillId="0" borderId="6" applyFill="0">
      <alignment horizontal="right"/>
    </xf>
    <xf numFmtId="37" fontId="2" fillId="0" borderId="6" applyFill="0">
      <alignment horizontal="right"/>
    </xf>
    <xf numFmtId="0" fontId="7" fillId="0" borderId="0" applyNumberFormat="0" applyFont="0" applyAlignment="0"/>
    <xf numFmtId="0" fontId="44" fillId="0" borderId="0" applyFill="0">
      <alignment wrapText="1"/>
    </xf>
    <xf numFmtId="0" fontId="45" fillId="0" borderId="0" applyFill="0">
      <alignment horizontal="left" vertical="top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7" fillId="0" borderId="0" applyFill="0">
      <alignment vertical="top" wrapText="1"/>
    </xf>
    <xf numFmtId="0" fontId="14" fillId="0" borderId="0" applyFill="0">
      <alignment horizontal="left" vertical="top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8" fillId="0" borderId="0" applyFill="0">
      <alignment vertical="center" wrapText="1"/>
    </xf>
    <xf numFmtId="0" fontId="9" fillId="0" borderId="0">
      <alignment horizontal="left" vertical="center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37" fontId="50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51" fillId="0" borderId="0" applyFill="0">
      <alignment horizontal="center" vertical="center" wrapText="1"/>
    </xf>
    <xf numFmtId="0" fontId="52" fillId="0" borderId="0" applyFill="0">
      <alignment horizontal="center" vertical="center" wrapText="1"/>
    </xf>
    <xf numFmtId="37" fontId="50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53" fillId="0" borderId="0">
      <alignment horizontal="center" wrapText="1"/>
    </xf>
    <xf numFmtId="0" fontId="54" fillId="0" borderId="0" applyFill="0">
      <alignment horizontal="center" wrapText="1"/>
    </xf>
    <xf numFmtId="0" fontId="19" fillId="25" borderId="7" applyNumberFormat="0" applyAlignment="0" applyProtection="0"/>
    <xf numFmtId="0" fontId="19" fillId="25" borderId="7" applyNumberFormat="0" applyAlignment="0" applyProtection="0"/>
    <xf numFmtId="0" fontId="79" fillId="26" borderId="7" applyNumberFormat="0" applyAlignment="0" applyProtection="0"/>
    <xf numFmtId="0" fontId="20" fillId="27" borderId="8" applyNumberFormat="0" applyAlignment="0" applyProtection="0"/>
    <xf numFmtId="0" fontId="20" fillId="27" borderId="8" applyNumberFormat="0" applyAlignment="0" applyProtection="0"/>
    <xf numFmtId="43" fontId="1" fillId="0" borderId="0" applyFont="0" applyFill="0" applyBorder="0" applyAlignment="0" applyProtection="0"/>
    <xf numFmtId="189" fontId="3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0" fontId="57" fillId="0" borderId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8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190" fontId="7" fillId="0" borderId="2">
      <alignment horizontal="center"/>
    </xf>
    <xf numFmtId="191" fontId="55" fillId="0" borderId="0" applyFont="0" applyFill="0" applyBorder="0" applyAlignment="0" applyProtection="0"/>
    <xf numFmtId="191" fontId="5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92" fontId="7" fillId="0" borderId="0">
      <protection locked="0"/>
    </xf>
    <xf numFmtId="0" fontId="58" fillId="0" borderId="0"/>
    <xf numFmtId="0" fontId="59" fillId="0" borderId="0"/>
    <xf numFmtId="0" fontId="60" fillId="0" borderId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38" fontId="2" fillId="28" borderId="0" applyNumberFormat="0" applyBorder="0" applyAlignment="0" applyProtection="0"/>
    <xf numFmtId="38" fontId="2" fillId="28" borderId="0" applyNumberFormat="0" applyBorder="0" applyAlignment="0" applyProtection="0"/>
    <xf numFmtId="0" fontId="61" fillId="0" borderId="0" applyNumberFormat="0" applyFill="0" applyBorder="0" applyAlignment="0" applyProtection="0"/>
    <xf numFmtId="0" fontId="14" fillId="0" borderId="9" applyNumberFormat="0" applyAlignment="0" applyProtection="0">
      <alignment horizontal="left" vertical="center"/>
    </xf>
    <xf numFmtId="0" fontId="14" fillId="0" borderId="10">
      <alignment horizontal="left" vertical="center"/>
    </xf>
    <xf numFmtId="0" fontId="62" fillId="0" borderId="0">
      <alignment horizontal="center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81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82" fillId="0" borderId="14" applyNumberFormat="0" applyFill="0" applyAlignment="0" applyProtection="0"/>
    <xf numFmtId="0" fontId="25" fillId="0" borderId="15" applyNumberFormat="0" applyFill="0" applyAlignment="0" applyProtection="0"/>
    <xf numFmtId="0" fontId="25" fillId="0" borderId="15" applyNumberFormat="0" applyFill="0" applyAlignment="0" applyProtection="0"/>
    <xf numFmtId="0" fontId="83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93" fontId="7" fillId="0" borderId="0">
      <protection locked="0"/>
    </xf>
    <xf numFmtId="193" fontId="7" fillId="0" borderId="0">
      <protection locked="0"/>
    </xf>
    <xf numFmtId="0" fontId="37" fillId="0" borderId="17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6" fillId="9" borderId="7" applyNumberFormat="0" applyAlignment="0" applyProtection="0"/>
    <xf numFmtId="10" fontId="2" fillId="29" borderId="2" applyNumberFormat="0" applyBorder="0" applyAlignment="0" applyProtection="0"/>
    <xf numFmtId="10" fontId="2" fillId="29" borderId="2" applyNumberFormat="0" applyBorder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12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" fillId="28" borderId="0"/>
    <xf numFmtId="0" fontId="2" fillId="28" borderId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34" fillId="0" borderId="19" applyNumberFormat="0" applyFill="0" applyAlignment="0" applyProtection="0"/>
    <xf numFmtId="194" fontId="7" fillId="0" borderId="2">
      <alignment horizontal="center"/>
    </xf>
    <xf numFmtId="194" fontId="7" fillId="0" borderId="2">
      <alignment horizontal="center"/>
    </xf>
    <xf numFmtId="195" fontId="63" fillId="0" borderId="0"/>
    <xf numFmtId="17" fontId="64" fillId="0" borderId="0">
      <alignment horizontal="center"/>
    </xf>
    <xf numFmtId="196" fontId="7" fillId="0" borderId="0" applyFont="0" applyFill="0" applyBorder="0" applyAlignment="0" applyProtection="0"/>
    <xf numFmtId="197" fontId="7" fillId="0" borderId="0" applyFont="0" applyFill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84" fillId="12" borderId="0" applyNumberFormat="0" applyBorder="0" applyAlignment="0" applyProtection="0"/>
    <xf numFmtId="43" fontId="65" fillId="0" borderId="0" applyNumberFormat="0" applyFill="0" applyBorder="0" applyAlignment="0" applyProtection="0"/>
    <xf numFmtId="0" fontId="43" fillId="0" borderId="0" applyNumberFormat="0" applyFill="0" applyAlignment="0" applyProtection="0"/>
    <xf numFmtId="37" fontId="66" fillId="0" borderId="0"/>
    <xf numFmtId="198" fontId="67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8" fillId="0" borderId="0"/>
    <xf numFmtId="0" fontId="80" fillId="0" borderId="0"/>
    <xf numFmtId="0" fontId="80" fillId="0" borderId="0"/>
    <xf numFmtId="0" fontId="78" fillId="0" borderId="0"/>
    <xf numFmtId="0" fontId="38" fillId="0" borderId="0"/>
    <xf numFmtId="168" fontId="5" fillId="0" borderId="0" applyProtection="0"/>
    <xf numFmtId="0" fontId="7" fillId="0" borderId="0"/>
    <xf numFmtId="168" fontId="5" fillId="0" borderId="0" applyProtection="0"/>
    <xf numFmtId="0" fontId="7" fillId="0" borderId="0"/>
    <xf numFmtId="168" fontId="5" fillId="0" borderId="0" applyProtection="0"/>
    <xf numFmtId="0" fontId="56" fillId="0" borderId="0"/>
    <xf numFmtId="0" fontId="90" fillId="0" borderId="0"/>
    <xf numFmtId="0" fontId="80" fillId="0" borderId="0"/>
    <xf numFmtId="0" fontId="56" fillId="0" borderId="0"/>
    <xf numFmtId="0" fontId="38" fillId="0" borderId="0"/>
    <xf numFmtId="168" fontId="5" fillId="0" borderId="0" applyProtection="0"/>
    <xf numFmtId="0" fontId="38" fillId="0" borderId="0"/>
    <xf numFmtId="168" fontId="5" fillId="0" borderId="0" applyProtection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7" fillId="0" borderId="2">
      <alignment horizontal="center" wrapText="1"/>
    </xf>
    <xf numFmtId="0" fontId="7" fillId="0" borderId="2">
      <alignment horizontal="center" wrapText="1"/>
    </xf>
    <xf numFmtId="2" fontId="7" fillId="0" borderId="2">
      <alignment horizontal="center"/>
    </xf>
    <xf numFmtId="2" fontId="7" fillId="0" borderId="2">
      <alignment horizontal="center"/>
    </xf>
    <xf numFmtId="199" fontId="3" fillId="0" borderId="2" applyFont="0">
      <alignment horizontal="center"/>
    </xf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168" fontId="5" fillId="0" borderId="0" applyProtection="0"/>
    <xf numFmtId="168" fontId="5" fillId="0" borderId="0" applyProtection="0"/>
    <xf numFmtId="0" fontId="1" fillId="0" borderId="0"/>
    <xf numFmtId="0" fontId="86" fillId="0" borderId="0"/>
    <xf numFmtId="0" fontId="8" fillId="7" borderId="20" applyNumberFormat="0" applyFont="0" applyAlignment="0" applyProtection="0"/>
    <xf numFmtId="0" fontId="7" fillId="7" borderId="20" applyNumberFormat="0" applyFont="0" applyAlignment="0" applyProtection="0"/>
    <xf numFmtId="0" fontId="16" fillId="7" borderId="20" applyNumberFormat="0" applyFont="0" applyAlignment="0" applyProtection="0"/>
    <xf numFmtId="0" fontId="80" fillId="7" borderId="20" applyNumberFormat="0" applyFont="0" applyAlignment="0" applyProtection="0"/>
    <xf numFmtId="1" fontId="7" fillId="0" borderId="2">
      <alignment horizontal="center"/>
    </xf>
    <xf numFmtId="0" fontId="29" fillId="25" borderId="21" applyNumberFormat="0" applyAlignment="0" applyProtection="0"/>
    <xf numFmtId="0" fontId="29" fillId="25" borderId="21" applyNumberFormat="0" applyAlignment="0" applyProtection="0"/>
    <xf numFmtId="0" fontId="29" fillId="26" borderId="21" applyNumberFormat="0" applyAlignment="0" applyProtection="0"/>
    <xf numFmtId="9" fontId="1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1" fillId="0" borderId="3">
      <alignment horizontal="center"/>
    </xf>
    <xf numFmtId="3" fontId="30" fillId="0" borderId="0" applyFont="0" applyFill="0" applyBorder="0" applyAlignment="0" applyProtection="0"/>
    <xf numFmtId="0" fontId="30" fillId="30" borderId="0" applyNumberFormat="0" applyFont="0" applyBorder="0" applyAlignment="0" applyProtection="0"/>
    <xf numFmtId="37" fontId="2" fillId="28" borderId="0" applyFill="0">
      <alignment horizontal="right"/>
    </xf>
    <xf numFmtId="37" fontId="2" fillId="28" borderId="0" applyFill="0">
      <alignment horizontal="right"/>
    </xf>
    <xf numFmtId="0" fontId="50" fillId="0" borderId="0">
      <alignment horizontal="left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4" applyFill="0">
      <alignment horizontal="right"/>
    </xf>
    <xf numFmtId="37" fontId="2" fillId="0" borderId="4" applyFill="0">
      <alignment horizontal="right"/>
    </xf>
    <xf numFmtId="0" fontId="3" fillId="0" borderId="2" applyNumberFormat="0" applyFont="0" applyBorder="0">
      <alignment horizontal="right"/>
    </xf>
    <xf numFmtId="0" fontId="68" fillId="0" borderId="0" applyFill="0"/>
    <xf numFmtId="0" fontId="2" fillId="0" borderId="0" applyFill="0">
      <alignment horizontal="left"/>
    </xf>
    <xf numFmtId="0" fontId="2" fillId="0" borderId="0" applyFill="0">
      <alignment horizontal="left"/>
    </xf>
    <xf numFmtId="200" fontId="2" fillId="0" borderId="4" applyFill="0">
      <alignment horizontal="right"/>
    </xf>
    <xf numFmtId="200" fontId="2" fillId="0" borderId="4" applyFill="0">
      <alignment horizontal="right"/>
    </xf>
    <xf numFmtId="0" fontId="7" fillId="0" borderId="0" applyNumberFormat="0" applyFont="0" applyBorder="0" applyAlignment="0"/>
    <xf numFmtId="0" fontId="47" fillId="0" borderId="0" applyFill="0">
      <alignment horizontal="left" indent="1"/>
    </xf>
    <xf numFmtId="0" fontId="50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Fill="0" applyBorder="0" applyAlignment="0"/>
    <xf numFmtId="0" fontId="47" fillId="0" borderId="0" applyFill="0">
      <alignment horizontal="left" indent="2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Border="0" applyAlignment="0"/>
    <xf numFmtId="0" fontId="69" fillId="0" borderId="0">
      <alignment horizontal="left" indent="3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Border="0" applyAlignment="0"/>
    <xf numFmtId="0" fontId="49" fillId="0" borderId="0">
      <alignment horizontal="left" indent="4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50" fillId="0" borderId="0" applyFill="0">
      <alignment horizontal="right"/>
    </xf>
    <xf numFmtId="0" fontId="7" fillId="0" borderId="0" applyNumberFormat="0" applyFont="0" applyBorder="0" applyAlignment="0"/>
    <xf numFmtId="0" fontId="51" fillId="0" borderId="0">
      <alignment horizontal="left" indent="5"/>
    </xf>
    <xf numFmtId="0" fontId="50" fillId="0" borderId="0" applyFill="0">
      <alignment horizontal="left"/>
    </xf>
    <xf numFmtId="37" fontId="50" fillId="0" borderId="0" applyFill="0">
      <alignment horizontal="right"/>
    </xf>
    <xf numFmtId="0" fontId="7" fillId="0" borderId="0" applyNumberFormat="0" applyFont="0" applyFill="0" applyBorder="0" applyAlignment="0"/>
    <xf numFmtId="0" fontId="53" fillId="0" borderId="0" applyFill="0">
      <alignment horizontal="left" indent="6"/>
    </xf>
    <xf numFmtId="0" fontId="50" fillId="0" borderId="0" applyFill="0">
      <alignment horizontal="left"/>
    </xf>
    <xf numFmtId="38" fontId="38" fillId="31" borderId="4">
      <alignment horizontal="right"/>
    </xf>
    <xf numFmtId="38" fontId="7" fillId="32" borderId="0" applyNumberFormat="0" applyFont="0" applyBorder="0" applyAlignment="0" applyProtection="0"/>
    <xf numFmtId="0" fontId="70" fillId="0" borderId="0" applyNumberFormat="0" applyAlignment="0">
      <alignment horizontal="centerContinuous"/>
    </xf>
    <xf numFmtId="0" fontId="43" fillId="0" borderId="4" applyNumberFormat="0" applyFill="0" applyAlignment="0" applyProtection="0"/>
    <xf numFmtId="37" fontId="71" fillId="0" borderId="0" applyNumberFormat="0">
      <alignment horizontal="left"/>
    </xf>
    <xf numFmtId="201" fontId="7" fillId="0" borderId="2">
      <alignment horizontal="center" wrapText="1"/>
    </xf>
    <xf numFmtId="201" fontId="7" fillId="0" borderId="2">
      <alignment horizontal="center" wrapText="1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7" fillId="0" borderId="0" applyNumberFormat="0" applyFill="0" applyBorder="0" applyProtection="0">
      <alignment horizontal="right" wrapText="1"/>
    </xf>
    <xf numFmtId="183" fontId="7" fillId="0" borderId="0" applyFill="0" applyBorder="0" applyAlignment="0" applyProtection="0">
      <alignment wrapText="1"/>
    </xf>
    <xf numFmtId="37" fontId="72" fillId="0" borderId="0" applyNumberFormat="0">
      <alignment horizontal="left"/>
    </xf>
    <xf numFmtId="37" fontId="73" fillId="0" borderId="0" applyNumberFormat="0">
      <alignment horizontal="left"/>
    </xf>
    <xf numFmtId="37" fontId="74" fillId="0" borderId="0" applyNumberFormat="0">
      <alignment horizontal="left"/>
    </xf>
    <xf numFmtId="195" fontId="75" fillId="0" borderId="0"/>
    <xf numFmtId="40" fontId="76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3" applyNumberFormat="0" applyFill="0" applyAlignment="0" applyProtection="0"/>
    <xf numFmtId="37" fontId="2" fillId="31" borderId="0" applyNumberFormat="0" applyBorder="0" applyAlignment="0" applyProtection="0"/>
    <xf numFmtId="37" fontId="2" fillId="0" borderId="0"/>
    <xf numFmtId="3" fontId="77" fillId="0" borderId="17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200">
    <xf numFmtId="0" fontId="0" fillId="0" borderId="0" xfId="0"/>
    <xf numFmtId="0" fontId="3" fillId="0" borderId="0" xfId="270" applyFont="1" applyAlignment="1">
      <alignment horizontal="left"/>
    </xf>
    <xf numFmtId="169" fontId="3" fillId="0" borderId="0" xfId="270" applyNumberFormat="1" applyFont="1" applyAlignment="1">
      <alignment horizontal="right"/>
    </xf>
    <xf numFmtId="0" fontId="7" fillId="0" borderId="0" xfId="270" applyFont="1"/>
    <xf numFmtId="169" fontId="7" fillId="0" borderId="0" xfId="270" applyNumberFormat="1" applyFont="1"/>
    <xf numFmtId="0" fontId="7" fillId="0" borderId="0" xfId="0" applyFont="1"/>
    <xf numFmtId="0" fontId="11" fillId="0" borderId="0" xfId="0" applyFont="1"/>
    <xf numFmtId="0" fontId="13" fillId="0" borderId="0" xfId="0" applyFont="1"/>
    <xf numFmtId="168" fontId="10" fillId="0" borderId="0" xfId="269" applyFont="1" applyAlignment="1"/>
    <xf numFmtId="0" fontId="11" fillId="0" borderId="0" xfId="270" applyFont="1" applyAlignment="1">
      <alignment horizontal="center"/>
    </xf>
    <xf numFmtId="0" fontId="11" fillId="0" borderId="0" xfId="270" applyFont="1"/>
    <xf numFmtId="0" fontId="11" fillId="0" borderId="3" xfId="270" applyFont="1" applyBorder="1"/>
    <xf numFmtId="169" fontId="11" fillId="0" borderId="3" xfId="270" applyNumberFormat="1" applyFont="1" applyFill="1" applyBorder="1"/>
    <xf numFmtId="0" fontId="8" fillId="0" borderId="0" xfId="263"/>
    <xf numFmtId="0" fontId="3" fillId="0" borderId="0" xfId="266" applyFont="1" applyAlignment="1">
      <alignment horizontal="right"/>
    </xf>
    <xf numFmtId="0" fontId="8" fillId="0" borderId="0" xfId="266" applyAlignment="1">
      <alignment horizontal="center"/>
    </xf>
    <xf numFmtId="0" fontId="8" fillId="0" borderId="0" xfId="266"/>
    <xf numFmtId="0" fontId="3" fillId="0" borderId="0" xfId="266" applyFont="1" applyAlignment="1">
      <alignment horizontal="center"/>
    </xf>
    <xf numFmtId="168" fontId="8" fillId="0" borderId="0" xfId="268" applyFont="1" applyAlignment="1">
      <alignment horizontal="center"/>
    </xf>
    <xf numFmtId="168" fontId="8" fillId="0" borderId="4" xfId="268" applyFont="1" applyBorder="1" applyAlignment="1">
      <alignment horizontal="center"/>
    </xf>
    <xf numFmtId="0" fontId="8" fillId="0" borderId="0" xfId="268" applyNumberFormat="1" applyFont="1" applyAlignment="1">
      <alignment horizontal="center"/>
    </xf>
    <xf numFmtId="168" fontId="5" fillId="0" borderId="0" xfId="268" applyAlignment="1"/>
    <xf numFmtId="0" fontId="2" fillId="0" borderId="0" xfId="270" applyFont="1" applyFill="1" applyAlignment="1">
      <alignment horizontal="left"/>
    </xf>
    <xf numFmtId="0" fontId="2" fillId="0" borderId="0" xfId="270" applyFont="1" applyAlignment="1">
      <alignment horizontal="left"/>
    </xf>
    <xf numFmtId="168" fontId="35" fillId="0" borderId="0" xfId="269" applyFont="1" applyAlignment="1">
      <alignment horizontal="left"/>
    </xf>
    <xf numFmtId="0" fontId="3" fillId="0" borderId="0" xfId="263" applyFont="1"/>
    <xf numFmtId="0" fontId="3" fillId="0" borderId="0" xfId="263" applyFont="1" applyAlignment="1">
      <alignment horizontal="right"/>
    </xf>
    <xf numFmtId="0" fontId="7" fillId="0" borderId="0" xfId="0" applyFont="1" applyFill="1" applyBorder="1"/>
    <xf numFmtId="168" fontId="10" fillId="0" borderId="0" xfId="269" applyFont="1" applyFill="1" applyBorder="1" applyAlignment="1"/>
    <xf numFmtId="168" fontId="10" fillId="0" borderId="0" xfId="269" applyFont="1" applyFill="1" applyAlignment="1"/>
    <xf numFmtId="165" fontId="0" fillId="0" borderId="0" xfId="139" applyNumberFormat="1" applyFont="1"/>
    <xf numFmtId="173" fontId="10" fillId="0" borderId="0" xfId="269" applyNumberFormat="1" applyFont="1" applyAlignment="1"/>
    <xf numFmtId="0" fontId="15" fillId="0" borderId="0" xfId="270" applyFont="1" applyAlignment="1">
      <alignment horizontal="left"/>
    </xf>
    <xf numFmtId="0" fontId="12" fillId="0" borderId="0" xfId="270" applyFont="1" applyAlignment="1">
      <alignment horizontal="left"/>
    </xf>
    <xf numFmtId="0" fontId="13" fillId="0" borderId="0" xfId="270" applyFont="1"/>
    <xf numFmtId="169" fontId="13" fillId="0" borderId="0" xfId="270" applyNumberFormat="1" applyFont="1"/>
    <xf numFmtId="0" fontId="36" fillId="0" borderId="0" xfId="0" applyFont="1"/>
    <xf numFmtId="169" fontId="7" fillId="0" borderId="0" xfId="270" applyNumberFormat="1" applyFont="1" applyFill="1" applyBorder="1"/>
    <xf numFmtId="0" fontId="7" fillId="0" borderId="0" xfId="270" applyFont="1" applyFill="1" applyBorder="1"/>
    <xf numFmtId="0" fontId="7" fillId="0" borderId="0" xfId="270" applyFont="1" applyAlignment="1">
      <alignment horizontal="center"/>
    </xf>
    <xf numFmtId="169" fontId="7" fillId="0" borderId="0" xfId="270" applyNumberFormat="1" applyFont="1" applyFill="1"/>
    <xf numFmtId="0" fontId="7" fillId="0" borderId="0" xfId="270" applyFont="1" applyFill="1" applyAlignment="1">
      <alignment horizontal="center"/>
    </xf>
    <xf numFmtId="0" fontId="7" fillId="0" borderId="0" xfId="270" applyFont="1" applyFill="1"/>
    <xf numFmtId="0" fontId="15" fillId="0" borderId="0" xfId="270" applyFont="1" applyFill="1" applyAlignment="1">
      <alignment horizontal="left"/>
    </xf>
    <xf numFmtId="169" fontId="36" fillId="0" borderId="0" xfId="270" applyNumberFormat="1" applyFont="1" applyFill="1" applyBorder="1"/>
    <xf numFmtId="0" fontId="36" fillId="0" borderId="0" xfId="270" applyFont="1" applyFill="1" applyBorder="1"/>
    <xf numFmtId="0" fontId="36" fillId="0" borderId="0" xfId="270" quotePrefix="1" applyFont="1" applyFill="1" applyAlignment="1">
      <alignment horizontal="left"/>
    </xf>
    <xf numFmtId="175" fontId="7" fillId="0" borderId="0" xfId="270" applyNumberFormat="1" applyFont="1" applyFill="1" applyAlignment="1">
      <alignment horizontal="center"/>
    </xf>
    <xf numFmtId="3" fontId="7" fillId="0" borderId="0" xfId="270" applyNumberFormat="1" applyFont="1" applyFill="1"/>
    <xf numFmtId="171" fontId="7" fillId="0" borderId="0" xfId="270" applyNumberFormat="1" applyFont="1" applyFill="1" applyBorder="1"/>
    <xf numFmtId="0" fontId="15" fillId="0" borderId="0" xfId="0" applyFont="1" applyAlignment="1">
      <alignment horizontal="left"/>
    </xf>
    <xf numFmtId="168" fontId="11" fillId="0" borderId="0" xfId="270" applyNumberFormat="1" applyFont="1"/>
    <xf numFmtId="173" fontId="7" fillId="0" borderId="0" xfId="270" applyNumberFormat="1" applyFont="1"/>
    <xf numFmtId="171" fontId="7" fillId="0" borderId="0" xfId="270" applyNumberFormat="1" applyFont="1"/>
    <xf numFmtId="171" fontId="10" fillId="0" borderId="0" xfId="269" applyNumberFormat="1" applyFont="1" applyFill="1" applyBorder="1" applyAlignment="1"/>
    <xf numFmtId="10" fontId="11" fillId="0" borderId="0" xfId="280" applyNumberFormat="1" applyFont="1"/>
    <xf numFmtId="0" fontId="7" fillId="0" borderId="0" xfId="267" applyAlignment="1">
      <alignment horizontal="center"/>
    </xf>
    <xf numFmtId="0" fontId="7" fillId="0" borderId="0" xfId="267"/>
    <xf numFmtId="0" fontId="7" fillId="0" borderId="0" xfId="265"/>
    <xf numFmtId="0" fontId="7" fillId="0" borderId="24" xfId="265" applyBorder="1" applyAlignment="1">
      <alignment horizontal="center"/>
    </xf>
    <xf numFmtId="0" fontId="7" fillId="0" borderId="25" xfId="265" applyBorder="1" applyAlignment="1">
      <alignment horizontal="center"/>
    </xf>
    <xf numFmtId="0" fontId="7" fillId="0" borderId="26" xfId="265" applyFont="1" applyFill="1" applyBorder="1" applyAlignment="1">
      <alignment horizontal="center"/>
    </xf>
    <xf numFmtId="0" fontId="7" fillId="0" borderId="26" xfId="265" applyFill="1" applyBorder="1" applyAlignment="1">
      <alignment horizontal="center"/>
    </xf>
    <xf numFmtId="0" fontId="7" fillId="0" borderId="25" xfId="265" applyFill="1" applyBorder="1" applyAlignment="1">
      <alignment horizontal="center"/>
    </xf>
    <xf numFmtId="0" fontId="7" fillId="0" borderId="27" xfId="265" applyBorder="1" applyAlignment="1">
      <alignment horizontal="center"/>
    </xf>
    <xf numFmtId="0" fontId="7" fillId="0" borderId="0" xfId="265" applyBorder="1" applyAlignment="1">
      <alignment horizontal="center"/>
    </xf>
    <xf numFmtId="0" fontId="7" fillId="0" borderId="28" xfId="265" applyFill="1" applyBorder="1" applyAlignment="1">
      <alignment horizontal="center"/>
    </xf>
    <xf numFmtId="0" fontId="7" fillId="0" borderId="0" xfId="265" applyFill="1" applyBorder="1" applyAlignment="1">
      <alignment horizontal="center"/>
    </xf>
    <xf numFmtId="0" fontId="7" fillId="0" borderId="28" xfId="265" applyFont="1" applyFill="1" applyBorder="1" applyAlignment="1">
      <alignment horizontal="center"/>
    </xf>
    <xf numFmtId="0" fontId="7" fillId="0" borderId="29" xfId="265" applyBorder="1" applyAlignment="1">
      <alignment horizontal="center"/>
    </xf>
    <xf numFmtId="0" fontId="7" fillId="0" borderId="3" xfId="265" applyBorder="1" applyAlignment="1">
      <alignment horizontal="center"/>
    </xf>
    <xf numFmtId="0" fontId="7" fillId="0" borderId="30" xfId="265" applyFill="1" applyBorder="1" applyAlignment="1">
      <alignment horizontal="center"/>
    </xf>
    <xf numFmtId="0" fontId="7" fillId="0" borderId="3" xfId="265" applyFill="1" applyBorder="1" applyAlignment="1">
      <alignment horizontal="center"/>
    </xf>
    <xf numFmtId="0" fontId="7" fillId="0" borderId="30" xfId="265" applyFont="1" applyFill="1" applyBorder="1" applyAlignment="1">
      <alignment horizontal="center"/>
    </xf>
    <xf numFmtId="0" fontId="7" fillId="0" borderId="28" xfId="265" quotePrefix="1" applyFont="1" applyFill="1" applyBorder="1" applyAlignment="1">
      <alignment horizontal="left"/>
    </xf>
    <xf numFmtId="0" fontId="7" fillId="0" borderId="25" xfId="265" applyFill="1" applyBorder="1"/>
    <xf numFmtId="0" fontId="7" fillId="0" borderId="0" xfId="265" applyFill="1" applyBorder="1"/>
    <xf numFmtId="0" fontId="7" fillId="0" borderId="30" xfId="265" quotePrefix="1" applyFont="1" applyFill="1" applyBorder="1" applyAlignment="1">
      <alignment horizontal="left"/>
    </xf>
    <xf numFmtId="0" fontId="7" fillId="0" borderId="3" xfId="265" applyFill="1" applyBorder="1"/>
    <xf numFmtId="0" fontId="7" fillId="0" borderId="27" xfId="265" applyBorder="1"/>
    <xf numFmtId="0" fontId="7" fillId="0" borderId="0" xfId="265" applyBorder="1"/>
    <xf numFmtId="0" fontId="7" fillId="0" borderId="28" xfId="265" applyFill="1" applyBorder="1"/>
    <xf numFmtId="0" fontId="7" fillId="0" borderId="31" xfId="265" applyFont="1" applyBorder="1"/>
    <xf numFmtId="0" fontId="7" fillId="0" borderId="9" xfId="265" applyBorder="1"/>
    <xf numFmtId="1" fontId="7" fillId="0" borderId="32" xfId="265" applyNumberFormat="1" applyFill="1" applyBorder="1" applyAlignment="1">
      <alignment horizontal="center"/>
    </xf>
    <xf numFmtId="3" fontId="6" fillId="0" borderId="0" xfId="270" applyNumberFormat="1" applyFont="1" applyFill="1" applyBorder="1"/>
    <xf numFmtId="1" fontId="7" fillId="0" borderId="28" xfId="265" applyNumberFormat="1" applyFill="1" applyBorder="1" applyAlignment="1">
      <alignment horizontal="center"/>
    </xf>
    <xf numFmtId="1" fontId="7" fillId="0" borderId="26" xfId="264" applyNumberFormat="1" applyFill="1" applyBorder="1" applyAlignment="1">
      <alignment horizontal="center"/>
    </xf>
    <xf numFmtId="1" fontId="7" fillId="0" borderId="28" xfId="264" applyNumberFormat="1" applyFill="1" applyBorder="1" applyAlignment="1">
      <alignment horizontal="center"/>
    </xf>
    <xf numFmtId="0" fontId="7" fillId="33" borderId="2" xfId="0" applyFont="1" applyFill="1" applyBorder="1"/>
    <xf numFmtId="0" fontId="0" fillId="33" borderId="2" xfId="0" applyFill="1" applyBorder="1"/>
    <xf numFmtId="0" fontId="7" fillId="33" borderId="2" xfId="0" applyFont="1" applyFill="1" applyBorder="1" applyAlignment="1">
      <alignment horizontal="center"/>
    </xf>
    <xf numFmtId="0" fontId="7" fillId="0" borderId="2" xfId="0" applyFont="1" applyBorder="1"/>
    <xf numFmtId="0" fontId="7" fillId="33" borderId="2" xfId="0" applyFont="1" applyFill="1" applyBorder="1" applyAlignment="1">
      <alignment horizontal="center" wrapText="1"/>
    </xf>
    <xf numFmtId="0" fontId="7" fillId="0" borderId="0" xfId="0" quotePrefix="1" applyFont="1"/>
    <xf numFmtId="0" fontId="49" fillId="33" borderId="2" xfId="0" applyFont="1" applyFill="1" applyBorder="1"/>
    <xf numFmtId="0" fontId="7" fillId="0" borderId="4" xfId="0" applyFont="1" applyBorder="1"/>
    <xf numFmtId="168" fontId="10" fillId="0" borderId="0" xfId="269" applyFont="1" applyAlignment="1">
      <alignment horizontal="center"/>
    </xf>
    <xf numFmtId="0" fontId="7" fillId="0" borderId="4" xfId="270" applyFont="1" applyBorder="1" applyAlignment="1">
      <alignment horizontal="center"/>
    </xf>
    <xf numFmtId="0" fontId="7" fillId="0" borderId="0" xfId="270" applyFont="1" applyAlignment="1">
      <alignment horizontal="left"/>
    </xf>
    <xf numFmtId="0" fontId="3" fillId="0" borderId="0" xfId="0" applyFont="1"/>
    <xf numFmtId="0" fontId="7" fillId="0" borderId="0" xfId="270" quotePrefix="1" applyFont="1" applyFill="1" applyAlignment="1">
      <alignment horizontal="left"/>
    </xf>
    <xf numFmtId="0" fontId="7" fillId="34" borderId="2" xfId="0" applyFont="1" applyFill="1" applyBorder="1"/>
    <xf numFmtId="2" fontId="11" fillId="0" borderId="0" xfId="0" applyNumberFormat="1" applyFont="1"/>
    <xf numFmtId="44" fontId="11" fillId="0" borderId="0" xfId="154" applyFont="1"/>
    <xf numFmtId="170" fontId="11" fillId="0" borderId="0" xfId="0" applyNumberFormat="1" applyFont="1"/>
    <xf numFmtId="0" fontId="7" fillId="33" borderId="2" xfId="0" applyFont="1" applyFill="1" applyBorder="1"/>
    <xf numFmtId="0" fontId="0" fillId="33" borderId="2" xfId="0" applyFill="1" applyBorder="1"/>
    <xf numFmtId="0" fontId="7" fillId="33" borderId="2" xfId="0" applyFont="1" applyFill="1" applyBorder="1" applyAlignment="1">
      <alignment horizontal="center"/>
    </xf>
    <xf numFmtId="0" fontId="7" fillId="33" borderId="2" xfId="0" applyFont="1" applyFill="1" applyBorder="1" applyAlignment="1">
      <alignment horizontal="center" wrapText="1"/>
    </xf>
    <xf numFmtId="0" fontId="49" fillId="33" borderId="2" xfId="0" applyFont="1" applyFill="1" applyBorder="1"/>
    <xf numFmtId="174" fontId="49" fillId="33" borderId="2" xfId="0" applyNumberFormat="1" applyFont="1" applyFill="1" applyBorder="1"/>
    <xf numFmtId="0" fontId="7" fillId="34" borderId="2" xfId="0" applyFont="1" applyFill="1" applyBorder="1"/>
    <xf numFmtId="0" fontId="7" fillId="0" borderId="0" xfId="265" applyFont="1" applyFill="1" applyBorder="1" applyAlignment="1">
      <alignment horizontal="left"/>
    </xf>
    <xf numFmtId="170" fontId="49" fillId="33" borderId="2" xfId="0" applyNumberFormat="1" applyFont="1" applyFill="1" applyBorder="1"/>
    <xf numFmtId="174" fontId="49" fillId="33" borderId="2" xfId="0" applyNumberFormat="1" applyFont="1" applyFill="1" applyBorder="1"/>
    <xf numFmtId="0" fontId="7" fillId="0" borderId="0" xfId="264" applyFont="1" applyAlignment="1">
      <alignment horizontal="left"/>
    </xf>
    <xf numFmtId="168" fontId="10" fillId="0" borderId="0" xfId="269" applyFont="1" applyAlignment="1">
      <alignment horizontal="right"/>
    </xf>
    <xf numFmtId="180" fontId="91" fillId="0" borderId="0" xfId="158" applyNumberFormat="1" applyFont="1" applyFill="1"/>
    <xf numFmtId="180" fontId="0" fillId="0" borderId="0" xfId="0" applyNumberFormat="1" applyFill="1"/>
    <xf numFmtId="0" fontId="0" fillId="0" borderId="4" xfId="0" applyFill="1" applyBorder="1"/>
    <xf numFmtId="180" fontId="0" fillId="0" borderId="0" xfId="158" applyNumberFormat="1" applyFont="1" applyFill="1"/>
    <xf numFmtId="4" fontId="0" fillId="0" borderId="0" xfId="0" applyNumberFormat="1" applyFill="1"/>
    <xf numFmtId="0" fontId="0" fillId="0" borderId="0" xfId="0" applyFill="1"/>
    <xf numFmtId="182" fontId="0" fillId="0" borderId="0" xfId="158" applyNumberFormat="1" applyFont="1" applyFill="1"/>
    <xf numFmtId="1" fontId="7" fillId="0" borderId="30" xfId="264" applyNumberFormat="1" applyFill="1" applyBorder="1" applyAlignment="1">
      <alignment horizontal="center"/>
    </xf>
    <xf numFmtId="181" fontId="0" fillId="0" borderId="6" xfId="0" applyNumberFormat="1" applyFill="1" applyBorder="1"/>
    <xf numFmtId="1" fontId="7" fillId="0" borderId="28" xfId="265" applyNumberFormat="1" applyFill="1" applyBorder="1"/>
    <xf numFmtId="1" fontId="7" fillId="0" borderId="0" xfId="265" applyNumberFormat="1" applyFill="1" applyBorder="1" applyAlignment="1">
      <alignment horizontal="center"/>
    </xf>
    <xf numFmtId="1" fontId="7" fillId="0" borderId="30" xfId="265" applyNumberFormat="1" applyFill="1" applyBorder="1" applyAlignment="1">
      <alignment horizontal="center"/>
    </xf>
    <xf numFmtId="1" fontId="0" fillId="0" borderId="0" xfId="0" applyNumberFormat="1"/>
    <xf numFmtId="174" fontId="0" fillId="0" borderId="0" xfId="0" applyNumberFormat="1"/>
    <xf numFmtId="174" fontId="0" fillId="0" borderId="2" xfId="0" applyNumberFormat="1" applyFill="1" applyBorder="1"/>
    <xf numFmtId="170" fontId="0" fillId="0" borderId="2" xfId="0" applyNumberFormat="1" applyFill="1" applyBorder="1"/>
    <xf numFmtId="0" fontId="76" fillId="0" borderId="0" xfId="270" applyFont="1" applyAlignment="1">
      <alignment horizontal="left"/>
    </xf>
    <xf numFmtId="0" fontId="43" fillId="0" borderId="0" xfId="270" applyFont="1"/>
    <xf numFmtId="169" fontId="43" fillId="0" borderId="0" xfId="270" applyNumberFormat="1" applyFont="1"/>
    <xf numFmtId="0" fontId="43" fillId="0" borderId="0" xfId="270" applyFont="1" applyAlignment="1">
      <alignment horizontal="left"/>
    </xf>
    <xf numFmtId="0" fontId="43" fillId="0" borderId="0" xfId="0" applyFont="1"/>
    <xf numFmtId="0" fontId="43" fillId="0" borderId="0" xfId="0" applyFont="1" applyAlignment="1">
      <alignment horizontal="left"/>
    </xf>
    <xf numFmtId="169" fontId="76" fillId="0" borderId="0" xfId="270" applyNumberFormat="1" applyFont="1" applyAlignment="1">
      <alignment horizontal="right"/>
    </xf>
    <xf numFmtId="168" fontId="43" fillId="0" borderId="0" xfId="269" applyFont="1" applyAlignment="1"/>
    <xf numFmtId="168" fontId="43" fillId="0" borderId="0" xfId="269" applyFont="1" applyAlignment="1">
      <alignment horizontal="left"/>
    </xf>
    <xf numFmtId="168" fontId="43" fillId="0" borderId="0" xfId="269" applyFont="1" applyFill="1" applyAlignment="1"/>
    <xf numFmtId="168" fontId="43" fillId="0" borderId="0" xfId="269" applyFont="1" applyFill="1" applyBorder="1" applyAlignment="1"/>
    <xf numFmtId="168" fontId="43" fillId="0" borderId="0" xfId="269" applyFont="1" applyAlignment="1">
      <alignment horizontal="center"/>
    </xf>
    <xf numFmtId="0" fontId="43" fillId="0" borderId="4" xfId="270" applyFont="1" applyBorder="1" applyAlignment="1">
      <alignment horizontal="center"/>
    </xf>
    <xf numFmtId="0" fontId="43" fillId="0" borderId="0" xfId="270" quotePrefix="1" applyFont="1" applyFill="1" applyAlignment="1">
      <alignment horizontal="left"/>
    </xf>
    <xf numFmtId="0" fontId="43" fillId="0" borderId="0" xfId="270" applyFont="1" applyFill="1"/>
    <xf numFmtId="175" fontId="43" fillId="0" borderId="0" xfId="270" applyNumberFormat="1" applyFont="1" applyFill="1" applyAlignment="1">
      <alignment horizontal="center"/>
    </xf>
    <xf numFmtId="0" fontId="43" fillId="0" borderId="0" xfId="270" applyFont="1" applyFill="1" applyAlignment="1">
      <alignment horizontal="left"/>
    </xf>
    <xf numFmtId="0" fontId="43" fillId="0" borderId="0" xfId="270" applyFont="1" applyFill="1" applyBorder="1"/>
    <xf numFmtId="0" fontId="43" fillId="0" borderId="0" xfId="270" applyFont="1" applyFill="1" applyAlignment="1">
      <alignment horizontal="center"/>
    </xf>
    <xf numFmtId="0" fontId="43" fillId="0" borderId="0" xfId="270" applyFont="1" applyAlignment="1">
      <alignment horizontal="center"/>
    </xf>
    <xf numFmtId="0" fontId="43" fillId="0" borderId="3" xfId="270" applyFont="1" applyBorder="1"/>
    <xf numFmtId="169" fontId="43" fillId="0" borderId="3" xfId="270" applyNumberFormat="1" applyFont="1" applyFill="1" applyBorder="1"/>
    <xf numFmtId="169" fontId="43" fillId="0" borderId="0" xfId="270" applyNumberFormat="1" applyFont="1" applyFill="1" applyBorder="1"/>
    <xf numFmtId="3" fontId="43" fillId="0" borderId="0" xfId="270" applyNumberFormat="1" applyFont="1" applyFill="1"/>
    <xf numFmtId="168" fontId="43" fillId="0" borderId="0" xfId="269" applyFont="1" applyAlignment="1">
      <alignment horizontal="right"/>
    </xf>
    <xf numFmtId="173" fontId="43" fillId="0" borderId="0" xfId="270" applyNumberFormat="1" applyFont="1"/>
    <xf numFmtId="171" fontId="43" fillId="0" borderId="0" xfId="270" applyNumberFormat="1" applyFont="1" applyFill="1" applyBorder="1"/>
    <xf numFmtId="173" fontId="43" fillId="0" borderId="0" xfId="269" applyNumberFormat="1" applyFont="1" applyAlignment="1"/>
    <xf numFmtId="171" fontId="43" fillId="0" borderId="0" xfId="269" applyNumberFormat="1" applyFont="1" applyFill="1" applyBorder="1" applyAlignment="1"/>
    <xf numFmtId="10" fontId="43" fillId="0" borderId="0" xfId="280" applyNumberFormat="1" applyFont="1"/>
    <xf numFmtId="168" fontId="43" fillId="0" borderId="0" xfId="270" applyNumberFormat="1" applyFont="1"/>
    <xf numFmtId="171" fontId="43" fillId="0" borderId="0" xfId="270" applyNumberFormat="1" applyFont="1"/>
    <xf numFmtId="0" fontId="43" fillId="0" borderId="0" xfId="0" applyFont="1" applyFill="1" applyBorder="1"/>
    <xf numFmtId="0" fontId="3" fillId="0" borderId="0" xfId="0" applyFont="1" applyFill="1"/>
    <xf numFmtId="169" fontId="3" fillId="0" borderId="0" xfId="271" applyNumberFormat="1" applyFont="1" applyFill="1" applyAlignment="1">
      <alignment horizontal="right"/>
    </xf>
    <xf numFmtId="0" fontId="3" fillId="0" borderId="0" xfId="0" quotePrefix="1" applyFont="1" applyFill="1" applyAlignment="1">
      <alignment horizontal="right"/>
    </xf>
    <xf numFmtId="0" fontId="7" fillId="0" borderId="0" xfId="0" applyFont="1" applyFill="1"/>
    <xf numFmtId="0" fontId="7" fillId="0" borderId="0" xfId="0" quotePrefix="1" applyFont="1" applyFill="1"/>
    <xf numFmtId="180" fontId="92" fillId="0" borderId="4" xfId="159" applyNumberFormat="1" applyFont="1" applyFill="1" applyBorder="1"/>
    <xf numFmtId="8" fontId="89" fillId="0" borderId="0" xfId="0" applyNumberFormat="1" applyFont="1" applyFill="1" applyAlignment="1">
      <alignment vertical="center"/>
    </xf>
    <xf numFmtId="3" fontId="0" fillId="0" borderId="0" xfId="0" applyNumberFormat="1" applyFill="1"/>
    <xf numFmtId="3" fontId="91" fillId="0" borderId="0" xfId="0" applyNumberFormat="1" applyFont="1" applyFill="1"/>
    <xf numFmtId="4" fontId="91" fillId="0" borderId="0" xfId="0" applyNumberFormat="1" applyFont="1" applyFill="1"/>
    <xf numFmtId="3" fontId="92" fillId="0" borderId="4" xfId="0" applyNumberFormat="1" applyFont="1" applyFill="1" applyBorder="1"/>
    <xf numFmtId="4" fontId="92" fillId="0" borderId="0" xfId="0" applyNumberFormat="1" applyFont="1" applyFill="1"/>
    <xf numFmtId="165" fontId="7" fillId="0" borderId="0" xfId="149" applyNumberFormat="1" applyFont="1" applyFill="1"/>
    <xf numFmtId="4" fontId="7" fillId="0" borderId="0" xfId="0" applyNumberFormat="1" applyFont="1" applyFill="1"/>
    <xf numFmtId="0" fontId="0" fillId="0" borderId="0" xfId="0" applyFill="1" applyAlignment="1">
      <alignment horizontal="center"/>
    </xf>
    <xf numFmtId="181" fontId="7" fillId="0" borderId="0" xfId="288" applyNumberFormat="1" applyFont="1" applyFill="1" applyAlignment="1"/>
    <xf numFmtId="169" fontId="43" fillId="0" borderId="0" xfId="270" applyNumberFormat="1" applyFont="1" applyFill="1"/>
    <xf numFmtId="1" fontId="7" fillId="0" borderId="24" xfId="264" applyNumberFormat="1" applyFill="1" applyBorder="1" applyAlignment="1">
      <alignment horizontal="center"/>
    </xf>
    <xf numFmtId="1" fontId="7" fillId="0" borderId="35" xfId="264" applyNumberFormat="1" applyFill="1" applyBorder="1" applyAlignment="1">
      <alignment horizontal="center"/>
    </xf>
    <xf numFmtId="1" fontId="7" fillId="0" borderId="25" xfId="264" applyNumberFormat="1" applyFill="1" applyBorder="1" applyAlignment="1">
      <alignment horizontal="center"/>
    </xf>
    <xf numFmtId="1" fontId="7" fillId="0" borderId="27" xfId="264" applyNumberFormat="1" applyFill="1" applyBorder="1" applyAlignment="1">
      <alignment horizontal="center"/>
    </xf>
    <xf numFmtId="1" fontId="7" fillId="0" borderId="36" xfId="264" applyNumberFormat="1" applyFill="1" applyBorder="1" applyAlignment="1">
      <alignment horizontal="center"/>
    </xf>
    <xf numFmtId="1" fontId="7" fillId="0" borderId="0" xfId="264" applyNumberFormat="1" applyFill="1" applyBorder="1" applyAlignment="1">
      <alignment horizontal="center"/>
    </xf>
    <xf numFmtId="1" fontId="7" fillId="0" borderId="29" xfId="264" applyNumberFormat="1" applyFill="1" applyBorder="1" applyAlignment="1">
      <alignment horizontal="center"/>
    </xf>
    <xf numFmtId="1" fontId="7" fillId="0" borderId="37" xfId="264" applyNumberFormat="1" applyFill="1" applyBorder="1" applyAlignment="1">
      <alignment horizontal="center"/>
    </xf>
    <xf numFmtId="0" fontId="7" fillId="33" borderId="2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4" fillId="0" borderId="33" xfId="267" applyFont="1" applyBorder="1" applyAlignment="1">
      <alignment horizontal="center"/>
    </xf>
    <xf numFmtId="0" fontId="14" fillId="0" borderId="10" xfId="267" applyFont="1" applyBorder="1" applyAlignment="1">
      <alignment horizontal="center"/>
    </xf>
    <xf numFmtId="0" fontId="14" fillId="0" borderId="34" xfId="267" applyFont="1" applyBorder="1" applyAlignment="1">
      <alignment horizontal="center"/>
    </xf>
    <xf numFmtId="0" fontId="3" fillId="0" borderId="0" xfId="266" applyFont="1" applyAlignment="1">
      <alignment horizontal="center"/>
    </xf>
  </cellXfs>
  <cellStyles count="388">
    <cellStyle name="%" xfId="1"/>
    <cellStyle name="_033103 13 week CF1" xfId="2"/>
    <cellStyle name="_181000-189000" xfId="3"/>
    <cellStyle name="_2002  What- No Cap X Morgan" xfId="4"/>
    <cellStyle name="_Baseline Rollforward Support 050817" xfId="5"/>
    <cellStyle name="_EGTG_2003_YTD_Cash_Flow" xfId="6"/>
    <cellStyle name="_Everest_Board_Book_2003_FINAL" xfId="7"/>
    <cellStyle name="_Oct03_Everest_Board_Financial_Operating_Report" xfId="8"/>
    <cellStyle name="_SpreadSM" xfId="9"/>
    <cellStyle name="_Vacation Hours 7-14-08 (2)" xfId="10"/>
    <cellStyle name="=C:\WINNT35\SYSTEM32\COMMAND.COM" xfId="11"/>
    <cellStyle name="20% - Accent1" xfId="12" builtinId="30" customBuiltin="1"/>
    <cellStyle name="20% - Accent1 2" xfId="13"/>
    <cellStyle name="20% - Accent1 3" xfId="14"/>
    <cellStyle name="20% - Accent2" xfId="15" builtinId="34" customBuiltin="1"/>
    <cellStyle name="20% - Accent2 2" xfId="16"/>
    <cellStyle name="20% - Accent2 3" xfId="17"/>
    <cellStyle name="20% - Accent3" xfId="18" builtinId="38" customBuiltin="1"/>
    <cellStyle name="20% - Accent3 2" xfId="19"/>
    <cellStyle name="20% - Accent3 3" xfId="20"/>
    <cellStyle name="20% - Accent4" xfId="21" builtinId="42" customBuiltin="1"/>
    <cellStyle name="20% - Accent4 2" xfId="22"/>
    <cellStyle name="20% - Accent4 3" xfId="23"/>
    <cellStyle name="20% - Accent5" xfId="24" builtinId="46" customBuiltin="1"/>
    <cellStyle name="20% - Accent5 2" xfId="25"/>
    <cellStyle name="20% - Accent6" xfId="26" builtinId="50" customBuiltin="1"/>
    <cellStyle name="20% - Accent6 2" xfId="27"/>
    <cellStyle name="20% - Accent6 3" xfId="28"/>
    <cellStyle name="40% - Accent1" xfId="29" builtinId="31" customBuiltin="1"/>
    <cellStyle name="40% - Accent1 2" xfId="30"/>
    <cellStyle name="40% - Accent1 3" xfId="31"/>
    <cellStyle name="40% - Accent2" xfId="32" builtinId="35" customBuiltin="1"/>
    <cellStyle name="40% - Accent2 2" xfId="33"/>
    <cellStyle name="40% - Accent3" xfId="34" builtinId="39" customBuiltin="1"/>
    <cellStyle name="40% - Accent3 2" xfId="35"/>
    <cellStyle name="40% - Accent3 3" xfId="36"/>
    <cellStyle name="40% - Accent4" xfId="37" builtinId="43" customBuiltin="1"/>
    <cellStyle name="40% - Accent4 2" xfId="38"/>
    <cellStyle name="40% - Accent4 3" xfId="39"/>
    <cellStyle name="40% - Accent5" xfId="40" builtinId="47" customBuiltin="1"/>
    <cellStyle name="40% - Accent5 2" xfId="41"/>
    <cellStyle name="40% - Accent5 3" xfId="42"/>
    <cellStyle name="40% - Accent6" xfId="43" builtinId="51" customBuiltin="1"/>
    <cellStyle name="40% - Accent6 2" xfId="44"/>
    <cellStyle name="40% - Accent6 3" xfId="45"/>
    <cellStyle name="60% - Accent1" xfId="46" builtinId="32" customBuiltin="1"/>
    <cellStyle name="60% - Accent1 2" xfId="47"/>
    <cellStyle name="60% - Accent1 3" xfId="48"/>
    <cellStyle name="60% - Accent2" xfId="49" builtinId="36" customBuiltin="1"/>
    <cellStyle name="60% - Accent2 2" xfId="50"/>
    <cellStyle name="60% - Accent2 3" xfId="51"/>
    <cellStyle name="60% - Accent3" xfId="52" builtinId="40" customBuiltin="1"/>
    <cellStyle name="60% - Accent3 2" xfId="53"/>
    <cellStyle name="60% - Accent3 3" xfId="54"/>
    <cellStyle name="60% - Accent4" xfId="55" builtinId="44" customBuiltin="1"/>
    <cellStyle name="60% - Accent4 2" xfId="56"/>
    <cellStyle name="60% - Accent4 3" xfId="57"/>
    <cellStyle name="60% - Accent5" xfId="58" builtinId="48" customBuiltin="1"/>
    <cellStyle name="60% - Accent5 2" xfId="59"/>
    <cellStyle name="60% - Accent5 3" xfId="60"/>
    <cellStyle name="60% - Accent6" xfId="61" builtinId="52" customBuiltin="1"/>
    <cellStyle name="60% - Accent6 2" xfId="62"/>
    <cellStyle name="60% - Accent6 3" xfId="63"/>
    <cellStyle name="Accent1" xfId="64" builtinId="29" customBuiltin="1"/>
    <cellStyle name="Accent1 2" xfId="65"/>
    <cellStyle name="Accent1 3" xfId="66"/>
    <cellStyle name="Accent2" xfId="67" builtinId="33" customBuiltin="1"/>
    <cellStyle name="Accent2 2" xfId="68"/>
    <cellStyle name="Accent2 3" xfId="69"/>
    <cellStyle name="Accent3" xfId="70" builtinId="37" customBuiltin="1"/>
    <cellStyle name="Accent3 2" xfId="71"/>
    <cellStyle name="Accent3 3" xfId="72"/>
    <cellStyle name="Accent4" xfId="73" builtinId="41" customBuiltin="1"/>
    <cellStyle name="Accent4 2" xfId="74"/>
    <cellStyle name="Accent4 3" xfId="75"/>
    <cellStyle name="Accent5" xfId="76" builtinId="45" customBuiltin="1"/>
    <cellStyle name="Accent5 2" xfId="77"/>
    <cellStyle name="Accent6" xfId="78" builtinId="49" customBuiltin="1"/>
    <cellStyle name="Accent6 2" xfId="79"/>
    <cellStyle name="Accent6 3" xfId="80"/>
    <cellStyle name="Accounting" xfId="81"/>
    <cellStyle name="Actual Date" xfId="82"/>
    <cellStyle name="ADDR" xfId="83"/>
    <cellStyle name="ADDR 2" xfId="84"/>
    <cellStyle name="Agara" xfId="85"/>
    <cellStyle name="Bad" xfId="86" builtinId="27" customBuiltin="1"/>
    <cellStyle name="Bad 2" xfId="87"/>
    <cellStyle name="Bad 3" xfId="88"/>
    <cellStyle name="Body" xfId="89"/>
    <cellStyle name="Bottom bold border" xfId="90"/>
    <cellStyle name="Bottom single border" xfId="91"/>
    <cellStyle name="Business Unit" xfId="92"/>
    <cellStyle name="C00A" xfId="93"/>
    <cellStyle name="C00A 2" xfId="94"/>
    <cellStyle name="C00B" xfId="95"/>
    <cellStyle name="C00B 2" xfId="96"/>
    <cellStyle name="C00L" xfId="97"/>
    <cellStyle name="C00L 2" xfId="98"/>
    <cellStyle name="C01A" xfId="99"/>
    <cellStyle name="C01A 2" xfId="100"/>
    <cellStyle name="C01B" xfId="101"/>
    <cellStyle name="C01B 2" xfId="102"/>
    <cellStyle name="C01H" xfId="103"/>
    <cellStyle name="C01L" xfId="104"/>
    <cellStyle name="C02A" xfId="105"/>
    <cellStyle name="C02A 2" xfId="106"/>
    <cellStyle name="C02B" xfId="107"/>
    <cellStyle name="C02H" xfId="108"/>
    <cellStyle name="C02L" xfId="109"/>
    <cellStyle name="C03A" xfId="110"/>
    <cellStyle name="C03A 2" xfId="111"/>
    <cellStyle name="C03B" xfId="112"/>
    <cellStyle name="C03H" xfId="113"/>
    <cellStyle name="C03L" xfId="114"/>
    <cellStyle name="C04A" xfId="115"/>
    <cellStyle name="C04A 2" xfId="116"/>
    <cellStyle name="C04B" xfId="117"/>
    <cellStyle name="C04H" xfId="118"/>
    <cellStyle name="C04L" xfId="119"/>
    <cellStyle name="C05A" xfId="120"/>
    <cellStyle name="C05A 2" xfId="121"/>
    <cellStyle name="C05B" xfId="122"/>
    <cellStyle name="C05H" xfId="123"/>
    <cellStyle name="C05L" xfId="124"/>
    <cellStyle name="C05L 2" xfId="125"/>
    <cellStyle name="C06A" xfId="126"/>
    <cellStyle name="C06B" xfId="127"/>
    <cellStyle name="C06H" xfId="128"/>
    <cellStyle name="C06L" xfId="129"/>
    <cellStyle name="C07A" xfId="130"/>
    <cellStyle name="C07B" xfId="131"/>
    <cellStyle name="C07H" xfId="132"/>
    <cellStyle name="C07L" xfId="133"/>
    <cellStyle name="Calculation" xfId="134" builtinId="22" customBuiltin="1"/>
    <cellStyle name="Calculation 2" xfId="135"/>
    <cellStyle name="Calculation 3" xfId="136"/>
    <cellStyle name="Check Cell" xfId="137" builtinId="23" customBuiltin="1"/>
    <cellStyle name="Check Cell 2" xfId="138"/>
    <cellStyle name="Comma" xfId="139" builtinId="3"/>
    <cellStyle name="Comma 0" xfId="140"/>
    <cellStyle name="Comma 2" xfId="141"/>
    <cellStyle name="Comma 3" xfId="142"/>
    <cellStyle name="Comma 3 2" xfId="143"/>
    <cellStyle name="Comma 3 3" xfId="144"/>
    <cellStyle name="Comma 4" xfId="145"/>
    <cellStyle name="Comma 4 2" xfId="146"/>
    <cellStyle name="Comma 5" xfId="147"/>
    <cellStyle name="Comma 5 2" xfId="148"/>
    <cellStyle name="Comma 6" xfId="149"/>
    <cellStyle name="Comma 6 2" xfId="150"/>
    <cellStyle name="Comma 6 3" xfId="151"/>
    <cellStyle name="Comma 7" xfId="152"/>
    <cellStyle name="Comma0 - Style1" xfId="153"/>
    <cellStyle name="Currency" xfId="154" builtinId="4"/>
    <cellStyle name="Currency 2" xfId="155"/>
    <cellStyle name="Currency 3" xfId="156"/>
    <cellStyle name="Currency 3 2" xfId="157"/>
    <cellStyle name="Currency 4" xfId="158"/>
    <cellStyle name="Currency 4 2" xfId="159"/>
    <cellStyle name="Currency 4 3" xfId="160"/>
    <cellStyle name="Currency 5" xfId="161"/>
    <cellStyle name="Date" xfId="162"/>
    <cellStyle name="Euro" xfId="163"/>
    <cellStyle name="Euro 2" xfId="164"/>
    <cellStyle name="Explanatory Text" xfId="165" builtinId="53" customBuiltin="1"/>
    <cellStyle name="Explanatory Text 2" xfId="166"/>
    <cellStyle name="Fixed" xfId="167"/>
    <cellStyle name="Fixed1 - Style1" xfId="168"/>
    <cellStyle name="Gilsans" xfId="169"/>
    <cellStyle name="Gilsansl" xfId="170"/>
    <cellStyle name="Good" xfId="171" builtinId="26" customBuiltin="1"/>
    <cellStyle name="Good 2" xfId="172"/>
    <cellStyle name="Good 3" xfId="173"/>
    <cellStyle name="Grey" xfId="174"/>
    <cellStyle name="Grey 2" xfId="175"/>
    <cellStyle name="HEADER" xfId="176"/>
    <cellStyle name="Header1" xfId="177"/>
    <cellStyle name="Header2" xfId="178"/>
    <cellStyle name="Heading" xfId="179"/>
    <cellStyle name="Heading 1" xfId="180" builtinId="16" customBuiltin="1"/>
    <cellStyle name="Heading 1 2" xfId="181"/>
    <cellStyle name="Heading 1 3" xfId="182"/>
    <cellStyle name="Heading 2" xfId="183" builtinId="17" customBuiltin="1"/>
    <cellStyle name="Heading 2 2" xfId="184"/>
    <cellStyle name="Heading 2 3" xfId="185"/>
    <cellStyle name="Heading 3" xfId="186" builtinId="18" customBuiltin="1"/>
    <cellStyle name="Heading 3 2" xfId="187"/>
    <cellStyle name="Heading 3 3" xfId="188"/>
    <cellStyle name="Heading 4" xfId="189" builtinId="19" customBuiltin="1"/>
    <cellStyle name="Heading 4 2" xfId="190"/>
    <cellStyle name="Heading 4 3" xfId="191"/>
    <cellStyle name="Heading1" xfId="192"/>
    <cellStyle name="Heading2" xfId="193"/>
    <cellStyle name="HIGHLIGHT" xfId="194"/>
    <cellStyle name="Hyperlink 2" xfId="195"/>
    <cellStyle name="Input" xfId="196" builtinId="20" customBuiltin="1"/>
    <cellStyle name="Input [yellow]" xfId="197"/>
    <cellStyle name="Input [yellow] 2" xfId="198"/>
    <cellStyle name="Input 10" xfId="199"/>
    <cellStyle name="Input 11" xfId="200"/>
    <cellStyle name="Input 12" xfId="201"/>
    <cellStyle name="Input 13" xfId="202"/>
    <cellStyle name="Input 14" xfId="203"/>
    <cellStyle name="Input 2" xfId="204"/>
    <cellStyle name="Input 3" xfId="205"/>
    <cellStyle name="Input 4" xfId="206"/>
    <cellStyle name="Input 5" xfId="207"/>
    <cellStyle name="Input 6" xfId="208"/>
    <cellStyle name="Input 7" xfId="209"/>
    <cellStyle name="Input 8" xfId="210"/>
    <cellStyle name="Input 9" xfId="211"/>
    <cellStyle name="Lines" xfId="212"/>
    <cellStyle name="Lines 2" xfId="213"/>
    <cellStyle name="Linked Cell" xfId="214" builtinId="24" customBuiltin="1"/>
    <cellStyle name="Linked Cell 2" xfId="215"/>
    <cellStyle name="Linked Cell 3" xfId="216"/>
    <cellStyle name="MEM SSN" xfId="217"/>
    <cellStyle name="MEM SSN 2" xfId="218"/>
    <cellStyle name="Mine" xfId="219"/>
    <cellStyle name="mmm-yy" xfId="220"/>
    <cellStyle name="Monétaire [0]_pldt" xfId="221"/>
    <cellStyle name="Monétaire_pldt" xfId="222"/>
    <cellStyle name="Neutral" xfId="223" builtinId="28" customBuiltin="1"/>
    <cellStyle name="Neutral 2" xfId="224"/>
    <cellStyle name="Neutral 3" xfId="225"/>
    <cellStyle name="New" xfId="226"/>
    <cellStyle name="No Border" xfId="227"/>
    <cellStyle name="no dec" xfId="228"/>
    <cellStyle name="Normal" xfId="0" builtinId="0"/>
    <cellStyle name="Normal - Style1" xfId="229"/>
    <cellStyle name="Normal 10" xfId="230"/>
    <cellStyle name="Normal 11" xfId="231"/>
    <cellStyle name="Normal 12" xfId="232"/>
    <cellStyle name="Normal 13" xfId="233"/>
    <cellStyle name="Normal 14" xfId="234"/>
    <cellStyle name="Normal 15" xfId="235"/>
    <cellStyle name="Normal 16" xfId="236"/>
    <cellStyle name="Normal 17" xfId="237"/>
    <cellStyle name="Normal 18" xfId="238"/>
    <cellStyle name="Normal 18 2" xfId="239"/>
    <cellStyle name="Normal 19" xfId="240"/>
    <cellStyle name="Normal 2" xfId="241"/>
    <cellStyle name="Normal 2 2" xfId="242"/>
    <cellStyle name="Normal 2 2 2" xfId="243"/>
    <cellStyle name="Normal 20" xfId="244"/>
    <cellStyle name="Normal 3" xfId="245"/>
    <cellStyle name="Normal 3 2" xfId="246"/>
    <cellStyle name="Normal 3 2 2" xfId="247"/>
    <cellStyle name="Normal 3 2 3" xfId="248"/>
    <cellStyle name="Normal 3 3" xfId="249"/>
    <cellStyle name="Normal 4" xfId="250"/>
    <cellStyle name="Normal 4 2" xfId="251"/>
    <cellStyle name="Normal 5" xfId="252"/>
    <cellStyle name="Normal 5 2" xfId="253"/>
    <cellStyle name="Normal 6" xfId="254"/>
    <cellStyle name="Normal 7" xfId="255"/>
    <cellStyle name="Normal 8" xfId="256"/>
    <cellStyle name="Normal 9" xfId="257"/>
    <cellStyle name="Normal CEN" xfId="258"/>
    <cellStyle name="Normal CEN 2" xfId="259"/>
    <cellStyle name="Normal Centered" xfId="260"/>
    <cellStyle name="Normal Centered 2" xfId="261"/>
    <cellStyle name="NORMAL CTR" xfId="262"/>
    <cellStyle name="Normal_2002 AREA LOADS FOR JNT TARIFF" xfId="263"/>
    <cellStyle name="Normal_2002 AREA LOADS FOR JNT TARIFF 2" xfId="264"/>
    <cellStyle name="Normal_2002 AREA LOADS FOR JNT TARIFF_CUS AC LOADS" xfId="265"/>
    <cellStyle name="Normal_CU AC Rate Design" xfId="266"/>
    <cellStyle name="Normal_CU AC Rate Design_CUS AC LOADS" xfId="267"/>
    <cellStyle name="Normal_CUS AC LOADS" xfId="268"/>
    <cellStyle name="Normal_Sheet2" xfId="269"/>
    <cellStyle name="Normal_TopSheet Type Ancillaries Worksheet-Updated 81903" xfId="270"/>
    <cellStyle name="Normal_TopSheet Type Ancillaries Worksheet-Updated 81903 2" xfId="271"/>
    <cellStyle name="Note" xfId="272" builtinId="10" customBuiltin="1"/>
    <cellStyle name="Note 2" xfId="273"/>
    <cellStyle name="Note 2 2" xfId="274"/>
    <cellStyle name="Note 3" xfId="275"/>
    <cellStyle name="nUMBER" xfId="276"/>
    <cellStyle name="Output" xfId="277" builtinId="21" customBuiltin="1"/>
    <cellStyle name="Output 2" xfId="278"/>
    <cellStyle name="Output 3" xfId="279"/>
    <cellStyle name="Percent" xfId="280" builtinId="5"/>
    <cellStyle name="Percent [2]" xfId="281"/>
    <cellStyle name="Percent 10" xfId="282"/>
    <cellStyle name="Percent 11" xfId="283"/>
    <cellStyle name="Percent 12" xfId="284"/>
    <cellStyle name="Percent 13" xfId="285"/>
    <cellStyle name="Percent 14" xfId="286"/>
    <cellStyle name="Percent 14 2" xfId="287"/>
    <cellStyle name="Percent 15" xfId="288"/>
    <cellStyle name="Percent 16" xfId="289"/>
    <cellStyle name="Percent 17" xfId="290"/>
    <cellStyle name="Percent 17 2" xfId="291"/>
    <cellStyle name="Percent 18" xfId="292"/>
    <cellStyle name="Percent 19" xfId="293"/>
    <cellStyle name="Percent 2" xfId="294"/>
    <cellStyle name="Percent 2 2" xfId="295"/>
    <cellStyle name="Percent 20" xfId="296"/>
    <cellStyle name="Percent 21" xfId="297"/>
    <cellStyle name="Percent 22" xfId="298"/>
    <cellStyle name="Percent 23" xfId="299"/>
    <cellStyle name="Percent 24" xfId="300"/>
    <cellStyle name="Percent 25" xfId="301"/>
    <cellStyle name="Percent 26" xfId="302"/>
    <cellStyle name="Percent 27" xfId="303"/>
    <cellStyle name="Percent 28" xfId="304"/>
    <cellStyle name="Percent 3" xfId="305"/>
    <cellStyle name="Percent 3 2" xfId="306"/>
    <cellStyle name="Percent 4" xfId="307"/>
    <cellStyle name="Percent 5" xfId="308"/>
    <cellStyle name="Percent 6" xfId="309"/>
    <cellStyle name="Percent 7" xfId="310"/>
    <cellStyle name="Percent 8" xfId="311"/>
    <cellStyle name="Percent 9" xfId="312"/>
    <cellStyle name="PSChar" xfId="313"/>
    <cellStyle name="PSDate" xfId="314"/>
    <cellStyle name="PSDec" xfId="315"/>
    <cellStyle name="PSHeading" xfId="316"/>
    <cellStyle name="PSInt" xfId="317"/>
    <cellStyle name="PSSpacer" xfId="318"/>
    <cellStyle name="R00A" xfId="319"/>
    <cellStyle name="R00A 2" xfId="320"/>
    <cellStyle name="R00B" xfId="321"/>
    <cellStyle name="R00L" xfId="322"/>
    <cellStyle name="R00L 2" xfId="323"/>
    <cellStyle name="R01A" xfId="324"/>
    <cellStyle name="R01A 2" xfId="325"/>
    <cellStyle name="R01B" xfId="326"/>
    <cellStyle name="R01H" xfId="327"/>
    <cellStyle name="R01L" xfId="328"/>
    <cellStyle name="R01L 2" xfId="329"/>
    <cellStyle name="R02A" xfId="330"/>
    <cellStyle name="R02A 2" xfId="331"/>
    <cellStyle name="R02B" xfId="332"/>
    <cellStyle name="R02H" xfId="333"/>
    <cellStyle name="R02L" xfId="334"/>
    <cellStyle name="R03A" xfId="335"/>
    <cellStyle name="R03A 2" xfId="336"/>
    <cellStyle name="R03B" xfId="337"/>
    <cellStyle name="R03H" xfId="338"/>
    <cellStyle name="R03L" xfId="339"/>
    <cellStyle name="R03L 2" xfId="340"/>
    <cellStyle name="R04A" xfId="341"/>
    <cellStyle name="R04A 2" xfId="342"/>
    <cellStyle name="R04B" xfId="343"/>
    <cellStyle name="R04H" xfId="344"/>
    <cellStyle name="R04L" xfId="345"/>
    <cellStyle name="R04L 2" xfId="346"/>
    <cellStyle name="R05A" xfId="347"/>
    <cellStyle name="R05A 2" xfId="348"/>
    <cellStyle name="R05B" xfId="349"/>
    <cellStyle name="R05H" xfId="350"/>
    <cellStyle name="R05L" xfId="351"/>
    <cellStyle name="R05L 2" xfId="352"/>
    <cellStyle name="R06A" xfId="353"/>
    <cellStyle name="R06B" xfId="354"/>
    <cellStyle name="R06H" xfId="355"/>
    <cellStyle name="R06L" xfId="356"/>
    <cellStyle name="R07A" xfId="357"/>
    <cellStyle name="R07B" xfId="358"/>
    <cellStyle name="R07H" xfId="359"/>
    <cellStyle name="R07L" xfId="360"/>
    <cellStyle name="Resource Detail" xfId="361"/>
    <cellStyle name="Shade" xfId="362"/>
    <cellStyle name="single acct" xfId="363"/>
    <cellStyle name="Single Border" xfId="364"/>
    <cellStyle name="Small Page Heading" xfId="365"/>
    <cellStyle name="ssn" xfId="366"/>
    <cellStyle name="ssn 2" xfId="367"/>
    <cellStyle name="Style 1" xfId="368"/>
    <cellStyle name="Style 2" xfId="369"/>
    <cellStyle name="Style 27" xfId="370"/>
    <cellStyle name="Style 28" xfId="371"/>
    <cellStyle name="Table Sub Heading" xfId="372"/>
    <cellStyle name="Table Title" xfId="373"/>
    <cellStyle name="Table Units" xfId="374"/>
    <cellStyle name="Theirs" xfId="375"/>
    <cellStyle name="Times New Roman" xfId="376"/>
    <cellStyle name="Title" xfId="377" builtinId="15" customBuiltin="1"/>
    <cellStyle name="Title 2" xfId="378"/>
    <cellStyle name="Title 3" xfId="379"/>
    <cellStyle name="Total" xfId="380" builtinId="25" customBuiltin="1"/>
    <cellStyle name="Total 2" xfId="381"/>
    <cellStyle name="Total 3" xfId="382"/>
    <cellStyle name="Unprot" xfId="383"/>
    <cellStyle name="Unprot$" xfId="384"/>
    <cellStyle name="Unprotect" xfId="385"/>
    <cellStyle name="Warning Text" xfId="386" builtinId="11" customBuiltin="1"/>
    <cellStyle name="Warning Text 2" xfId="3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0"/>
  <sheetViews>
    <sheetView tabSelected="1" workbookViewId="0">
      <selection activeCell="B8" sqref="B8"/>
    </sheetView>
  </sheetViews>
  <sheetFormatPr defaultRowHeight="12.75"/>
  <cols>
    <col min="1" max="1" width="4.140625" style="123" customWidth="1"/>
    <col min="2" max="2" width="9.140625" style="123" customWidth="1"/>
    <col min="3" max="3" width="6.140625" style="123" customWidth="1"/>
    <col min="4" max="9" width="10.140625" style="123" bestFit="1" customWidth="1"/>
    <col min="10" max="10" width="14" style="123" bestFit="1" customWidth="1"/>
    <col min="11" max="11" width="12" style="123" bestFit="1" customWidth="1"/>
    <col min="12" max="12" width="11.85546875" style="123" bestFit="1" customWidth="1"/>
    <col min="13" max="13" width="12.85546875" style="123" customWidth="1"/>
    <col min="14" max="15" width="10.140625" style="123" bestFit="1" customWidth="1"/>
    <col min="16" max="16" width="7.5703125" style="123" bestFit="1" customWidth="1"/>
    <col min="17" max="17" width="10.140625" style="123" bestFit="1" customWidth="1"/>
    <col min="18" max="18" width="7.5703125" style="123" bestFit="1" customWidth="1"/>
    <col min="19" max="19" width="10.140625" style="123" bestFit="1" customWidth="1"/>
    <col min="20" max="20" width="10" style="123" bestFit="1" customWidth="1"/>
    <col min="21" max="21" width="10.140625" style="123" bestFit="1" customWidth="1"/>
    <col min="22" max="22" width="7.5703125" style="123" bestFit="1" customWidth="1"/>
    <col min="23" max="23" width="10.140625" style="123" bestFit="1" customWidth="1"/>
    <col min="24" max="24" width="9.140625" style="123"/>
    <col min="25" max="25" width="10.140625" style="123" bestFit="1" customWidth="1"/>
    <col min="26" max="26" width="9.42578125" style="123" bestFit="1" customWidth="1"/>
    <col min="27" max="27" width="10.140625" style="123" bestFit="1" customWidth="1"/>
    <col min="28" max="28" width="11.42578125" style="123" bestFit="1" customWidth="1"/>
    <col min="29" max="29" width="11.85546875" style="123" bestFit="1" customWidth="1"/>
    <col min="30" max="16384" width="9.140625" style="123"/>
  </cols>
  <sheetData>
    <row r="1" spans="1:29">
      <c r="A1" s="167" t="s">
        <v>0</v>
      </c>
    </row>
    <row r="2" spans="1:29">
      <c r="A2" s="167" t="s">
        <v>1</v>
      </c>
      <c r="J2" s="168" t="s">
        <v>119</v>
      </c>
    </row>
    <row r="3" spans="1:29">
      <c r="A3" s="167" t="s">
        <v>2</v>
      </c>
      <c r="J3" s="169" t="s">
        <v>123</v>
      </c>
    </row>
    <row r="5" spans="1:29">
      <c r="B5" s="170" t="s">
        <v>70</v>
      </c>
    </row>
    <row r="7" spans="1:29">
      <c r="A7" s="123">
        <v>1</v>
      </c>
      <c r="B7" s="170" t="s">
        <v>71</v>
      </c>
    </row>
    <row r="8" spans="1:29">
      <c r="A8" s="123">
        <v>2</v>
      </c>
      <c r="B8" s="171" t="s">
        <v>72</v>
      </c>
      <c r="J8" s="118">
        <f>'Sch. 2 - Total'!H10</f>
        <v>1660052</v>
      </c>
    </row>
    <row r="9" spans="1:29" ht="15">
      <c r="A9" s="123">
        <v>3</v>
      </c>
      <c r="B9" s="171" t="s">
        <v>124</v>
      </c>
      <c r="J9" s="172">
        <v>1886019.82</v>
      </c>
      <c r="M9" s="173"/>
    </row>
    <row r="10" spans="1:29" ht="15">
      <c r="A10" s="123">
        <v>4</v>
      </c>
      <c r="B10" s="170" t="s">
        <v>73</v>
      </c>
      <c r="J10" s="119">
        <f>J8-J9</f>
        <v>-225967.82000000007</v>
      </c>
      <c r="M10" s="173"/>
    </row>
    <row r="11" spans="1:29" ht="15">
      <c r="A11" s="123">
        <v>5</v>
      </c>
      <c r="B11" s="170" t="s">
        <v>74</v>
      </c>
      <c r="J11" s="120">
        <f>ROUND((1+$I$70)^18,2)</f>
        <v>1.1200000000000001</v>
      </c>
      <c r="M11" s="173"/>
    </row>
    <row r="12" spans="1:29" ht="15">
      <c r="A12" s="123">
        <v>6</v>
      </c>
      <c r="B12" s="170" t="s">
        <v>125</v>
      </c>
      <c r="D12" s="122"/>
      <c r="E12" s="122"/>
      <c r="F12" s="122"/>
      <c r="G12" s="122"/>
      <c r="H12" s="122"/>
      <c r="I12" s="122"/>
      <c r="J12" s="121">
        <f>J10*J11</f>
        <v>-253083.95840000009</v>
      </c>
      <c r="K12" s="122"/>
      <c r="L12" s="122"/>
      <c r="M12" s="173"/>
      <c r="N12" s="122"/>
      <c r="O12" s="122"/>
      <c r="P12" s="174"/>
      <c r="Q12" s="122"/>
      <c r="R12" s="174"/>
      <c r="S12" s="122"/>
      <c r="T12" s="174"/>
      <c r="U12" s="122"/>
      <c r="V12" s="174"/>
      <c r="W12" s="122"/>
      <c r="X12" s="174"/>
      <c r="Y12" s="122"/>
      <c r="Z12" s="174"/>
      <c r="AA12" s="122"/>
      <c r="AB12" s="174"/>
      <c r="AC12" s="122"/>
    </row>
    <row r="13" spans="1:29" ht="15">
      <c r="B13" s="170"/>
      <c r="D13" s="122"/>
      <c r="E13" s="122"/>
      <c r="F13" s="122"/>
      <c r="G13" s="122"/>
      <c r="H13" s="122"/>
      <c r="I13" s="122"/>
      <c r="J13" s="122"/>
      <c r="K13" s="122"/>
      <c r="L13" s="122"/>
      <c r="M13" s="173"/>
      <c r="N13" s="122"/>
      <c r="O13" s="122"/>
      <c r="P13" s="174"/>
      <c r="Q13" s="122"/>
      <c r="R13" s="174"/>
      <c r="S13" s="122"/>
      <c r="T13" s="174"/>
      <c r="U13" s="122"/>
      <c r="V13" s="174"/>
      <c r="W13" s="122"/>
      <c r="X13" s="174"/>
      <c r="Y13" s="122"/>
      <c r="Z13" s="174"/>
      <c r="AA13" s="122"/>
      <c r="AB13" s="174"/>
      <c r="AC13" s="122"/>
    </row>
    <row r="14" spans="1:29" ht="15">
      <c r="A14" s="123">
        <v>7</v>
      </c>
      <c r="B14" s="170" t="s">
        <v>75</v>
      </c>
      <c r="K14" s="122"/>
      <c r="L14" s="122"/>
      <c r="M14" s="173"/>
      <c r="N14" s="122"/>
      <c r="O14" s="122"/>
      <c r="P14" s="174"/>
      <c r="Q14" s="122"/>
      <c r="R14" s="174"/>
      <c r="S14" s="122"/>
      <c r="T14" s="174"/>
      <c r="U14" s="122"/>
      <c r="V14" s="174"/>
      <c r="W14" s="122"/>
      <c r="X14" s="174"/>
      <c r="Y14" s="122"/>
      <c r="Z14" s="174"/>
      <c r="AA14" s="122"/>
      <c r="AB14" s="174"/>
      <c r="AC14" s="122"/>
    </row>
    <row r="15" spans="1:29">
      <c r="A15" s="123">
        <v>8</v>
      </c>
      <c r="B15" s="171" t="s">
        <v>72</v>
      </c>
      <c r="J15" s="118">
        <f>'Sch. 2 - Total'!H11</f>
        <v>296353</v>
      </c>
      <c r="K15" s="122"/>
      <c r="L15" s="122"/>
      <c r="M15" s="122"/>
      <c r="N15" s="122"/>
      <c r="O15" s="122"/>
      <c r="P15" s="174"/>
      <c r="Q15" s="122"/>
      <c r="R15" s="174"/>
      <c r="S15" s="122"/>
      <c r="T15" s="174"/>
      <c r="U15" s="122"/>
      <c r="V15" s="174"/>
      <c r="W15" s="122"/>
      <c r="X15" s="174"/>
      <c r="Y15" s="122"/>
      <c r="Z15" s="174"/>
      <c r="AA15" s="122"/>
      <c r="AB15" s="174"/>
      <c r="AC15" s="122"/>
    </row>
    <row r="16" spans="1:29">
      <c r="A16" s="123">
        <v>9</v>
      </c>
      <c r="B16" s="171" t="str">
        <f>B9</f>
        <v xml:space="preserve">   2023 Collected Revenue</v>
      </c>
      <c r="J16" s="172">
        <v>334406.28000000003</v>
      </c>
      <c r="K16" s="122"/>
      <c r="M16" s="122"/>
      <c r="N16" s="122"/>
      <c r="O16" s="122"/>
      <c r="P16" s="174"/>
      <c r="Q16" s="122"/>
      <c r="R16" s="174"/>
      <c r="S16" s="122"/>
      <c r="T16" s="174"/>
      <c r="U16" s="122"/>
      <c r="V16" s="174"/>
      <c r="W16" s="122"/>
      <c r="X16" s="174"/>
      <c r="Y16" s="122"/>
      <c r="Z16" s="174"/>
      <c r="AA16" s="122"/>
      <c r="AB16" s="174"/>
      <c r="AC16" s="122"/>
    </row>
    <row r="17" spans="1:29">
      <c r="A17" s="123">
        <v>10</v>
      </c>
      <c r="B17" s="170" t="s">
        <v>73</v>
      </c>
      <c r="J17" s="119">
        <f>J15-J16</f>
        <v>-38053.280000000028</v>
      </c>
      <c r="K17" s="122"/>
      <c r="L17" s="122"/>
      <c r="M17" s="122"/>
      <c r="N17" s="122"/>
      <c r="O17" s="122"/>
      <c r="P17" s="174"/>
      <c r="Q17" s="122"/>
      <c r="R17" s="174"/>
      <c r="S17" s="122"/>
      <c r="T17" s="174"/>
      <c r="U17" s="122"/>
      <c r="V17" s="174"/>
      <c r="W17" s="122"/>
      <c r="X17" s="174"/>
      <c r="Y17" s="122"/>
      <c r="Z17" s="174"/>
      <c r="AA17" s="122"/>
      <c r="AB17" s="174"/>
      <c r="AC17" s="122"/>
    </row>
    <row r="18" spans="1:29">
      <c r="A18" s="123">
        <v>11</v>
      </c>
      <c r="B18" s="170" t="s">
        <v>74</v>
      </c>
      <c r="J18" s="120">
        <f>ROUND((1+$I$70)^18,2)</f>
        <v>1.1200000000000001</v>
      </c>
      <c r="K18" s="122"/>
      <c r="L18" s="122"/>
      <c r="M18" s="122"/>
      <c r="N18" s="122"/>
      <c r="O18" s="122"/>
      <c r="P18" s="174"/>
      <c r="Q18" s="122"/>
      <c r="R18" s="174"/>
      <c r="S18" s="122"/>
      <c r="T18" s="174"/>
      <c r="U18" s="122"/>
      <c r="V18" s="174"/>
      <c r="W18" s="122"/>
      <c r="X18" s="174"/>
      <c r="Y18" s="122"/>
      <c r="Z18" s="174"/>
      <c r="AA18" s="122"/>
      <c r="AB18" s="174"/>
      <c r="AC18" s="122"/>
    </row>
    <row r="19" spans="1:29">
      <c r="A19" s="123">
        <v>12</v>
      </c>
      <c r="B19" s="170" t="str">
        <f>+B12</f>
        <v>True-up Amount to be (Refunded)/Paid based on 2023 Actual Loads</v>
      </c>
      <c r="D19" s="122"/>
      <c r="E19" s="122"/>
      <c r="F19" s="122"/>
      <c r="G19" s="122"/>
      <c r="H19" s="122"/>
      <c r="I19" s="122"/>
      <c r="J19" s="121">
        <f>J17*J18</f>
        <v>-42619.673600000038</v>
      </c>
      <c r="K19" s="122"/>
      <c r="L19" s="122"/>
      <c r="M19" s="122"/>
      <c r="N19" s="122"/>
      <c r="O19" s="122"/>
      <c r="P19" s="174"/>
      <c r="Q19" s="122"/>
      <c r="R19" s="174"/>
      <c r="S19" s="122"/>
      <c r="T19" s="174"/>
      <c r="U19" s="122"/>
      <c r="V19" s="174"/>
      <c r="W19" s="122"/>
      <c r="X19" s="174"/>
      <c r="Y19" s="122"/>
      <c r="Z19" s="174"/>
      <c r="AA19" s="122"/>
      <c r="AB19" s="174"/>
      <c r="AC19" s="122"/>
    </row>
    <row r="20" spans="1:29">
      <c r="B20" s="170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74"/>
      <c r="Q20" s="122"/>
      <c r="R20" s="174"/>
      <c r="S20" s="122"/>
      <c r="T20" s="174"/>
      <c r="U20" s="122"/>
      <c r="V20" s="174"/>
      <c r="W20" s="122"/>
      <c r="X20" s="174"/>
      <c r="Y20" s="122"/>
      <c r="Z20" s="174"/>
      <c r="AA20" s="122"/>
      <c r="AB20" s="174"/>
      <c r="AC20" s="122"/>
    </row>
    <row r="21" spans="1:29">
      <c r="A21" s="123">
        <v>13</v>
      </c>
      <c r="B21" s="170" t="s">
        <v>76</v>
      </c>
      <c r="K21" s="122"/>
      <c r="L21" s="122"/>
      <c r="M21" s="122"/>
      <c r="N21" s="122"/>
      <c r="O21" s="122"/>
      <c r="P21" s="174"/>
      <c r="Q21" s="122"/>
      <c r="R21" s="174"/>
      <c r="S21" s="122"/>
      <c r="T21" s="174"/>
      <c r="U21" s="122"/>
      <c r="V21" s="174"/>
      <c r="W21" s="122"/>
      <c r="X21" s="174"/>
      <c r="Y21" s="122"/>
      <c r="Z21" s="174"/>
      <c r="AA21" s="122"/>
      <c r="AB21" s="174"/>
      <c r="AC21" s="122"/>
    </row>
    <row r="22" spans="1:29">
      <c r="A22" s="123">
        <v>14</v>
      </c>
      <c r="B22" s="171" t="s">
        <v>72</v>
      </c>
      <c r="J22" s="118">
        <f>'Sch. 2 - Total'!H12</f>
        <v>601062</v>
      </c>
      <c r="K22" s="122"/>
      <c r="L22" s="122"/>
      <c r="M22" s="122"/>
      <c r="N22" s="122"/>
      <c r="O22" s="122"/>
      <c r="P22" s="174"/>
      <c r="Q22" s="122"/>
      <c r="R22" s="174"/>
      <c r="S22" s="122"/>
      <c r="T22" s="174"/>
      <c r="U22" s="122"/>
      <c r="V22" s="174"/>
      <c r="W22" s="122"/>
      <c r="X22" s="174"/>
      <c r="Y22" s="122"/>
      <c r="Z22" s="174"/>
      <c r="AA22" s="122"/>
      <c r="AB22" s="174"/>
      <c r="AC22" s="122"/>
    </row>
    <row r="23" spans="1:29">
      <c r="A23" s="123">
        <v>15</v>
      </c>
      <c r="B23" s="171" t="str">
        <f>B16</f>
        <v xml:space="preserve">   2023 Collected Revenue</v>
      </c>
      <c r="J23" s="172">
        <v>680613.28</v>
      </c>
      <c r="K23" s="122"/>
      <c r="L23" s="122"/>
      <c r="M23" s="122"/>
      <c r="N23" s="122"/>
      <c r="O23" s="122"/>
      <c r="P23" s="174"/>
      <c r="Q23" s="122"/>
      <c r="R23" s="174"/>
      <c r="S23" s="122"/>
      <c r="T23" s="174"/>
      <c r="U23" s="122"/>
      <c r="V23" s="174"/>
      <c r="W23" s="122"/>
      <c r="X23" s="174"/>
      <c r="Y23" s="122"/>
      <c r="Z23" s="174"/>
      <c r="AA23" s="122"/>
      <c r="AB23" s="174"/>
      <c r="AC23" s="122"/>
    </row>
    <row r="24" spans="1:29">
      <c r="A24" s="123">
        <v>16</v>
      </c>
      <c r="B24" s="170" t="s">
        <v>73</v>
      </c>
      <c r="J24" s="119">
        <f>J22-J23</f>
        <v>-79551.280000000028</v>
      </c>
      <c r="K24" s="122"/>
      <c r="L24" s="122"/>
      <c r="M24" s="122"/>
      <c r="N24" s="122"/>
      <c r="O24" s="122"/>
      <c r="P24" s="174"/>
      <c r="Q24" s="122"/>
      <c r="R24" s="174"/>
      <c r="S24" s="122"/>
      <c r="T24" s="174"/>
      <c r="U24" s="122"/>
      <c r="V24" s="174"/>
      <c r="W24" s="122"/>
      <c r="X24" s="174"/>
      <c r="Y24" s="122"/>
      <c r="Z24" s="174"/>
      <c r="AA24" s="122"/>
      <c r="AB24" s="174"/>
      <c r="AC24" s="122"/>
    </row>
    <row r="25" spans="1:29">
      <c r="A25" s="123">
        <v>17</v>
      </c>
      <c r="B25" s="170" t="s">
        <v>74</v>
      </c>
      <c r="J25" s="120">
        <f>ROUND((1+$I$70)^18,2)</f>
        <v>1.1200000000000001</v>
      </c>
      <c r="K25" s="122"/>
      <c r="L25" s="122"/>
      <c r="M25" s="122"/>
      <c r="N25" s="122"/>
      <c r="O25" s="122"/>
      <c r="P25" s="174"/>
      <c r="Q25" s="122"/>
      <c r="R25" s="174"/>
      <c r="S25" s="122"/>
      <c r="T25" s="174"/>
      <c r="U25" s="122"/>
      <c r="V25" s="174"/>
      <c r="W25" s="122"/>
      <c r="X25" s="174"/>
      <c r="Y25" s="122"/>
      <c r="Z25" s="174"/>
      <c r="AA25" s="122"/>
      <c r="AB25" s="174"/>
      <c r="AC25" s="122"/>
    </row>
    <row r="26" spans="1:29">
      <c r="A26" s="123">
        <v>18</v>
      </c>
      <c r="B26" s="170" t="str">
        <f>+B12</f>
        <v>True-up Amount to be (Refunded)/Paid based on 2023 Actual Loads</v>
      </c>
      <c r="D26" s="122"/>
      <c r="E26" s="122"/>
      <c r="F26" s="122"/>
      <c r="G26" s="122"/>
      <c r="H26" s="122"/>
      <c r="I26" s="122"/>
      <c r="J26" s="121">
        <f>J24*J25</f>
        <v>-89097.433600000033</v>
      </c>
      <c r="K26" s="122"/>
      <c r="L26" s="122"/>
      <c r="M26" s="122"/>
      <c r="N26" s="122"/>
      <c r="O26" s="122"/>
      <c r="P26" s="174"/>
      <c r="Q26" s="122"/>
      <c r="R26" s="174"/>
      <c r="S26" s="122"/>
      <c r="T26" s="174"/>
      <c r="U26" s="122"/>
      <c r="V26" s="174"/>
      <c r="W26" s="122"/>
      <c r="X26" s="174"/>
      <c r="Y26" s="122"/>
      <c r="Z26" s="174"/>
      <c r="AA26" s="122"/>
      <c r="AB26" s="174"/>
      <c r="AC26" s="122"/>
    </row>
    <row r="27" spans="1:29">
      <c r="B27" s="170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74"/>
      <c r="Q27" s="122"/>
      <c r="R27" s="174"/>
      <c r="S27" s="122"/>
      <c r="T27" s="174"/>
      <c r="U27" s="122"/>
      <c r="V27" s="174"/>
      <c r="W27" s="122"/>
      <c r="X27" s="174"/>
      <c r="Y27" s="122"/>
      <c r="Z27" s="174"/>
      <c r="AA27" s="122"/>
      <c r="AB27" s="174"/>
      <c r="AC27" s="122"/>
    </row>
    <row r="28" spans="1:29">
      <c r="A28" s="123">
        <v>19</v>
      </c>
      <c r="B28" s="170" t="s">
        <v>77</v>
      </c>
      <c r="K28" s="122"/>
      <c r="L28" s="122"/>
      <c r="M28" s="122"/>
      <c r="N28" s="122"/>
      <c r="O28" s="122"/>
      <c r="P28" s="174"/>
      <c r="Q28" s="122"/>
      <c r="R28" s="174"/>
      <c r="S28" s="122"/>
      <c r="T28" s="174"/>
      <c r="U28" s="122"/>
      <c r="V28" s="174"/>
      <c r="W28" s="122"/>
      <c r="X28" s="174"/>
      <c r="Y28" s="122"/>
      <c r="Z28" s="174"/>
      <c r="AA28" s="122"/>
      <c r="AB28" s="174"/>
      <c r="AC28" s="122"/>
    </row>
    <row r="29" spans="1:29">
      <c r="A29" s="123">
        <v>20</v>
      </c>
      <c r="B29" s="171" t="s">
        <v>72</v>
      </c>
      <c r="J29" s="118">
        <f>'Sch. 2 - Total'!H13</f>
        <v>260384</v>
      </c>
      <c r="K29" s="122"/>
      <c r="L29" s="122"/>
      <c r="M29" s="122"/>
      <c r="N29" s="122"/>
      <c r="O29" s="122"/>
      <c r="P29" s="174"/>
      <c r="Q29" s="122"/>
      <c r="R29" s="174"/>
      <c r="S29" s="122"/>
      <c r="T29" s="174"/>
      <c r="U29" s="122"/>
      <c r="V29" s="174"/>
      <c r="W29" s="122"/>
      <c r="X29" s="174"/>
      <c r="Y29" s="122"/>
      <c r="Z29" s="174"/>
      <c r="AA29" s="122"/>
      <c r="AB29" s="174"/>
      <c r="AC29" s="122"/>
    </row>
    <row r="30" spans="1:29">
      <c r="A30" s="123">
        <v>21</v>
      </c>
      <c r="B30" s="171" t="str">
        <f>B23</f>
        <v xml:space="preserve">   2023 Collected Revenue</v>
      </c>
      <c r="J30" s="172">
        <v>293909.42</v>
      </c>
      <c r="K30" s="122"/>
      <c r="L30" s="122"/>
      <c r="M30" s="122"/>
      <c r="N30" s="122"/>
      <c r="O30" s="122"/>
      <c r="P30" s="174"/>
      <c r="Q30" s="122"/>
      <c r="R30" s="174"/>
      <c r="S30" s="122"/>
      <c r="T30" s="174"/>
      <c r="U30" s="122"/>
      <c r="V30" s="174"/>
      <c r="W30" s="122"/>
      <c r="X30" s="174"/>
      <c r="Y30" s="122"/>
      <c r="Z30" s="174"/>
      <c r="AA30" s="122"/>
      <c r="AB30" s="174"/>
      <c r="AC30" s="122"/>
    </row>
    <row r="31" spans="1:29">
      <c r="A31" s="123">
        <v>22</v>
      </c>
      <c r="B31" s="170" t="s">
        <v>73</v>
      </c>
      <c r="J31" s="119">
        <f>J29-J30</f>
        <v>-33525.419999999984</v>
      </c>
      <c r="K31" s="122"/>
      <c r="L31" s="122"/>
      <c r="M31" s="122"/>
      <c r="N31" s="122"/>
      <c r="O31" s="122"/>
      <c r="P31" s="174"/>
      <c r="Q31" s="122"/>
      <c r="R31" s="174"/>
      <c r="S31" s="122"/>
      <c r="T31" s="174"/>
      <c r="U31" s="122"/>
      <c r="V31" s="174"/>
      <c r="W31" s="122"/>
      <c r="X31" s="174"/>
      <c r="Y31" s="122"/>
      <c r="Z31" s="174"/>
      <c r="AA31" s="122"/>
      <c r="AB31" s="174"/>
      <c r="AC31" s="122"/>
    </row>
    <row r="32" spans="1:29">
      <c r="A32" s="123">
        <v>23</v>
      </c>
      <c r="B32" s="170" t="s">
        <v>74</v>
      </c>
      <c r="J32" s="120">
        <f>ROUND((1+$I$70)^18,2)</f>
        <v>1.1200000000000001</v>
      </c>
      <c r="K32" s="122"/>
      <c r="L32" s="122"/>
      <c r="M32" s="122"/>
      <c r="N32" s="122"/>
      <c r="O32" s="122"/>
      <c r="P32" s="174"/>
      <c r="Q32" s="122"/>
      <c r="R32" s="174"/>
      <c r="S32" s="122"/>
      <c r="T32" s="174"/>
      <c r="U32" s="122"/>
      <c r="V32" s="174"/>
      <c r="W32" s="122"/>
      <c r="X32" s="174"/>
      <c r="Y32" s="122"/>
      <c r="Z32" s="174"/>
      <c r="AA32" s="122"/>
      <c r="AB32" s="174"/>
      <c r="AC32" s="122"/>
    </row>
    <row r="33" spans="1:29">
      <c r="A33" s="123">
        <v>24</v>
      </c>
      <c r="B33" s="170" t="str">
        <f>+B12</f>
        <v>True-up Amount to be (Refunded)/Paid based on 2023 Actual Loads</v>
      </c>
      <c r="D33" s="122"/>
      <c r="E33" s="122"/>
      <c r="F33" s="122"/>
      <c r="G33" s="122"/>
      <c r="H33" s="122"/>
      <c r="I33" s="122"/>
      <c r="J33" s="121">
        <f>J31*J32</f>
        <v>-37548.470399999984</v>
      </c>
      <c r="K33" s="122"/>
      <c r="L33" s="122"/>
      <c r="M33" s="122"/>
      <c r="N33" s="122"/>
      <c r="O33" s="122"/>
      <c r="P33" s="174"/>
      <c r="Q33" s="122"/>
      <c r="R33" s="174"/>
      <c r="S33" s="122"/>
      <c r="T33" s="174"/>
      <c r="U33" s="122"/>
      <c r="V33" s="174"/>
      <c r="W33" s="122"/>
      <c r="X33" s="174"/>
      <c r="Y33" s="122"/>
      <c r="Z33" s="174"/>
      <c r="AA33" s="122"/>
      <c r="AB33" s="174"/>
      <c r="AC33" s="122"/>
    </row>
    <row r="34" spans="1:29">
      <c r="B34" s="170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74"/>
      <c r="Q34" s="122"/>
      <c r="R34" s="174"/>
      <c r="S34" s="122"/>
      <c r="T34" s="174"/>
      <c r="U34" s="122"/>
      <c r="V34" s="174"/>
      <c r="W34" s="122"/>
      <c r="X34" s="174"/>
      <c r="Y34" s="122"/>
      <c r="Z34" s="174"/>
      <c r="AA34" s="122"/>
      <c r="AB34" s="174"/>
      <c r="AC34" s="122"/>
    </row>
    <row r="35" spans="1:29">
      <c r="A35" s="123">
        <v>25</v>
      </c>
      <c r="B35" s="170" t="s">
        <v>78</v>
      </c>
      <c r="K35" s="122"/>
      <c r="L35" s="122"/>
      <c r="M35" s="122"/>
      <c r="N35" s="122"/>
      <c r="O35" s="122"/>
      <c r="P35" s="174"/>
      <c r="Q35" s="122"/>
      <c r="R35" s="174"/>
      <c r="S35" s="122"/>
      <c r="T35" s="174"/>
      <c r="U35" s="122"/>
      <c r="V35" s="174"/>
      <c r="W35" s="122"/>
      <c r="X35" s="174"/>
      <c r="Y35" s="122"/>
      <c r="Z35" s="174"/>
      <c r="AA35" s="122"/>
      <c r="AB35" s="174"/>
      <c r="AC35" s="122"/>
    </row>
    <row r="36" spans="1:29">
      <c r="A36" s="123">
        <v>26</v>
      </c>
      <c r="B36" s="171" t="s">
        <v>72</v>
      </c>
      <c r="J36" s="118">
        <f>'Sch. 2 - Total'!H14</f>
        <v>1034689</v>
      </c>
      <c r="K36" s="122"/>
      <c r="L36" s="122"/>
      <c r="M36" s="122"/>
      <c r="N36" s="122"/>
      <c r="O36" s="122"/>
      <c r="P36" s="174"/>
      <c r="Q36" s="122"/>
      <c r="R36" s="174"/>
      <c r="S36" s="122"/>
      <c r="T36" s="174"/>
      <c r="U36" s="122"/>
      <c r="V36" s="174"/>
      <c r="W36" s="122"/>
      <c r="X36" s="174"/>
      <c r="Y36" s="122"/>
      <c r="Z36" s="174"/>
      <c r="AA36" s="122"/>
      <c r="AB36" s="174"/>
      <c r="AC36" s="122"/>
    </row>
    <row r="37" spans="1:29">
      <c r="A37" s="123">
        <v>27</v>
      </c>
      <c r="B37" s="171" t="str">
        <f>B30</f>
        <v xml:space="preserve">   2023 Collected Revenue</v>
      </c>
      <c r="J37" s="172">
        <v>1172906</v>
      </c>
      <c r="K37" s="122"/>
      <c r="L37" s="122"/>
      <c r="M37" s="122"/>
      <c r="N37" s="122"/>
      <c r="O37" s="122"/>
      <c r="P37" s="174"/>
      <c r="Q37" s="122"/>
      <c r="R37" s="174"/>
      <c r="S37" s="122"/>
      <c r="T37" s="174"/>
      <c r="U37" s="122"/>
      <c r="V37" s="174"/>
      <c r="W37" s="122"/>
      <c r="X37" s="174"/>
      <c r="Y37" s="122"/>
      <c r="Z37" s="174"/>
      <c r="AA37" s="122"/>
      <c r="AB37" s="174"/>
      <c r="AC37" s="122"/>
    </row>
    <row r="38" spans="1:29">
      <c r="A38" s="123">
        <v>28</v>
      </c>
      <c r="B38" s="170" t="s">
        <v>73</v>
      </c>
      <c r="J38" s="119">
        <f>J36-J37</f>
        <v>-138217</v>
      </c>
      <c r="K38" s="122"/>
      <c r="L38" s="122"/>
      <c r="M38" s="122"/>
      <c r="N38" s="122"/>
      <c r="O38" s="122"/>
      <c r="P38" s="174"/>
      <c r="Q38" s="122"/>
      <c r="R38" s="174"/>
      <c r="S38" s="122"/>
      <c r="T38" s="174"/>
      <c r="U38" s="122"/>
      <c r="V38" s="174"/>
      <c r="W38" s="122"/>
      <c r="X38" s="174"/>
      <c r="Y38" s="122"/>
      <c r="Z38" s="174"/>
      <c r="AA38" s="122"/>
      <c r="AB38" s="174"/>
      <c r="AC38" s="122"/>
    </row>
    <row r="39" spans="1:29">
      <c r="A39" s="123">
        <v>29</v>
      </c>
      <c r="B39" s="170" t="s">
        <v>74</v>
      </c>
      <c r="J39" s="120">
        <f>ROUND((1+$I$70)^18,2)</f>
        <v>1.1200000000000001</v>
      </c>
      <c r="K39" s="122"/>
      <c r="L39" s="122"/>
      <c r="M39" s="122"/>
      <c r="N39" s="122"/>
      <c r="O39" s="122"/>
      <c r="P39" s="174"/>
      <c r="Q39" s="122"/>
      <c r="R39" s="174"/>
      <c r="S39" s="122"/>
      <c r="T39" s="174"/>
      <c r="U39" s="122"/>
      <c r="V39" s="174"/>
      <c r="W39" s="122"/>
      <c r="X39" s="174"/>
      <c r="Y39" s="122"/>
      <c r="Z39" s="174"/>
      <c r="AA39" s="122"/>
      <c r="AB39" s="174"/>
      <c r="AC39" s="122"/>
    </row>
    <row r="40" spans="1:29">
      <c r="A40" s="123">
        <v>30</v>
      </c>
      <c r="B40" s="170" t="str">
        <f>+B12</f>
        <v>True-up Amount to be (Refunded)/Paid based on 2023 Actual Loads</v>
      </c>
      <c r="D40" s="122"/>
      <c r="E40" s="122"/>
      <c r="F40" s="122"/>
      <c r="G40" s="122"/>
      <c r="H40" s="122"/>
      <c r="I40" s="122"/>
      <c r="J40" s="121">
        <f>J38*J39</f>
        <v>-154803.04</v>
      </c>
      <c r="K40" s="122"/>
      <c r="L40" s="122"/>
      <c r="M40" s="122"/>
      <c r="N40" s="122"/>
      <c r="O40" s="122"/>
      <c r="P40" s="174"/>
      <c r="Q40" s="122"/>
      <c r="R40" s="174"/>
      <c r="S40" s="122"/>
      <c r="T40" s="174"/>
      <c r="U40" s="122"/>
      <c r="V40" s="174"/>
      <c r="W40" s="122"/>
      <c r="X40" s="174"/>
      <c r="Y40" s="122"/>
      <c r="Z40" s="174"/>
      <c r="AA40" s="122"/>
      <c r="AB40" s="174"/>
      <c r="AC40" s="122"/>
    </row>
    <row r="41" spans="1:29">
      <c r="B41" s="170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74"/>
      <c r="Q41" s="122"/>
      <c r="R41" s="174"/>
      <c r="S41" s="122"/>
      <c r="T41" s="174"/>
      <c r="U41" s="122"/>
      <c r="V41" s="174"/>
      <c r="W41" s="122"/>
      <c r="X41" s="174"/>
      <c r="Y41" s="122"/>
      <c r="Z41" s="174"/>
      <c r="AA41" s="122"/>
      <c r="AB41" s="174"/>
      <c r="AC41" s="122"/>
    </row>
    <row r="42" spans="1:29">
      <c r="A42" s="123">
        <v>30</v>
      </c>
      <c r="B42" s="170" t="s">
        <v>79</v>
      </c>
      <c r="K42" s="122"/>
      <c r="L42" s="122"/>
      <c r="M42" s="122"/>
      <c r="N42" s="122"/>
      <c r="O42" s="122"/>
      <c r="P42" s="174"/>
      <c r="Q42" s="122"/>
      <c r="R42" s="174"/>
      <c r="S42" s="122"/>
      <c r="T42" s="174"/>
      <c r="U42" s="122"/>
      <c r="V42" s="174"/>
      <c r="W42" s="122"/>
      <c r="X42" s="174"/>
      <c r="Y42" s="122"/>
      <c r="Z42" s="174"/>
      <c r="AA42" s="122"/>
      <c r="AB42" s="174"/>
      <c r="AC42" s="122"/>
    </row>
    <row r="43" spans="1:29">
      <c r="A43" s="123">
        <v>31</v>
      </c>
      <c r="B43" s="171" t="s">
        <v>72</v>
      </c>
      <c r="J43" s="118">
        <f>'Sch. 2 - Total'!H15</f>
        <v>66747</v>
      </c>
      <c r="K43" s="122"/>
      <c r="M43" s="175">
        <f>J43+J36+J29+J22+J15+J8</f>
        <v>3919287</v>
      </c>
      <c r="N43" s="176" t="s">
        <v>80</v>
      </c>
      <c r="O43" s="122"/>
      <c r="P43" s="174"/>
      <c r="Q43" s="122"/>
      <c r="R43" s="174"/>
      <c r="S43" s="122"/>
      <c r="T43" s="174"/>
      <c r="U43" s="122"/>
      <c r="V43" s="174"/>
      <c r="W43" s="122"/>
      <c r="X43" s="174"/>
      <c r="Y43" s="122"/>
      <c r="Z43" s="174"/>
      <c r="AA43" s="122"/>
      <c r="AB43" s="174"/>
      <c r="AC43" s="122"/>
    </row>
    <row r="44" spans="1:29">
      <c r="A44" s="123">
        <v>33</v>
      </c>
      <c r="B44" s="171" t="str">
        <f>B37</f>
        <v xml:space="preserve">   2023 Collected Revenue</v>
      </c>
      <c r="J44" s="172">
        <v>74444.67</v>
      </c>
      <c r="K44" s="122"/>
      <c r="M44" s="177">
        <f>J44+J37+J30+J23+J16+J9</f>
        <v>4442299.4700000007</v>
      </c>
      <c r="N44" s="178" t="s">
        <v>81</v>
      </c>
      <c r="O44" s="122"/>
      <c r="P44" s="174"/>
      <c r="Q44" s="122"/>
      <c r="R44" s="174"/>
      <c r="S44" s="122"/>
      <c r="T44" s="174"/>
      <c r="U44" s="122"/>
      <c r="V44" s="174"/>
      <c r="W44" s="122"/>
      <c r="X44" s="174"/>
      <c r="Y44" s="122"/>
      <c r="Z44" s="174"/>
      <c r="AA44" s="122"/>
      <c r="AB44" s="174"/>
      <c r="AC44" s="122"/>
    </row>
    <row r="45" spans="1:29">
      <c r="A45" s="123">
        <v>34</v>
      </c>
      <c r="B45" s="170" t="s">
        <v>73</v>
      </c>
      <c r="J45" s="119">
        <f>J43-J44</f>
        <v>-7697.6699999999983</v>
      </c>
      <c r="K45" s="122"/>
      <c r="L45" s="119"/>
      <c r="M45" s="179">
        <f>M43-M44</f>
        <v>-523012.47000000067</v>
      </c>
      <c r="N45" s="180" t="s">
        <v>122</v>
      </c>
      <c r="O45" s="122"/>
      <c r="P45" s="174"/>
      <c r="Q45" s="122"/>
      <c r="R45" s="174"/>
      <c r="S45" s="122"/>
      <c r="T45" s="174"/>
      <c r="U45" s="122"/>
      <c r="V45" s="174"/>
      <c r="W45" s="122"/>
      <c r="X45" s="174"/>
      <c r="Y45" s="122"/>
      <c r="Z45" s="174"/>
      <c r="AA45" s="122"/>
      <c r="AB45" s="174"/>
      <c r="AC45" s="122"/>
    </row>
    <row r="46" spans="1:29">
      <c r="A46" s="123">
        <v>35</v>
      </c>
      <c r="B46" s="170" t="s">
        <v>74</v>
      </c>
      <c r="J46" s="120">
        <f>ROUND((1+$I$70)^18,2)</f>
        <v>1.1200000000000001</v>
      </c>
      <c r="K46" s="122"/>
      <c r="L46" s="122"/>
      <c r="M46" s="122"/>
      <c r="N46" s="122"/>
      <c r="O46" s="122"/>
      <c r="P46" s="174"/>
      <c r="Q46" s="122"/>
      <c r="R46" s="174"/>
      <c r="S46" s="122"/>
      <c r="T46" s="174"/>
      <c r="U46" s="122"/>
      <c r="V46" s="174"/>
      <c r="W46" s="122"/>
      <c r="X46" s="174"/>
      <c r="Y46" s="122"/>
      <c r="Z46" s="174"/>
      <c r="AA46" s="122"/>
      <c r="AB46" s="174"/>
      <c r="AC46" s="122"/>
    </row>
    <row r="47" spans="1:29">
      <c r="A47" s="123">
        <v>36</v>
      </c>
      <c r="B47" s="170" t="str">
        <f>+B12</f>
        <v>True-up Amount to be (Refunded)/Paid based on 2023 Actual Loads</v>
      </c>
      <c r="D47" s="122"/>
      <c r="E47" s="122"/>
      <c r="F47" s="122"/>
      <c r="G47" s="122"/>
      <c r="H47" s="122"/>
      <c r="I47" s="122"/>
      <c r="J47" s="121">
        <f>J45*J46</f>
        <v>-8621.3903999999984</v>
      </c>
      <c r="K47" s="122"/>
      <c r="L47" s="122"/>
      <c r="M47" s="122"/>
      <c r="N47" s="122"/>
      <c r="O47" s="122"/>
      <c r="P47" s="174"/>
      <c r="Q47" s="122"/>
      <c r="R47" s="174"/>
      <c r="S47" s="122"/>
      <c r="T47" s="174"/>
      <c r="U47" s="122"/>
      <c r="V47" s="174"/>
      <c r="W47" s="122"/>
      <c r="X47" s="174"/>
      <c r="Y47" s="122"/>
      <c r="Z47" s="174"/>
      <c r="AA47" s="122"/>
      <c r="AB47" s="174"/>
      <c r="AC47" s="122"/>
    </row>
    <row r="48" spans="1:29">
      <c r="B48" s="170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74"/>
      <c r="Q48" s="122"/>
      <c r="R48" s="174"/>
      <c r="S48" s="122"/>
      <c r="T48" s="174"/>
      <c r="U48" s="122"/>
      <c r="V48" s="174"/>
      <c r="W48" s="122"/>
      <c r="X48" s="174"/>
      <c r="Y48" s="122"/>
      <c r="Z48" s="174"/>
      <c r="AA48" s="122"/>
      <c r="AB48" s="174"/>
      <c r="AC48" s="122"/>
    </row>
    <row r="49" spans="1:29">
      <c r="A49" s="123">
        <v>37</v>
      </c>
      <c r="C49" s="123" t="s">
        <v>82</v>
      </c>
      <c r="D49" s="123" t="s">
        <v>83</v>
      </c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</row>
    <row r="50" spans="1:29"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</row>
    <row r="51" spans="1:29">
      <c r="A51" s="123">
        <v>38</v>
      </c>
      <c r="B51" s="123" t="s">
        <v>84</v>
      </c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</row>
    <row r="52" spans="1:29">
      <c r="A52" s="123">
        <v>39</v>
      </c>
      <c r="E52" s="124"/>
      <c r="F52" s="124"/>
      <c r="G52" s="124"/>
      <c r="H52" s="124"/>
      <c r="I52" s="124" t="s">
        <v>85</v>
      </c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</row>
    <row r="53" spans="1:29">
      <c r="A53" s="123">
        <v>40</v>
      </c>
      <c r="C53" s="123" t="s">
        <v>86</v>
      </c>
      <c r="F53" s="181" t="s">
        <v>87</v>
      </c>
      <c r="I53" s="123" t="s">
        <v>88</v>
      </c>
    </row>
    <row r="54" spans="1:29">
      <c r="A54" s="123">
        <f t="shared" ref="A54:A70" si="0">A53+1</f>
        <v>41</v>
      </c>
      <c r="C54" s="123" t="s">
        <v>22</v>
      </c>
      <c r="F54" s="181">
        <v>2023</v>
      </c>
      <c r="I54" s="182">
        <v>5.4000000000000003E-3</v>
      </c>
    </row>
    <row r="55" spans="1:29">
      <c r="A55" s="123">
        <f t="shared" si="0"/>
        <v>42</v>
      </c>
      <c r="C55" s="123" t="s">
        <v>23</v>
      </c>
      <c r="F55" s="181">
        <f>F54</f>
        <v>2023</v>
      </c>
      <c r="I55" s="182">
        <v>4.7999999999999996E-3</v>
      </c>
    </row>
    <row r="56" spans="1:29">
      <c r="A56" s="123">
        <f t="shared" si="0"/>
        <v>43</v>
      </c>
      <c r="C56" s="123" t="s">
        <v>24</v>
      </c>
      <c r="F56" s="181">
        <f t="shared" ref="F56:F65" si="1">F55</f>
        <v>2023</v>
      </c>
      <c r="I56" s="182">
        <v>5.4000000000000003E-3</v>
      </c>
    </row>
    <row r="57" spans="1:29">
      <c r="A57" s="123">
        <f t="shared" si="0"/>
        <v>44</v>
      </c>
      <c r="C57" s="123" t="s">
        <v>28</v>
      </c>
      <c r="F57" s="181">
        <f t="shared" si="1"/>
        <v>2023</v>
      </c>
      <c r="I57" s="182">
        <v>6.1999999999999998E-3</v>
      </c>
    </row>
    <row r="58" spans="1:29">
      <c r="A58" s="123">
        <f t="shared" si="0"/>
        <v>45</v>
      </c>
      <c r="C58" s="123" t="s">
        <v>29</v>
      </c>
      <c r="F58" s="181">
        <f t="shared" si="1"/>
        <v>2023</v>
      </c>
      <c r="I58" s="182">
        <v>6.4000000000000003E-3</v>
      </c>
    </row>
    <row r="59" spans="1:29">
      <c r="A59" s="123">
        <f t="shared" si="0"/>
        <v>46</v>
      </c>
      <c r="C59" s="123" t="s">
        <v>30</v>
      </c>
      <c r="F59" s="181">
        <f t="shared" si="1"/>
        <v>2023</v>
      </c>
      <c r="I59" s="182">
        <v>6.1999999999999998E-3</v>
      </c>
    </row>
    <row r="60" spans="1:29">
      <c r="A60" s="123">
        <f t="shared" si="0"/>
        <v>47</v>
      </c>
      <c r="C60" s="123" t="s">
        <v>25</v>
      </c>
      <c r="F60" s="181">
        <f t="shared" si="1"/>
        <v>2023</v>
      </c>
      <c r="I60" s="182">
        <v>6.7999999999999996E-3</v>
      </c>
    </row>
    <row r="61" spans="1:29">
      <c r="A61" s="123">
        <f t="shared" si="0"/>
        <v>48</v>
      </c>
      <c r="C61" s="123" t="s">
        <v>19</v>
      </c>
      <c r="F61" s="181">
        <f t="shared" si="1"/>
        <v>2023</v>
      </c>
      <c r="I61" s="182">
        <v>6.7999999999999996E-3</v>
      </c>
    </row>
    <row r="62" spans="1:29">
      <c r="A62" s="123">
        <f t="shared" si="0"/>
        <v>49</v>
      </c>
      <c r="C62" s="123" t="s">
        <v>26</v>
      </c>
      <c r="F62" s="181">
        <f t="shared" si="1"/>
        <v>2023</v>
      </c>
      <c r="I62" s="182">
        <v>6.6E-3</v>
      </c>
    </row>
    <row r="63" spans="1:29">
      <c r="A63" s="123">
        <f t="shared" si="0"/>
        <v>50</v>
      </c>
      <c r="C63" s="123" t="s">
        <v>20</v>
      </c>
      <c r="F63" s="181">
        <f t="shared" si="1"/>
        <v>2023</v>
      </c>
      <c r="I63" s="182">
        <v>7.1000000000000004E-3</v>
      </c>
    </row>
    <row r="64" spans="1:29">
      <c r="A64" s="123">
        <f t="shared" si="0"/>
        <v>51</v>
      </c>
      <c r="C64" s="123" t="s">
        <v>21</v>
      </c>
      <c r="F64" s="181">
        <f t="shared" si="1"/>
        <v>2023</v>
      </c>
      <c r="I64" s="182">
        <v>6.8999999999999999E-3</v>
      </c>
    </row>
    <row r="65" spans="1:9">
      <c r="A65" s="123">
        <f t="shared" si="0"/>
        <v>52</v>
      </c>
      <c r="C65" s="123" t="s">
        <v>27</v>
      </c>
      <c r="F65" s="181">
        <f t="shared" si="1"/>
        <v>2023</v>
      </c>
      <c r="I65" s="182">
        <v>7.1000000000000004E-3</v>
      </c>
    </row>
    <row r="66" spans="1:9">
      <c r="A66" s="123">
        <f t="shared" si="0"/>
        <v>53</v>
      </c>
      <c r="C66" s="123" t="s">
        <v>22</v>
      </c>
      <c r="F66" s="181">
        <f>F65+1</f>
        <v>2024</v>
      </c>
      <c r="I66" s="182">
        <v>7.1999999999999998E-3</v>
      </c>
    </row>
    <row r="67" spans="1:9">
      <c r="A67" s="123">
        <f t="shared" si="0"/>
        <v>54</v>
      </c>
      <c r="C67" s="123" t="s">
        <v>23</v>
      </c>
      <c r="F67" s="181">
        <f>F66</f>
        <v>2024</v>
      </c>
      <c r="I67" s="182">
        <v>6.7999999999999996E-3</v>
      </c>
    </row>
    <row r="68" spans="1:9">
      <c r="A68" s="123">
        <f t="shared" si="0"/>
        <v>55</v>
      </c>
      <c r="C68" s="123" t="s">
        <v>24</v>
      </c>
      <c r="F68" s="181">
        <f>F67</f>
        <v>2024</v>
      </c>
      <c r="I68" s="182">
        <v>7.1999999999999998E-3</v>
      </c>
    </row>
    <row r="69" spans="1:9">
      <c r="A69" s="123">
        <f t="shared" si="0"/>
        <v>56</v>
      </c>
      <c r="C69" s="123" t="s">
        <v>28</v>
      </c>
      <c r="F69" s="181">
        <f>F68</f>
        <v>2024</v>
      </c>
      <c r="I69" s="182">
        <v>7.0000000000000001E-3</v>
      </c>
    </row>
    <row r="70" spans="1:9">
      <c r="A70" s="123">
        <f t="shared" si="0"/>
        <v>57</v>
      </c>
      <c r="D70" s="123" t="s">
        <v>89</v>
      </c>
      <c r="I70" s="126">
        <f>AVERAGE(I54:I69)</f>
        <v>6.4937500000000004E-3</v>
      </c>
    </row>
  </sheetData>
  <pageMargins left="0.7" right="0.7" top="0.75" bottom="0.75" header="0.3" footer="0.3"/>
  <pageSetup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zoomScale="85" zoomScaleNormal="85" workbookViewId="0">
      <selection activeCell="U23" sqref="U23"/>
    </sheetView>
  </sheetViews>
  <sheetFormatPr defaultRowHeight="12.75"/>
  <cols>
    <col min="2" max="2" width="12.85546875" customWidth="1"/>
    <col min="4" max="7" width="14.140625" customWidth="1"/>
    <col min="8" max="8" width="15.42578125" customWidth="1"/>
    <col min="9" max="9" width="14.140625" customWidth="1"/>
    <col min="10" max="10" width="16.140625" customWidth="1"/>
  </cols>
  <sheetData>
    <row r="1" spans="1:14">
      <c r="A1" s="25" t="s">
        <v>34</v>
      </c>
      <c r="B1" s="13"/>
      <c r="C1" s="13"/>
      <c r="D1" s="13"/>
      <c r="E1" s="13"/>
      <c r="F1" s="13"/>
      <c r="G1" s="13"/>
      <c r="H1" s="13"/>
      <c r="J1" s="26" t="str">
        <f>+'Under-Over Recovery'!J2</f>
        <v>Black Hills Power, Inc.</v>
      </c>
      <c r="K1" s="14"/>
    </row>
    <row r="2" spans="1:14">
      <c r="A2" s="13"/>
      <c r="B2" s="15"/>
      <c r="C2" s="16"/>
      <c r="D2" s="16"/>
      <c r="E2" s="16"/>
      <c r="F2" s="16"/>
      <c r="G2" s="16"/>
      <c r="H2" s="16"/>
      <c r="I2" s="13"/>
      <c r="J2" s="26" t="str">
        <f>+'Under-Over Recovery'!J3</f>
        <v>May 31, 2024</v>
      </c>
      <c r="K2" s="13"/>
    </row>
    <row r="3" spans="1:14">
      <c r="A3" s="13"/>
      <c r="B3" s="199" t="s">
        <v>33</v>
      </c>
      <c r="C3" s="199"/>
      <c r="D3" s="199"/>
      <c r="E3" s="199"/>
      <c r="F3" s="199"/>
      <c r="G3" s="199"/>
      <c r="H3" s="199"/>
      <c r="I3" s="199"/>
    </row>
    <row r="4" spans="1:14">
      <c r="A4" s="13"/>
      <c r="B4" s="199" t="s">
        <v>7</v>
      </c>
      <c r="C4" s="199"/>
      <c r="D4" s="199"/>
      <c r="E4" s="199"/>
      <c r="F4" s="199"/>
      <c r="G4" s="199"/>
      <c r="H4" s="199"/>
      <c r="I4" s="199"/>
    </row>
    <row r="5" spans="1:14">
      <c r="A5" s="13"/>
      <c r="B5" s="15"/>
      <c r="C5" s="16"/>
      <c r="D5" s="17"/>
      <c r="E5" s="16"/>
      <c r="F5" s="13"/>
      <c r="G5" s="16"/>
      <c r="H5" s="16"/>
      <c r="I5" s="16"/>
      <c r="J5" s="16"/>
      <c r="K5" s="13"/>
    </row>
    <row r="6" spans="1:14" ht="18.75">
      <c r="A6" s="18" t="s">
        <v>31</v>
      </c>
      <c r="B6" s="56"/>
      <c r="C6" s="57"/>
      <c r="D6" s="196" t="s">
        <v>129</v>
      </c>
      <c r="E6" s="197"/>
      <c r="F6" s="197"/>
      <c r="G6" s="197"/>
      <c r="H6" s="198"/>
      <c r="I6" s="57"/>
      <c r="J6" s="58"/>
      <c r="K6" s="21"/>
    </row>
    <row r="7" spans="1:14" ht="15.75" thickBot="1">
      <c r="A7" s="19" t="s">
        <v>32</v>
      </c>
      <c r="B7" s="58"/>
      <c r="C7" s="58"/>
      <c r="D7" s="58"/>
      <c r="E7" s="58"/>
      <c r="F7" s="58"/>
      <c r="G7" s="58"/>
      <c r="H7" s="58"/>
      <c r="I7" s="58"/>
      <c r="J7" s="58"/>
      <c r="K7" s="21"/>
    </row>
    <row r="8" spans="1:14" ht="13.5" customHeight="1">
      <c r="A8" s="20">
        <v>1</v>
      </c>
      <c r="B8" s="59"/>
      <c r="C8" s="60"/>
      <c r="D8" s="61" t="s">
        <v>6</v>
      </c>
      <c r="E8" s="62" t="s">
        <v>8</v>
      </c>
      <c r="F8" s="62" t="s">
        <v>9</v>
      </c>
      <c r="G8" s="63" t="s">
        <v>10</v>
      </c>
      <c r="H8" s="61" t="s">
        <v>17</v>
      </c>
      <c r="I8" s="61" t="s">
        <v>37</v>
      </c>
      <c r="J8" s="62" t="s">
        <v>4</v>
      </c>
      <c r="K8" s="21"/>
    </row>
    <row r="9" spans="1:14" ht="13.5" customHeight="1">
      <c r="A9" s="20">
        <f>A8+1</f>
        <v>2</v>
      </c>
      <c r="B9" s="64"/>
      <c r="C9" s="65"/>
      <c r="D9" s="66" t="s">
        <v>4</v>
      </c>
      <c r="E9" s="66" t="s">
        <v>4</v>
      </c>
      <c r="F9" s="66" t="s">
        <v>11</v>
      </c>
      <c r="G9" s="67" t="s">
        <v>12</v>
      </c>
      <c r="H9" s="68" t="s">
        <v>18</v>
      </c>
      <c r="I9" s="68" t="s">
        <v>38</v>
      </c>
      <c r="J9" s="68" t="s">
        <v>14</v>
      </c>
      <c r="K9" s="21"/>
      <c r="L9" s="113"/>
    </row>
    <row r="10" spans="1:14" ht="13.5" customHeight="1" thickBot="1">
      <c r="A10" s="20">
        <f t="shared" ref="A10:A69" si="0">A9+1</f>
        <v>3</v>
      </c>
      <c r="B10" s="69"/>
      <c r="C10" s="70"/>
      <c r="D10" s="71" t="s">
        <v>13</v>
      </c>
      <c r="E10" s="71" t="s">
        <v>13</v>
      </c>
      <c r="F10" s="71" t="s">
        <v>13</v>
      </c>
      <c r="G10" s="72" t="s">
        <v>13</v>
      </c>
      <c r="H10" s="73" t="s">
        <v>13</v>
      </c>
      <c r="I10" s="73" t="s">
        <v>13</v>
      </c>
      <c r="J10" s="68" t="s">
        <v>15</v>
      </c>
      <c r="K10" s="21"/>
    </row>
    <row r="11" spans="1:14" ht="13.5" customHeight="1">
      <c r="A11" s="20">
        <f t="shared" si="0"/>
        <v>4</v>
      </c>
      <c r="B11" s="74" t="s">
        <v>22</v>
      </c>
      <c r="C11" s="75"/>
      <c r="D11" s="184">
        <v>304</v>
      </c>
      <c r="E11" s="87">
        <v>320</v>
      </c>
      <c r="F11" s="185">
        <v>2</v>
      </c>
      <c r="G11" s="87">
        <v>54</v>
      </c>
      <c r="H11" s="186">
        <v>342</v>
      </c>
      <c r="I11" s="184">
        <v>0</v>
      </c>
      <c r="J11" s="87">
        <f>SUM(D11:I11)</f>
        <v>1022</v>
      </c>
      <c r="K11" s="21"/>
      <c r="N11" s="130"/>
    </row>
    <row r="12" spans="1:14" ht="13.5" customHeight="1">
      <c r="A12" s="20">
        <f t="shared" si="0"/>
        <v>5</v>
      </c>
      <c r="B12" s="74" t="s">
        <v>23</v>
      </c>
      <c r="C12" s="76"/>
      <c r="D12" s="187">
        <v>309.45</v>
      </c>
      <c r="E12" s="88">
        <v>310.55</v>
      </c>
      <c r="F12" s="188">
        <v>2</v>
      </c>
      <c r="G12" s="88">
        <v>59</v>
      </c>
      <c r="H12" s="189">
        <v>342</v>
      </c>
      <c r="I12" s="187">
        <v>0</v>
      </c>
      <c r="J12" s="88">
        <f t="shared" ref="J12:J22" si="1">SUM(D12:I12)</f>
        <v>1023</v>
      </c>
      <c r="K12" s="21"/>
      <c r="N12" s="130"/>
    </row>
    <row r="13" spans="1:14" ht="15">
      <c r="A13" s="20">
        <f t="shared" si="0"/>
        <v>6</v>
      </c>
      <c r="B13" s="74" t="s">
        <v>24</v>
      </c>
      <c r="C13" s="76"/>
      <c r="D13" s="187">
        <v>290.45999999999998</v>
      </c>
      <c r="E13" s="88">
        <v>315.54000000000002</v>
      </c>
      <c r="F13" s="188">
        <v>2</v>
      </c>
      <c r="G13" s="88">
        <v>50</v>
      </c>
      <c r="H13" s="189">
        <v>342</v>
      </c>
      <c r="I13" s="187">
        <v>0</v>
      </c>
      <c r="J13" s="88">
        <f t="shared" si="1"/>
        <v>1000</v>
      </c>
      <c r="K13" s="21"/>
      <c r="N13" s="130"/>
    </row>
    <row r="14" spans="1:14" ht="15">
      <c r="A14" s="20">
        <f t="shared" si="0"/>
        <v>7</v>
      </c>
      <c r="B14" s="74" t="s">
        <v>28</v>
      </c>
      <c r="C14" s="76"/>
      <c r="D14" s="187">
        <v>231.56899999999999</v>
      </c>
      <c r="E14" s="88">
        <v>282.41300000000001</v>
      </c>
      <c r="F14" s="188">
        <v>1.97</v>
      </c>
      <c r="G14" s="88">
        <v>46.06</v>
      </c>
      <c r="H14" s="189">
        <v>342</v>
      </c>
      <c r="I14" s="187">
        <v>0</v>
      </c>
      <c r="J14" s="88">
        <f t="shared" si="1"/>
        <v>904.01199999999994</v>
      </c>
      <c r="K14" s="21"/>
      <c r="N14" s="130"/>
    </row>
    <row r="15" spans="1:14" ht="15">
      <c r="A15" s="20">
        <f t="shared" si="0"/>
        <v>8</v>
      </c>
      <c r="B15" s="74" t="s">
        <v>29</v>
      </c>
      <c r="C15" s="76"/>
      <c r="D15" s="187">
        <v>225.203</v>
      </c>
      <c r="E15" s="88">
        <v>213.511</v>
      </c>
      <c r="F15" s="188">
        <v>1.9370000000000001</v>
      </c>
      <c r="G15" s="88">
        <v>40.488</v>
      </c>
      <c r="H15" s="189">
        <v>342</v>
      </c>
      <c r="I15" s="187">
        <v>0</v>
      </c>
      <c r="J15" s="88">
        <f t="shared" si="1"/>
        <v>823.13900000000001</v>
      </c>
      <c r="K15" s="21"/>
      <c r="N15" s="130"/>
    </row>
    <row r="16" spans="1:14" ht="15">
      <c r="A16" s="20">
        <f t="shared" si="0"/>
        <v>9</v>
      </c>
      <c r="B16" s="74" t="s">
        <v>30</v>
      </c>
      <c r="C16" s="76"/>
      <c r="D16" s="187">
        <v>314.35000000000002</v>
      </c>
      <c r="E16" s="88">
        <v>250.68899999999999</v>
      </c>
      <c r="F16" s="188">
        <v>2.2850000000000001</v>
      </c>
      <c r="G16" s="88">
        <v>58.58</v>
      </c>
      <c r="H16" s="189">
        <v>332</v>
      </c>
      <c r="I16" s="187">
        <v>0</v>
      </c>
      <c r="J16" s="88">
        <f t="shared" si="1"/>
        <v>957.904</v>
      </c>
      <c r="K16" s="21"/>
      <c r="N16" s="130"/>
    </row>
    <row r="17" spans="1:14" ht="15">
      <c r="A17" s="20">
        <f t="shared" si="0"/>
        <v>10</v>
      </c>
      <c r="B17" s="74" t="s">
        <v>25</v>
      </c>
      <c r="C17" s="76"/>
      <c r="D17" s="187">
        <v>305.66000000000003</v>
      </c>
      <c r="E17" s="88">
        <v>243.81700000000001</v>
      </c>
      <c r="F17" s="188">
        <v>1.875</v>
      </c>
      <c r="G17" s="88">
        <v>68.866</v>
      </c>
      <c r="H17" s="189">
        <v>347</v>
      </c>
      <c r="I17" s="187">
        <v>0</v>
      </c>
      <c r="J17" s="88">
        <f t="shared" si="1"/>
        <v>967.21800000000007</v>
      </c>
      <c r="K17" s="21"/>
      <c r="N17" s="130"/>
    </row>
    <row r="18" spans="1:14" ht="15">
      <c r="A18" s="20">
        <f t="shared" si="0"/>
        <v>11</v>
      </c>
      <c r="B18" s="74" t="s">
        <v>19</v>
      </c>
      <c r="C18" s="76"/>
      <c r="D18" s="187">
        <v>361.70400000000001</v>
      </c>
      <c r="E18" s="88">
        <v>274.79399999999998</v>
      </c>
      <c r="F18" s="188">
        <v>2.714</v>
      </c>
      <c r="G18" s="88">
        <v>74.093999999999994</v>
      </c>
      <c r="H18" s="189">
        <v>347</v>
      </c>
      <c r="I18" s="187">
        <v>0</v>
      </c>
      <c r="J18" s="88">
        <f t="shared" si="1"/>
        <v>1060.306</v>
      </c>
      <c r="K18" s="21"/>
      <c r="N18" s="130"/>
    </row>
    <row r="19" spans="1:14" ht="15">
      <c r="A19" s="20">
        <f t="shared" si="0"/>
        <v>12</v>
      </c>
      <c r="B19" s="74" t="s">
        <v>26</v>
      </c>
      <c r="C19" s="76"/>
      <c r="D19" s="187">
        <v>333.62400000000002</v>
      </c>
      <c r="E19" s="88">
        <v>277.11099999999999</v>
      </c>
      <c r="F19" s="188">
        <v>2.61</v>
      </c>
      <c r="G19" s="88">
        <v>64.447999999999993</v>
      </c>
      <c r="H19" s="189">
        <v>347</v>
      </c>
      <c r="I19" s="187">
        <v>0</v>
      </c>
      <c r="J19" s="88">
        <f t="shared" si="1"/>
        <v>1024.7930000000001</v>
      </c>
      <c r="K19" s="21"/>
      <c r="N19" s="130"/>
    </row>
    <row r="20" spans="1:14" ht="15">
      <c r="A20" s="20">
        <f t="shared" si="0"/>
        <v>13</v>
      </c>
      <c r="B20" s="74" t="s">
        <v>20</v>
      </c>
      <c r="C20" s="76"/>
      <c r="D20" s="187">
        <v>272.053</v>
      </c>
      <c r="E20" s="88">
        <v>290.87299999999999</v>
      </c>
      <c r="F20" s="188">
        <v>2.1819999999999999</v>
      </c>
      <c r="G20" s="88">
        <v>45.648000000000003</v>
      </c>
      <c r="H20" s="189">
        <v>347</v>
      </c>
      <c r="I20" s="187">
        <v>0</v>
      </c>
      <c r="J20" s="88">
        <f t="shared" si="1"/>
        <v>957.75599999999997</v>
      </c>
      <c r="K20" s="21"/>
      <c r="N20" s="130"/>
    </row>
    <row r="21" spans="1:14" ht="15">
      <c r="A21" s="20">
        <f t="shared" si="0"/>
        <v>14</v>
      </c>
      <c r="B21" s="74" t="s">
        <v>21</v>
      </c>
      <c r="C21" s="76"/>
      <c r="D21" s="187">
        <v>256.358</v>
      </c>
      <c r="E21" s="88">
        <v>275.90600000000001</v>
      </c>
      <c r="F21" s="188">
        <v>2.165</v>
      </c>
      <c r="G21" s="88">
        <v>42.396000000000001</v>
      </c>
      <c r="H21" s="189">
        <v>347</v>
      </c>
      <c r="I21" s="187">
        <v>0</v>
      </c>
      <c r="J21" s="88">
        <f t="shared" si="1"/>
        <v>923.82499999999993</v>
      </c>
      <c r="K21" s="21"/>
      <c r="N21" s="130"/>
    </row>
    <row r="22" spans="1:14" ht="15.75" thickBot="1">
      <c r="A22" s="20">
        <f t="shared" si="0"/>
        <v>15</v>
      </c>
      <c r="B22" s="77" t="s">
        <v>27</v>
      </c>
      <c r="C22" s="78"/>
      <c r="D22" s="190">
        <v>259.24400000000003</v>
      </c>
      <c r="E22" s="125">
        <v>286.07100000000003</v>
      </c>
      <c r="F22" s="191">
        <v>1.831</v>
      </c>
      <c r="G22" s="125">
        <v>45.567</v>
      </c>
      <c r="H22" s="191">
        <v>347</v>
      </c>
      <c r="I22" s="190">
        <v>0</v>
      </c>
      <c r="J22" s="125">
        <f t="shared" si="1"/>
        <v>939.71300000000008</v>
      </c>
      <c r="K22" s="21"/>
      <c r="N22" s="130"/>
    </row>
    <row r="23" spans="1:14" ht="15.75" thickBot="1">
      <c r="A23" s="20">
        <f t="shared" si="0"/>
        <v>16</v>
      </c>
      <c r="B23" s="79"/>
      <c r="C23" s="80"/>
      <c r="D23" s="127"/>
      <c r="E23" s="127"/>
      <c r="F23" s="127"/>
      <c r="G23" s="86"/>
      <c r="H23" s="128"/>
      <c r="I23" s="129"/>
      <c r="J23" s="84"/>
      <c r="K23" s="21"/>
      <c r="N23" s="130"/>
    </row>
    <row r="24" spans="1:14" ht="15.75" thickBot="1">
      <c r="A24" s="20">
        <f t="shared" si="0"/>
        <v>17</v>
      </c>
      <c r="B24" s="82" t="s">
        <v>16</v>
      </c>
      <c r="C24" s="83"/>
      <c r="D24" s="84">
        <f>SUM(D11:D22)/12</f>
        <v>288.63958333333341</v>
      </c>
      <c r="E24" s="84">
        <f t="shared" ref="E24:J24" si="2">SUM(E11:E22)/12</f>
        <v>278.4395833333333</v>
      </c>
      <c r="F24" s="84">
        <f t="shared" si="2"/>
        <v>2.1307499999999995</v>
      </c>
      <c r="G24" s="84">
        <f t="shared" si="2"/>
        <v>54.09558333333333</v>
      </c>
      <c r="H24" s="84">
        <f t="shared" si="2"/>
        <v>343.66666666666669</v>
      </c>
      <c r="I24" s="84">
        <f t="shared" si="2"/>
        <v>0</v>
      </c>
      <c r="J24" s="84">
        <f t="shared" si="2"/>
        <v>966.97216666666657</v>
      </c>
      <c r="K24" s="21"/>
      <c r="N24" s="130"/>
    </row>
    <row r="25" spans="1:14" ht="15">
      <c r="A25" s="20">
        <f t="shared" si="0"/>
        <v>18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4" ht="15">
      <c r="A26" s="20">
        <f t="shared" si="0"/>
        <v>19</v>
      </c>
      <c r="B26" s="15"/>
      <c r="C26" s="16"/>
      <c r="D26" s="17"/>
      <c r="E26" s="16"/>
      <c r="F26" s="13"/>
      <c r="G26" s="16"/>
      <c r="H26" s="16"/>
      <c r="I26" s="16"/>
      <c r="J26" s="16"/>
      <c r="K26" s="21"/>
    </row>
    <row r="27" spans="1:14" ht="18.75">
      <c r="A27" s="20">
        <f t="shared" si="0"/>
        <v>20</v>
      </c>
      <c r="B27" s="56"/>
      <c r="C27" s="57"/>
      <c r="D27" s="196" t="s">
        <v>130</v>
      </c>
      <c r="E27" s="197"/>
      <c r="F27" s="197"/>
      <c r="G27" s="197"/>
      <c r="H27" s="198"/>
      <c r="I27" s="57"/>
      <c r="J27" s="58"/>
      <c r="K27" s="21"/>
    </row>
    <row r="28" spans="1:14" ht="15.75" thickBot="1">
      <c r="A28" s="20">
        <f t="shared" si="0"/>
        <v>21</v>
      </c>
      <c r="B28" s="58"/>
      <c r="C28" s="58"/>
      <c r="D28" s="58"/>
      <c r="E28" s="58"/>
      <c r="F28" s="58"/>
      <c r="G28" s="58"/>
      <c r="H28" s="58"/>
      <c r="I28" s="58"/>
      <c r="J28" s="58"/>
      <c r="K28" s="21"/>
    </row>
    <row r="29" spans="1:14" ht="15">
      <c r="A29" s="20">
        <f t="shared" si="0"/>
        <v>22</v>
      </c>
      <c r="B29" s="59"/>
      <c r="C29" s="60"/>
      <c r="D29" s="61" t="s">
        <v>6</v>
      </c>
      <c r="E29" s="62" t="s">
        <v>8</v>
      </c>
      <c r="F29" s="62" t="s">
        <v>9</v>
      </c>
      <c r="G29" s="63" t="s">
        <v>10</v>
      </c>
      <c r="H29" s="61" t="s">
        <v>17</v>
      </c>
      <c r="I29" s="61" t="s">
        <v>37</v>
      </c>
      <c r="J29" s="62" t="s">
        <v>4</v>
      </c>
      <c r="K29" s="21"/>
    </row>
    <row r="30" spans="1:14" ht="15">
      <c r="A30" s="20">
        <f t="shared" si="0"/>
        <v>23</v>
      </c>
      <c r="B30" s="64"/>
      <c r="C30" s="65"/>
      <c r="D30" s="66" t="s">
        <v>4</v>
      </c>
      <c r="E30" s="66" t="s">
        <v>4</v>
      </c>
      <c r="F30" s="66" t="s">
        <v>11</v>
      </c>
      <c r="G30" s="67" t="s">
        <v>12</v>
      </c>
      <c r="H30" s="68" t="s">
        <v>18</v>
      </c>
      <c r="I30" s="68" t="s">
        <v>38</v>
      </c>
      <c r="J30" s="68" t="s">
        <v>14</v>
      </c>
      <c r="K30" s="21"/>
      <c r="L30" s="113"/>
    </row>
    <row r="31" spans="1:14" ht="15.75" thickBot="1">
      <c r="A31" s="20">
        <f t="shared" si="0"/>
        <v>24</v>
      </c>
      <c r="B31" s="69"/>
      <c r="C31" s="70"/>
      <c r="D31" s="71" t="s">
        <v>13</v>
      </c>
      <c r="E31" s="71" t="s">
        <v>13</v>
      </c>
      <c r="F31" s="71" t="s">
        <v>13</v>
      </c>
      <c r="G31" s="72" t="s">
        <v>13</v>
      </c>
      <c r="H31" s="73" t="s">
        <v>13</v>
      </c>
      <c r="I31" s="73" t="s">
        <v>13</v>
      </c>
      <c r="J31" s="68" t="s">
        <v>15</v>
      </c>
      <c r="K31" s="21"/>
    </row>
    <row r="32" spans="1:14" ht="15">
      <c r="A32" s="20">
        <f t="shared" si="0"/>
        <v>25</v>
      </c>
      <c r="B32" s="74" t="s">
        <v>22</v>
      </c>
      <c r="C32" s="75"/>
      <c r="D32" s="184">
        <v>330</v>
      </c>
      <c r="E32" s="87">
        <v>269</v>
      </c>
      <c r="F32" s="185">
        <v>3</v>
      </c>
      <c r="G32" s="87">
        <v>71</v>
      </c>
      <c r="H32" s="186">
        <v>342</v>
      </c>
      <c r="I32" s="184">
        <v>0</v>
      </c>
      <c r="J32" s="87">
        <f>SUM(D32:I32)</f>
        <v>1015</v>
      </c>
      <c r="K32" s="21"/>
      <c r="M32" s="130"/>
    </row>
    <row r="33" spans="1:13" ht="15">
      <c r="A33" s="20">
        <f t="shared" si="0"/>
        <v>26</v>
      </c>
      <c r="B33" s="74" t="s">
        <v>23</v>
      </c>
      <c r="C33" s="76"/>
      <c r="D33" s="187">
        <v>318</v>
      </c>
      <c r="E33" s="88">
        <v>274</v>
      </c>
      <c r="F33" s="188">
        <v>3</v>
      </c>
      <c r="G33" s="88">
        <v>68</v>
      </c>
      <c r="H33" s="189">
        <v>342</v>
      </c>
      <c r="I33" s="187">
        <v>0</v>
      </c>
      <c r="J33" s="88">
        <f t="shared" ref="J33:J43" si="3">SUM(D33:I33)</f>
        <v>1005</v>
      </c>
      <c r="K33" s="21"/>
      <c r="M33" s="130"/>
    </row>
    <row r="34" spans="1:13" ht="15">
      <c r="A34" s="20">
        <f t="shared" si="0"/>
        <v>27</v>
      </c>
      <c r="B34" s="74" t="s">
        <v>24</v>
      </c>
      <c r="C34" s="76"/>
      <c r="D34" s="187">
        <v>297</v>
      </c>
      <c r="E34" s="88">
        <v>258</v>
      </c>
      <c r="F34" s="188">
        <v>3</v>
      </c>
      <c r="G34" s="88">
        <v>64</v>
      </c>
      <c r="H34" s="189">
        <v>342</v>
      </c>
      <c r="I34" s="187">
        <v>0</v>
      </c>
      <c r="J34" s="88">
        <f t="shared" si="3"/>
        <v>964</v>
      </c>
      <c r="K34" s="21"/>
      <c r="M34" s="130"/>
    </row>
    <row r="35" spans="1:13" ht="15">
      <c r="A35" s="20">
        <f t="shared" si="0"/>
        <v>28</v>
      </c>
      <c r="B35" s="74" t="s">
        <v>28</v>
      </c>
      <c r="C35" s="76"/>
      <c r="D35" s="187">
        <v>269</v>
      </c>
      <c r="E35" s="88">
        <v>241</v>
      </c>
      <c r="F35" s="188">
        <v>3</v>
      </c>
      <c r="G35" s="88">
        <v>57</v>
      </c>
      <c r="H35" s="189">
        <v>342</v>
      </c>
      <c r="I35" s="187">
        <v>0</v>
      </c>
      <c r="J35" s="88">
        <f t="shared" si="3"/>
        <v>912</v>
      </c>
      <c r="K35" s="21"/>
      <c r="M35" s="130"/>
    </row>
    <row r="36" spans="1:13" ht="15">
      <c r="A36" s="20">
        <f t="shared" si="0"/>
        <v>29</v>
      </c>
      <c r="B36" s="74" t="s">
        <v>29</v>
      </c>
      <c r="C36" s="76"/>
      <c r="D36" s="187">
        <v>278</v>
      </c>
      <c r="E36" s="88">
        <v>212</v>
      </c>
      <c r="F36" s="188">
        <v>3</v>
      </c>
      <c r="G36" s="88">
        <v>62</v>
      </c>
      <c r="H36" s="189">
        <v>342</v>
      </c>
      <c r="I36" s="187">
        <v>0</v>
      </c>
      <c r="J36" s="88">
        <f t="shared" si="3"/>
        <v>897</v>
      </c>
      <c r="K36" s="21"/>
      <c r="M36" s="130"/>
    </row>
    <row r="37" spans="1:13" ht="15">
      <c r="A37" s="20">
        <f t="shared" si="0"/>
        <v>30</v>
      </c>
      <c r="B37" s="74" t="s">
        <v>30</v>
      </c>
      <c r="C37" s="76"/>
      <c r="D37" s="187">
        <v>342</v>
      </c>
      <c r="E37" s="88">
        <v>203</v>
      </c>
      <c r="F37" s="188">
        <v>3</v>
      </c>
      <c r="G37" s="88">
        <v>75</v>
      </c>
      <c r="H37" s="189">
        <v>342</v>
      </c>
      <c r="I37" s="187">
        <v>0</v>
      </c>
      <c r="J37" s="88">
        <f t="shared" si="3"/>
        <v>965</v>
      </c>
      <c r="K37" s="21"/>
      <c r="M37" s="130"/>
    </row>
    <row r="38" spans="1:13" ht="15">
      <c r="A38" s="20">
        <f t="shared" si="0"/>
        <v>31</v>
      </c>
      <c r="B38" s="74" t="s">
        <v>25</v>
      </c>
      <c r="C38" s="76"/>
      <c r="D38" s="187">
        <v>377</v>
      </c>
      <c r="E38" s="88">
        <v>218</v>
      </c>
      <c r="F38" s="188">
        <v>3</v>
      </c>
      <c r="G38" s="88">
        <v>84</v>
      </c>
      <c r="H38" s="189">
        <v>342</v>
      </c>
      <c r="I38" s="187">
        <v>0</v>
      </c>
      <c r="J38" s="88">
        <f t="shared" si="3"/>
        <v>1024</v>
      </c>
      <c r="K38" s="21"/>
      <c r="M38" s="130"/>
    </row>
    <row r="39" spans="1:13" ht="15">
      <c r="A39" s="20">
        <f t="shared" si="0"/>
        <v>32</v>
      </c>
      <c r="B39" s="74" t="s">
        <v>19</v>
      </c>
      <c r="C39" s="76"/>
      <c r="D39" s="187">
        <v>361</v>
      </c>
      <c r="E39" s="88">
        <v>221</v>
      </c>
      <c r="F39" s="188">
        <v>3</v>
      </c>
      <c r="G39" s="88">
        <v>80</v>
      </c>
      <c r="H39" s="189">
        <v>342</v>
      </c>
      <c r="I39" s="187">
        <v>0</v>
      </c>
      <c r="J39" s="88">
        <f t="shared" si="3"/>
        <v>1007</v>
      </c>
      <c r="K39" s="21"/>
      <c r="M39" s="130"/>
    </row>
    <row r="40" spans="1:13" ht="15">
      <c r="A40" s="20">
        <f t="shared" si="0"/>
        <v>33</v>
      </c>
      <c r="B40" s="74" t="s">
        <v>26</v>
      </c>
      <c r="C40" s="76"/>
      <c r="D40" s="187">
        <v>323</v>
      </c>
      <c r="E40" s="88">
        <v>217</v>
      </c>
      <c r="F40" s="188">
        <v>3</v>
      </c>
      <c r="G40" s="88">
        <v>73</v>
      </c>
      <c r="H40" s="189">
        <v>342</v>
      </c>
      <c r="I40" s="187">
        <v>0</v>
      </c>
      <c r="J40" s="88">
        <f t="shared" si="3"/>
        <v>958</v>
      </c>
      <c r="K40" s="21"/>
      <c r="M40" s="130"/>
    </row>
    <row r="41" spans="1:13" ht="15">
      <c r="A41" s="20">
        <f t="shared" si="0"/>
        <v>34</v>
      </c>
      <c r="B41" s="74" t="s">
        <v>20</v>
      </c>
      <c r="C41" s="76"/>
      <c r="D41" s="187">
        <v>276</v>
      </c>
      <c r="E41" s="88">
        <v>241</v>
      </c>
      <c r="F41" s="188">
        <v>3</v>
      </c>
      <c r="G41" s="88">
        <v>59</v>
      </c>
      <c r="H41" s="189">
        <v>342</v>
      </c>
      <c r="I41" s="187">
        <v>0</v>
      </c>
      <c r="J41" s="88">
        <f t="shared" si="3"/>
        <v>921</v>
      </c>
      <c r="K41" s="21"/>
      <c r="M41" s="130"/>
    </row>
    <row r="42" spans="1:13" ht="15">
      <c r="A42" s="20">
        <f t="shared" si="0"/>
        <v>35</v>
      </c>
      <c r="B42" s="74" t="s">
        <v>21</v>
      </c>
      <c r="C42" s="76"/>
      <c r="D42" s="187">
        <v>302</v>
      </c>
      <c r="E42" s="88">
        <v>243</v>
      </c>
      <c r="F42" s="188">
        <v>3</v>
      </c>
      <c r="G42" s="88">
        <v>68</v>
      </c>
      <c r="H42" s="189">
        <v>342</v>
      </c>
      <c r="I42" s="187">
        <v>0</v>
      </c>
      <c r="J42" s="88">
        <f t="shared" si="3"/>
        <v>958</v>
      </c>
      <c r="K42" s="21"/>
      <c r="M42" s="130"/>
    </row>
    <row r="43" spans="1:13" ht="15.75" thickBot="1">
      <c r="A43" s="20">
        <f t="shared" si="0"/>
        <v>36</v>
      </c>
      <c r="B43" s="74" t="s">
        <v>27</v>
      </c>
      <c r="C43" s="78"/>
      <c r="D43" s="190">
        <v>324</v>
      </c>
      <c r="E43" s="125">
        <v>256</v>
      </c>
      <c r="F43" s="191">
        <v>3</v>
      </c>
      <c r="G43" s="125">
        <v>73</v>
      </c>
      <c r="H43" s="191">
        <v>342</v>
      </c>
      <c r="I43" s="190">
        <v>0</v>
      </c>
      <c r="J43" s="125">
        <f t="shared" si="3"/>
        <v>998</v>
      </c>
      <c r="K43" s="21"/>
      <c r="M43" s="130"/>
    </row>
    <row r="44" spans="1:13" ht="15.75" thickBot="1">
      <c r="A44" s="20">
        <f t="shared" si="0"/>
        <v>37</v>
      </c>
      <c r="B44" s="79"/>
      <c r="C44" s="80"/>
      <c r="D44" s="127"/>
      <c r="E44" s="127"/>
      <c r="F44" s="127"/>
      <c r="G44" s="86"/>
      <c r="H44" s="128"/>
      <c r="I44" s="129"/>
      <c r="J44" s="127"/>
      <c r="K44" s="21"/>
      <c r="M44" s="130"/>
    </row>
    <row r="45" spans="1:13" ht="15.75" thickBot="1">
      <c r="A45" s="20">
        <f t="shared" si="0"/>
        <v>38</v>
      </c>
      <c r="B45" s="82" t="s">
        <v>16</v>
      </c>
      <c r="C45" s="83"/>
      <c r="D45" s="84">
        <f>SUM(D32:D43)/12</f>
        <v>316.41666666666669</v>
      </c>
      <c r="E45" s="84">
        <f t="shared" ref="E45:J45" si="4">SUM(E32:E43)/12</f>
        <v>237.75</v>
      </c>
      <c r="F45" s="84">
        <f t="shared" si="4"/>
        <v>3</v>
      </c>
      <c r="G45" s="84">
        <f t="shared" si="4"/>
        <v>69.5</v>
      </c>
      <c r="H45" s="84">
        <f t="shared" si="4"/>
        <v>342</v>
      </c>
      <c r="I45" s="84">
        <f t="shared" si="4"/>
        <v>0</v>
      </c>
      <c r="J45" s="84">
        <f t="shared" si="4"/>
        <v>968.66666666666663</v>
      </c>
      <c r="K45" s="21"/>
      <c r="M45" s="130"/>
    </row>
    <row r="46" spans="1:13" ht="15">
      <c r="A46" s="20">
        <f t="shared" si="0"/>
        <v>39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</row>
    <row r="47" spans="1:13">
      <c r="A47" s="20">
        <f t="shared" si="0"/>
        <v>40</v>
      </c>
    </row>
    <row r="48" spans="1:13" ht="15.75">
      <c r="A48" s="20">
        <f t="shared" si="0"/>
        <v>41</v>
      </c>
      <c r="B48" s="56"/>
      <c r="C48" s="57"/>
      <c r="D48" s="196" t="s">
        <v>131</v>
      </c>
      <c r="E48" s="197"/>
      <c r="F48" s="197"/>
      <c r="G48" s="197"/>
      <c r="H48" s="198"/>
      <c r="I48" s="57"/>
      <c r="J48" s="58"/>
    </row>
    <row r="49" spans="1:10" ht="13.5" thickBot="1">
      <c r="A49" s="20">
        <f t="shared" si="0"/>
        <v>42</v>
      </c>
      <c r="B49" s="58"/>
      <c r="C49" s="58"/>
      <c r="D49" s="58"/>
      <c r="E49" s="58"/>
      <c r="F49" s="58"/>
      <c r="G49" s="58"/>
      <c r="H49" s="58"/>
      <c r="I49" s="58"/>
      <c r="J49" s="58"/>
    </row>
    <row r="50" spans="1:10" ht="15" customHeight="1">
      <c r="A50" s="20">
        <f t="shared" si="0"/>
        <v>43</v>
      </c>
      <c r="B50" s="59"/>
      <c r="C50" s="60"/>
      <c r="D50" s="61" t="s">
        <v>6</v>
      </c>
      <c r="E50" s="62" t="s">
        <v>8</v>
      </c>
      <c r="F50" s="62" t="s">
        <v>9</v>
      </c>
      <c r="G50" s="63" t="s">
        <v>10</v>
      </c>
      <c r="H50" s="61" t="s">
        <v>17</v>
      </c>
      <c r="I50" s="61" t="s">
        <v>37</v>
      </c>
      <c r="J50" s="62" t="s">
        <v>4</v>
      </c>
    </row>
    <row r="51" spans="1:10" ht="15" customHeight="1">
      <c r="A51" s="20">
        <f t="shared" si="0"/>
        <v>44</v>
      </c>
      <c r="B51" s="64"/>
      <c r="C51" s="65"/>
      <c r="D51" s="66" t="s">
        <v>4</v>
      </c>
      <c r="E51" s="66" t="s">
        <v>4</v>
      </c>
      <c r="F51" s="66" t="s">
        <v>11</v>
      </c>
      <c r="G51" s="67" t="s">
        <v>12</v>
      </c>
      <c r="H51" s="68" t="s">
        <v>18</v>
      </c>
      <c r="I51" s="68" t="s">
        <v>38</v>
      </c>
      <c r="J51" s="68" t="s">
        <v>14</v>
      </c>
    </row>
    <row r="52" spans="1:10" ht="15" customHeight="1" thickBot="1">
      <c r="A52" s="20">
        <f t="shared" si="0"/>
        <v>45</v>
      </c>
      <c r="B52" s="69"/>
      <c r="C52" s="70"/>
      <c r="D52" s="71" t="s">
        <v>13</v>
      </c>
      <c r="E52" s="71" t="s">
        <v>13</v>
      </c>
      <c r="F52" s="71" t="s">
        <v>13</v>
      </c>
      <c r="G52" s="72" t="s">
        <v>13</v>
      </c>
      <c r="H52" s="73" t="s">
        <v>13</v>
      </c>
      <c r="I52" s="73" t="s">
        <v>13</v>
      </c>
      <c r="J52" s="68" t="s">
        <v>15</v>
      </c>
    </row>
    <row r="53" spans="1:10" ht="15" customHeight="1">
      <c r="A53" s="20">
        <f t="shared" si="0"/>
        <v>46</v>
      </c>
      <c r="B53" s="74" t="s">
        <v>22</v>
      </c>
      <c r="C53" s="75"/>
      <c r="D53" s="87">
        <f t="shared" ref="D53:J54" si="5">D11-D32</f>
        <v>-26</v>
      </c>
      <c r="E53" s="87">
        <f t="shared" si="5"/>
        <v>51</v>
      </c>
      <c r="F53" s="87">
        <f t="shared" si="5"/>
        <v>-1</v>
      </c>
      <c r="G53" s="87">
        <f t="shared" si="5"/>
        <v>-17</v>
      </c>
      <c r="H53" s="87">
        <f t="shared" si="5"/>
        <v>0</v>
      </c>
      <c r="I53" s="87">
        <f t="shared" si="5"/>
        <v>0</v>
      </c>
      <c r="J53" s="87">
        <f>J11-J32</f>
        <v>7</v>
      </c>
    </row>
    <row r="54" spans="1:10" ht="15" customHeight="1">
      <c r="A54" s="20">
        <f t="shared" si="0"/>
        <v>47</v>
      </c>
      <c r="B54" s="74" t="s">
        <v>23</v>
      </c>
      <c r="C54" s="76"/>
      <c r="D54" s="88">
        <f t="shared" si="5"/>
        <v>-8.5500000000000114</v>
      </c>
      <c r="E54" s="88">
        <f t="shared" si="5"/>
        <v>36.550000000000011</v>
      </c>
      <c r="F54" s="88">
        <f t="shared" si="5"/>
        <v>-1</v>
      </c>
      <c r="G54" s="88">
        <f t="shared" si="5"/>
        <v>-9</v>
      </c>
      <c r="H54" s="88">
        <f t="shared" si="5"/>
        <v>0</v>
      </c>
      <c r="I54" s="88">
        <f t="shared" si="5"/>
        <v>0</v>
      </c>
      <c r="J54" s="88">
        <f t="shared" si="5"/>
        <v>18</v>
      </c>
    </row>
    <row r="55" spans="1:10" ht="15" customHeight="1">
      <c r="A55" s="20">
        <f t="shared" si="0"/>
        <v>48</v>
      </c>
      <c r="B55" s="74" t="s">
        <v>24</v>
      </c>
      <c r="C55" s="76"/>
      <c r="D55" s="88">
        <f t="shared" ref="D55:D64" si="6">D13-D34</f>
        <v>-6.5400000000000205</v>
      </c>
      <c r="E55" s="88">
        <f t="shared" ref="E55:J55" si="7">E13-E34</f>
        <v>57.54000000000002</v>
      </c>
      <c r="F55" s="88">
        <f t="shared" si="7"/>
        <v>-1</v>
      </c>
      <c r="G55" s="88">
        <f t="shared" si="7"/>
        <v>-14</v>
      </c>
      <c r="H55" s="88">
        <f t="shared" si="7"/>
        <v>0</v>
      </c>
      <c r="I55" s="88">
        <f t="shared" si="7"/>
        <v>0</v>
      </c>
      <c r="J55" s="88">
        <f t="shared" si="7"/>
        <v>36</v>
      </c>
    </row>
    <row r="56" spans="1:10" ht="15" customHeight="1">
      <c r="A56" s="20">
        <f t="shared" si="0"/>
        <v>49</v>
      </c>
      <c r="B56" s="74" t="s">
        <v>28</v>
      </c>
      <c r="C56" s="76"/>
      <c r="D56" s="88">
        <f t="shared" si="6"/>
        <v>-37.431000000000012</v>
      </c>
      <c r="E56" s="88">
        <f t="shared" ref="E56:J56" si="8">E14-E35</f>
        <v>41.413000000000011</v>
      </c>
      <c r="F56" s="88">
        <f t="shared" si="8"/>
        <v>-1.03</v>
      </c>
      <c r="G56" s="88">
        <f t="shared" si="8"/>
        <v>-10.939999999999998</v>
      </c>
      <c r="H56" s="88">
        <f t="shared" si="8"/>
        <v>0</v>
      </c>
      <c r="I56" s="88">
        <f t="shared" si="8"/>
        <v>0</v>
      </c>
      <c r="J56" s="88">
        <f t="shared" si="8"/>
        <v>-7.9880000000000564</v>
      </c>
    </row>
    <row r="57" spans="1:10" ht="15" customHeight="1">
      <c r="A57" s="20">
        <f t="shared" si="0"/>
        <v>50</v>
      </c>
      <c r="B57" s="74" t="s">
        <v>29</v>
      </c>
      <c r="C57" s="76"/>
      <c r="D57" s="88">
        <f t="shared" si="6"/>
        <v>-52.796999999999997</v>
      </c>
      <c r="E57" s="88">
        <f t="shared" ref="E57:J57" si="9">E15-E36</f>
        <v>1.5109999999999957</v>
      </c>
      <c r="F57" s="88">
        <f t="shared" si="9"/>
        <v>-1.0629999999999999</v>
      </c>
      <c r="G57" s="88">
        <f t="shared" si="9"/>
        <v>-21.512</v>
      </c>
      <c r="H57" s="88">
        <f t="shared" si="9"/>
        <v>0</v>
      </c>
      <c r="I57" s="88">
        <f t="shared" si="9"/>
        <v>0</v>
      </c>
      <c r="J57" s="88">
        <f t="shared" si="9"/>
        <v>-73.86099999999999</v>
      </c>
    </row>
    <row r="58" spans="1:10" ht="15" customHeight="1">
      <c r="A58" s="20">
        <f t="shared" si="0"/>
        <v>51</v>
      </c>
      <c r="B58" s="74" t="s">
        <v>30</v>
      </c>
      <c r="C58" s="76"/>
      <c r="D58" s="88">
        <f t="shared" si="6"/>
        <v>-27.649999999999977</v>
      </c>
      <c r="E58" s="88">
        <f t="shared" ref="E58:J58" si="10">E16-E37</f>
        <v>47.688999999999993</v>
      </c>
      <c r="F58" s="88">
        <f t="shared" si="10"/>
        <v>-0.71499999999999986</v>
      </c>
      <c r="G58" s="88">
        <f t="shared" si="10"/>
        <v>-16.420000000000002</v>
      </c>
      <c r="H58" s="88">
        <f t="shared" si="10"/>
        <v>-10</v>
      </c>
      <c r="I58" s="88">
        <f t="shared" si="10"/>
        <v>0</v>
      </c>
      <c r="J58" s="88">
        <f t="shared" si="10"/>
        <v>-7.0960000000000036</v>
      </c>
    </row>
    <row r="59" spans="1:10" ht="15" customHeight="1">
      <c r="A59" s="20">
        <f t="shared" si="0"/>
        <v>52</v>
      </c>
      <c r="B59" s="74" t="s">
        <v>25</v>
      </c>
      <c r="C59" s="76"/>
      <c r="D59" s="88">
        <f t="shared" si="6"/>
        <v>-71.339999999999975</v>
      </c>
      <c r="E59" s="88">
        <f t="shared" ref="E59:J59" si="11">E17-E38</f>
        <v>25.817000000000007</v>
      </c>
      <c r="F59" s="88">
        <f t="shared" si="11"/>
        <v>-1.125</v>
      </c>
      <c r="G59" s="88">
        <f t="shared" si="11"/>
        <v>-15.134</v>
      </c>
      <c r="H59" s="88">
        <f t="shared" si="11"/>
        <v>5</v>
      </c>
      <c r="I59" s="88">
        <f t="shared" si="11"/>
        <v>0</v>
      </c>
      <c r="J59" s="88">
        <f t="shared" si="11"/>
        <v>-56.781999999999925</v>
      </c>
    </row>
    <row r="60" spans="1:10" ht="15" customHeight="1">
      <c r="A60" s="20">
        <f t="shared" si="0"/>
        <v>53</v>
      </c>
      <c r="B60" s="74" t="s">
        <v>19</v>
      </c>
      <c r="C60" s="76"/>
      <c r="D60" s="88">
        <f t="shared" si="6"/>
        <v>0.70400000000000773</v>
      </c>
      <c r="E60" s="88">
        <f t="shared" ref="E60:J60" si="12">E18-E39</f>
        <v>53.793999999999983</v>
      </c>
      <c r="F60" s="88">
        <f t="shared" si="12"/>
        <v>-0.28600000000000003</v>
      </c>
      <c r="G60" s="88">
        <f t="shared" si="12"/>
        <v>-5.9060000000000059</v>
      </c>
      <c r="H60" s="88">
        <f t="shared" si="12"/>
        <v>5</v>
      </c>
      <c r="I60" s="88">
        <f t="shared" si="12"/>
        <v>0</v>
      </c>
      <c r="J60" s="88">
        <f t="shared" si="12"/>
        <v>53.30600000000004</v>
      </c>
    </row>
    <row r="61" spans="1:10" ht="15" customHeight="1">
      <c r="A61" s="20">
        <f t="shared" si="0"/>
        <v>54</v>
      </c>
      <c r="B61" s="74" t="s">
        <v>26</v>
      </c>
      <c r="C61" s="76"/>
      <c r="D61" s="88">
        <f t="shared" si="6"/>
        <v>10.624000000000024</v>
      </c>
      <c r="E61" s="88">
        <f t="shared" ref="E61:J61" si="13">E19-E40</f>
        <v>60.11099999999999</v>
      </c>
      <c r="F61" s="88">
        <f t="shared" si="13"/>
        <v>-0.39000000000000012</v>
      </c>
      <c r="G61" s="88">
        <f t="shared" si="13"/>
        <v>-8.5520000000000067</v>
      </c>
      <c r="H61" s="88">
        <f t="shared" si="13"/>
        <v>5</v>
      </c>
      <c r="I61" s="88">
        <f t="shared" si="13"/>
        <v>0</v>
      </c>
      <c r="J61" s="88">
        <f t="shared" si="13"/>
        <v>66.79300000000012</v>
      </c>
    </row>
    <row r="62" spans="1:10" ht="15" customHeight="1">
      <c r="A62" s="20">
        <f t="shared" si="0"/>
        <v>55</v>
      </c>
      <c r="B62" s="74" t="s">
        <v>20</v>
      </c>
      <c r="C62" s="76"/>
      <c r="D62" s="88">
        <f t="shared" si="6"/>
        <v>-3.9470000000000027</v>
      </c>
      <c r="E62" s="88">
        <f t="shared" ref="E62:J64" si="14">E20-E41</f>
        <v>49.87299999999999</v>
      </c>
      <c r="F62" s="88">
        <f t="shared" si="14"/>
        <v>-0.81800000000000006</v>
      </c>
      <c r="G62" s="88">
        <f t="shared" si="14"/>
        <v>-13.351999999999997</v>
      </c>
      <c r="H62" s="88">
        <f t="shared" si="14"/>
        <v>5</v>
      </c>
      <c r="I62" s="88">
        <f t="shared" si="14"/>
        <v>0</v>
      </c>
      <c r="J62" s="88">
        <f t="shared" si="14"/>
        <v>36.755999999999972</v>
      </c>
    </row>
    <row r="63" spans="1:10" ht="15" customHeight="1">
      <c r="A63" s="20">
        <f t="shared" si="0"/>
        <v>56</v>
      </c>
      <c r="B63" s="74" t="s">
        <v>21</v>
      </c>
      <c r="C63" s="76"/>
      <c r="D63" s="88">
        <f t="shared" si="6"/>
        <v>-45.641999999999996</v>
      </c>
      <c r="E63" s="88">
        <f t="shared" si="14"/>
        <v>32.906000000000006</v>
      </c>
      <c r="F63" s="88">
        <f t="shared" si="14"/>
        <v>-0.83499999999999996</v>
      </c>
      <c r="G63" s="88">
        <f t="shared" si="14"/>
        <v>-25.603999999999999</v>
      </c>
      <c r="H63" s="88">
        <f t="shared" si="14"/>
        <v>5</v>
      </c>
      <c r="I63" s="88">
        <f t="shared" si="14"/>
        <v>0</v>
      </c>
      <c r="J63" s="88">
        <f t="shared" si="14"/>
        <v>-34.175000000000068</v>
      </c>
    </row>
    <row r="64" spans="1:10" ht="15" customHeight="1" thickBot="1">
      <c r="A64" s="20">
        <f t="shared" si="0"/>
        <v>57</v>
      </c>
      <c r="B64" s="74" t="s">
        <v>27</v>
      </c>
      <c r="C64" s="78"/>
      <c r="D64" s="88">
        <f t="shared" si="6"/>
        <v>-64.755999999999972</v>
      </c>
      <c r="E64" s="88">
        <f t="shared" si="14"/>
        <v>30.071000000000026</v>
      </c>
      <c r="F64" s="88">
        <f t="shared" si="14"/>
        <v>-1.169</v>
      </c>
      <c r="G64" s="88">
        <f t="shared" si="14"/>
        <v>-27.433</v>
      </c>
      <c r="H64" s="88">
        <f t="shared" si="14"/>
        <v>5</v>
      </c>
      <c r="I64" s="88">
        <f t="shared" si="14"/>
        <v>0</v>
      </c>
      <c r="J64" s="88">
        <f t="shared" si="14"/>
        <v>-58.286999999999921</v>
      </c>
    </row>
    <row r="65" spans="1:10" ht="15" customHeight="1" thickBot="1">
      <c r="A65" s="20">
        <f t="shared" si="0"/>
        <v>58</v>
      </c>
      <c r="B65" s="79"/>
      <c r="C65" s="80"/>
      <c r="D65" s="81"/>
      <c r="E65" s="81"/>
      <c r="F65" s="81"/>
      <c r="G65" s="66"/>
      <c r="H65" s="67"/>
      <c r="I65" s="71"/>
      <c r="J65" s="81"/>
    </row>
    <row r="66" spans="1:10" ht="15" customHeight="1" thickBot="1">
      <c r="A66" s="20">
        <f t="shared" si="0"/>
        <v>59</v>
      </c>
      <c r="B66" s="82" t="s">
        <v>16</v>
      </c>
      <c r="C66" s="83"/>
      <c r="D66" s="84">
        <f t="shared" ref="D66:I66" si="15">ROUND(AVERAGE(D53:D64),0)</f>
        <v>-28</v>
      </c>
      <c r="E66" s="84">
        <f t="shared" si="15"/>
        <v>41</v>
      </c>
      <c r="F66" s="84">
        <f t="shared" si="15"/>
        <v>-1</v>
      </c>
      <c r="G66" s="84">
        <f t="shared" si="15"/>
        <v>-15</v>
      </c>
      <c r="H66" s="84">
        <f t="shared" si="15"/>
        <v>2</v>
      </c>
      <c r="I66" s="84">
        <f t="shared" si="15"/>
        <v>0</v>
      </c>
      <c r="J66" s="84">
        <f>ROUND(AVERAGE(J53:J64),0)</f>
        <v>-2</v>
      </c>
    </row>
    <row r="67" spans="1:10">
      <c r="A67" s="20">
        <f t="shared" si="0"/>
        <v>60</v>
      </c>
    </row>
    <row r="68" spans="1:10">
      <c r="A68" s="20">
        <f t="shared" si="0"/>
        <v>61</v>
      </c>
      <c r="B68" s="116" t="s">
        <v>117</v>
      </c>
    </row>
    <row r="69" spans="1:10">
      <c r="A69" s="20">
        <f t="shared" si="0"/>
        <v>62</v>
      </c>
      <c r="B69" s="116" t="s">
        <v>118</v>
      </c>
    </row>
    <row r="74" spans="1:10">
      <c r="D74" s="130"/>
      <c r="E74" s="130"/>
      <c r="F74" s="130"/>
      <c r="G74" s="130"/>
      <c r="H74" s="130"/>
      <c r="I74" s="130"/>
      <c r="J74" s="130"/>
    </row>
    <row r="78" spans="1:10">
      <c r="D78" s="130"/>
      <c r="E78" s="130"/>
      <c r="F78" s="130"/>
      <c r="G78" s="130"/>
      <c r="H78" s="130"/>
      <c r="I78" s="130"/>
      <c r="J78" s="130"/>
    </row>
  </sheetData>
  <mergeCells count="5">
    <mergeCell ref="D48:H48"/>
    <mergeCell ref="D27:H27"/>
    <mergeCell ref="B3:I3"/>
    <mergeCell ref="B4:I4"/>
    <mergeCell ref="D6:H6"/>
  </mergeCells>
  <phoneticPr fontId="2" type="noConversion"/>
  <pageMargins left="0.75" right="0.75" top="1" bottom="1" header="0.5" footer="0.5"/>
  <pageSetup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workbookViewId="0"/>
  </sheetViews>
  <sheetFormatPr defaultRowHeight="12.75"/>
  <cols>
    <col min="1" max="1" width="5" customWidth="1"/>
    <col min="2" max="2" width="14.140625" customWidth="1"/>
    <col min="3" max="3" width="9.5703125" bestFit="1" customWidth="1"/>
    <col min="4" max="4" width="10.140625" bestFit="1" customWidth="1"/>
    <col min="7" max="7" width="13.140625" customWidth="1"/>
    <col min="8" max="8" width="13" customWidth="1"/>
  </cols>
  <sheetData>
    <row r="1" spans="1:10">
      <c r="A1" s="100" t="s">
        <v>0</v>
      </c>
    </row>
    <row r="2" spans="1:10">
      <c r="A2" s="100" t="s">
        <v>1</v>
      </c>
      <c r="J2" s="2" t="str">
        <f>+'Under-Over Recovery'!J2</f>
        <v>Black Hills Power, Inc.</v>
      </c>
    </row>
    <row r="3" spans="1:10">
      <c r="A3" s="100" t="s">
        <v>2</v>
      </c>
      <c r="J3" s="2" t="str">
        <f>+'Under-Over Recovery'!J3</f>
        <v>May 31, 2024</v>
      </c>
    </row>
    <row r="7" spans="1:10">
      <c r="A7" s="5" t="s">
        <v>31</v>
      </c>
    </row>
    <row r="8" spans="1:10">
      <c r="A8" s="96" t="s">
        <v>32</v>
      </c>
    </row>
    <row r="9" spans="1:10">
      <c r="A9">
        <v>1</v>
      </c>
      <c r="B9" s="5" t="s">
        <v>61</v>
      </c>
    </row>
    <row r="11" spans="1:10">
      <c r="A11">
        <v>2</v>
      </c>
      <c r="B11" s="5" t="s">
        <v>108</v>
      </c>
    </row>
    <row r="12" spans="1:10">
      <c r="A12">
        <v>3</v>
      </c>
      <c r="B12" s="5" t="s">
        <v>90</v>
      </c>
    </row>
    <row r="13" spans="1:10">
      <c r="A13">
        <v>4</v>
      </c>
      <c r="B13" s="5" t="s">
        <v>91</v>
      </c>
    </row>
    <row r="14" spans="1:10">
      <c r="A14">
        <v>5</v>
      </c>
      <c r="B14" s="5" t="s">
        <v>92</v>
      </c>
    </row>
    <row r="15" spans="1:10">
      <c r="A15">
        <v>6</v>
      </c>
      <c r="B15" s="5" t="s">
        <v>93</v>
      </c>
    </row>
    <row r="16" spans="1:10">
      <c r="A16">
        <v>7</v>
      </c>
      <c r="B16" s="5" t="s">
        <v>94</v>
      </c>
    </row>
    <row r="17" spans="1:9">
      <c r="A17">
        <v>8</v>
      </c>
      <c r="B17" s="5" t="s">
        <v>95</v>
      </c>
    </row>
    <row r="18" spans="1:9">
      <c r="A18">
        <v>9</v>
      </c>
      <c r="B18" s="5" t="s">
        <v>96</v>
      </c>
    </row>
    <row r="19" spans="1:9">
      <c r="A19">
        <v>10</v>
      </c>
      <c r="B19" s="5" t="s">
        <v>97</v>
      </c>
    </row>
    <row r="20" spans="1:9">
      <c r="B20" s="5"/>
    </row>
    <row r="21" spans="1:9">
      <c r="A21">
        <v>11</v>
      </c>
      <c r="B21" s="5" t="s">
        <v>98</v>
      </c>
    </row>
    <row r="22" spans="1:9">
      <c r="A22">
        <f>+A21+1</f>
        <v>12</v>
      </c>
      <c r="B22" s="5" t="s">
        <v>99</v>
      </c>
    </row>
    <row r="23" spans="1:9">
      <c r="A23">
        <f t="shared" ref="A23:A28" si="0">+A22+1</f>
        <v>13</v>
      </c>
      <c r="B23" s="5" t="s">
        <v>100</v>
      </c>
    </row>
    <row r="24" spans="1:9">
      <c r="A24">
        <f t="shared" si="0"/>
        <v>14</v>
      </c>
      <c r="B24" s="5" t="s">
        <v>101</v>
      </c>
    </row>
    <row r="25" spans="1:9">
      <c r="A25">
        <f t="shared" si="0"/>
        <v>15</v>
      </c>
      <c r="B25" s="5" t="s">
        <v>102</v>
      </c>
    </row>
    <row r="26" spans="1:9">
      <c r="A26">
        <f t="shared" si="0"/>
        <v>16</v>
      </c>
      <c r="B26" s="5" t="s">
        <v>103</v>
      </c>
    </row>
    <row r="27" spans="1:9">
      <c r="A27">
        <f t="shared" si="0"/>
        <v>17</v>
      </c>
      <c r="B27" s="5" t="s">
        <v>104</v>
      </c>
    </row>
    <row r="28" spans="1:9">
      <c r="A28">
        <f t="shared" si="0"/>
        <v>18</v>
      </c>
      <c r="B28" s="5" t="s">
        <v>105</v>
      </c>
    </row>
    <row r="29" spans="1:9">
      <c r="B29" s="5"/>
    </row>
    <row r="30" spans="1:9">
      <c r="A30">
        <v>19</v>
      </c>
      <c r="B30" s="195" t="s">
        <v>126</v>
      </c>
      <c r="C30" s="195"/>
      <c r="D30" s="195"/>
      <c r="E30" s="195"/>
      <c r="F30" s="195"/>
      <c r="G30" s="195"/>
      <c r="H30" s="195"/>
    </row>
    <row r="31" spans="1:9" ht="38.25">
      <c r="A31">
        <f>+A30+1</f>
        <v>20</v>
      </c>
      <c r="B31" s="108" t="s">
        <v>39</v>
      </c>
      <c r="C31" s="192" t="s">
        <v>40</v>
      </c>
      <c r="D31" s="192"/>
      <c r="E31" s="192" t="s">
        <v>41</v>
      </c>
      <c r="F31" s="192"/>
      <c r="G31" s="109" t="s">
        <v>42</v>
      </c>
      <c r="H31" s="109" t="s">
        <v>43</v>
      </c>
      <c r="I31" s="109" t="s">
        <v>107</v>
      </c>
    </row>
    <row r="32" spans="1:9">
      <c r="A32">
        <f t="shared" ref="A32:A40" si="1">+A31+1</f>
        <v>21</v>
      </c>
      <c r="B32" s="107"/>
      <c r="C32" s="106" t="s">
        <v>44</v>
      </c>
      <c r="D32" s="106" t="s">
        <v>45</v>
      </c>
      <c r="E32" s="106" t="s">
        <v>44</v>
      </c>
      <c r="F32" s="106" t="s">
        <v>45</v>
      </c>
      <c r="G32" s="107"/>
      <c r="H32" s="107"/>
      <c r="I32" s="107"/>
    </row>
    <row r="33" spans="1:10">
      <c r="A33">
        <f t="shared" si="1"/>
        <v>22</v>
      </c>
      <c r="B33" s="92" t="s">
        <v>46</v>
      </c>
      <c r="C33" s="132">
        <f>ROUND('Sch. 2 - BHP'!H31,5)</f>
        <v>3.4000000000000002E-4</v>
      </c>
      <c r="D33" s="132">
        <f>ROUND('Sch. 2 - BHP'!H30,5)</f>
        <v>2.0000000000000001E-4</v>
      </c>
      <c r="E33" s="133">
        <f>ROUND('Sch. 2 - BHP'!H28,4)</f>
        <v>5.4999999999999997E-3</v>
      </c>
      <c r="F33" s="133">
        <f>ROUND('Sch. 2 - BHP'!H27,4)</f>
        <v>4.7000000000000002E-3</v>
      </c>
      <c r="G33" s="132">
        <f>ROUND('Sch. 2 - BHP'!H25,4)</f>
        <v>3.3000000000000002E-2</v>
      </c>
      <c r="H33" s="133">
        <f>ROUND('Sch. 2 - BHP'!H23,4)</f>
        <v>0.1431</v>
      </c>
      <c r="I33" s="133">
        <f>ROUND('Sch. 2 - BHP'!H21,4)</f>
        <v>1.7168000000000001</v>
      </c>
    </row>
    <row r="34" spans="1:10">
      <c r="A34">
        <f t="shared" si="1"/>
        <v>23</v>
      </c>
      <c r="B34" s="92" t="s">
        <v>47</v>
      </c>
      <c r="C34" s="132">
        <f>ROUND('Sch. 2 - Gillette'!H31,5)</f>
        <v>6.0000000000000002E-5</v>
      </c>
      <c r="D34" s="132">
        <f>ROUND('Sch. 2 - Gillette'!H30,5)</f>
        <v>3.0000000000000001E-5</v>
      </c>
      <c r="E34" s="133">
        <f>ROUND('Sch. 2 - Gillette'!H28,4)</f>
        <v>1E-3</v>
      </c>
      <c r="F34" s="133">
        <f>ROUND('Sch. 2 - Gillette'!H27,4)</f>
        <v>8.0000000000000004E-4</v>
      </c>
      <c r="G34" s="132">
        <f>ROUND('Sch. 2 - Gillette'!H25,4)</f>
        <v>5.8999999999999999E-3</v>
      </c>
      <c r="H34" s="133">
        <f>ROUND('Sch. 2 - Gillette'!H23,4)</f>
        <v>2.5499999999999998E-2</v>
      </c>
      <c r="I34" s="133">
        <f>ROUND('Sch. 2 - Gillette'!H21,4)</f>
        <v>0.30649999999999999</v>
      </c>
    </row>
    <row r="35" spans="1:10">
      <c r="A35">
        <f t="shared" si="1"/>
        <v>24</v>
      </c>
      <c r="B35" s="112" t="s">
        <v>48</v>
      </c>
      <c r="C35" s="132">
        <f>ROUND('Sch. 2 - CLFP'!H31,5)</f>
        <v>1.2E-4</v>
      </c>
      <c r="D35" s="132">
        <f>ROUND('Sch. 2 - CLFP'!H30,5)</f>
        <v>6.9999999999999994E-5</v>
      </c>
      <c r="E35" s="133">
        <f>ROUND('Sch. 2 - CLFP'!H28,4)</f>
        <v>2E-3</v>
      </c>
      <c r="F35" s="133">
        <f>ROUND('Sch. 2 - CLFP'!H27,4)</f>
        <v>1.6999999999999999E-3</v>
      </c>
      <c r="G35" s="132">
        <f>ROUND('Sch. 2 - CLFP'!H25,4)</f>
        <v>1.2E-2</v>
      </c>
      <c r="H35" s="133">
        <f>ROUND('Sch. 2 - CLFP'!H23,4)</f>
        <v>5.1799999999999999E-2</v>
      </c>
      <c r="I35" s="133">
        <f>ROUND('Sch. 2 - CLFP'!H21,4)</f>
        <v>0.62160000000000004</v>
      </c>
    </row>
    <row r="36" spans="1:10">
      <c r="A36">
        <f t="shared" si="1"/>
        <v>25</v>
      </c>
      <c r="B36" s="112" t="s">
        <v>69</v>
      </c>
      <c r="C36" s="132">
        <f>ROUND('Sch. 2 - BHW'!H31,5)</f>
        <v>5.0000000000000002E-5</v>
      </c>
      <c r="D36" s="132">
        <f>ROUND('Sch. 2 - BHW'!H30,5)</f>
        <v>3.0000000000000001E-5</v>
      </c>
      <c r="E36" s="133">
        <f>ROUND('Sch. 2 - BHW'!H28,4)</f>
        <v>8.9999999999999998E-4</v>
      </c>
      <c r="F36" s="133">
        <f>ROUND('Sch. 2 - BHW'!H27,4)</f>
        <v>6.9999999999999999E-4</v>
      </c>
      <c r="G36" s="132">
        <f>ROUND('Sch. 2 - BHW'!H25,4)</f>
        <v>5.1999999999999998E-3</v>
      </c>
      <c r="H36" s="133">
        <f>ROUND('Sch. 2 - BHW'!H23,4)</f>
        <v>2.24E-2</v>
      </c>
      <c r="I36" s="133">
        <f>ROUND('Sch. 2 - BHW'!H21,4)</f>
        <v>0.26929999999999998</v>
      </c>
    </row>
    <row r="37" spans="1:10">
      <c r="A37">
        <f t="shared" si="1"/>
        <v>26</v>
      </c>
      <c r="B37" s="112" t="s">
        <v>67</v>
      </c>
      <c r="C37" s="132">
        <f>ROUND('Sch. 2 - Basin'!H31,5)</f>
        <v>2.1000000000000001E-4</v>
      </c>
      <c r="D37" s="132">
        <f>ROUND('Sch. 2 - Basin'!H30,5)</f>
        <v>1.2E-4</v>
      </c>
      <c r="E37" s="133">
        <f>ROUND('Sch. 2 - Basin'!H28,4)</f>
        <v>3.3999999999999998E-3</v>
      </c>
      <c r="F37" s="133">
        <f>ROUND('Sch. 2 - Basin'!H27,4)</f>
        <v>2.8999999999999998E-3</v>
      </c>
      <c r="G37" s="132">
        <f>ROUND('Sch. 2 - Basin'!H25,4)</f>
        <v>2.06E-2</v>
      </c>
      <c r="H37" s="133">
        <f>ROUND('Sch. 2 - Basin'!H23,4)</f>
        <v>8.9200000000000002E-2</v>
      </c>
      <c r="I37" s="133">
        <f>ROUND('Sch. 2 - Basin'!H21,4)</f>
        <v>1.07</v>
      </c>
    </row>
    <row r="38" spans="1:10">
      <c r="A38">
        <f t="shared" si="1"/>
        <v>27</v>
      </c>
      <c r="B38" s="112" t="s">
        <v>68</v>
      </c>
      <c r="C38" s="132">
        <f>ROUND('Sch. 2 - WMPA'!H31,5)</f>
        <v>1.0000000000000001E-5</v>
      </c>
      <c r="D38" s="132">
        <f>ROUND('Sch. 2 - WMPA'!H30,5)</f>
        <v>1.0000000000000001E-5</v>
      </c>
      <c r="E38" s="133">
        <f>ROUND('Sch. 2 - WMPA'!H28,4)</f>
        <v>2.0000000000000001E-4</v>
      </c>
      <c r="F38" s="133">
        <f>ROUND('Sch. 2 - WMPA'!H27,4)</f>
        <v>2.0000000000000001E-4</v>
      </c>
      <c r="G38" s="132">
        <f>ROUND('Sch. 2 - WMPA'!H25,4)</f>
        <v>1.2999999999999999E-3</v>
      </c>
      <c r="H38" s="133">
        <f>ROUND('Sch. 2 - WMPA'!H23,4)</f>
        <v>5.7999999999999996E-3</v>
      </c>
      <c r="I38" s="133">
        <f>ROUND('Sch. 2 - WMPA'!H21,4)</f>
        <v>6.9000000000000006E-2</v>
      </c>
    </row>
    <row r="39" spans="1:10">
      <c r="A39">
        <f t="shared" si="1"/>
        <v>28</v>
      </c>
      <c r="B39" s="110" t="s">
        <v>49</v>
      </c>
      <c r="C39" s="111">
        <f t="shared" ref="C39:H39" si="2">SUM(C33:C38)</f>
        <v>7.9000000000000012E-4</v>
      </c>
      <c r="D39" s="111">
        <f t="shared" si="2"/>
        <v>4.6000000000000007E-4</v>
      </c>
      <c r="E39" s="114">
        <f t="shared" si="2"/>
        <v>1.3000000000000001E-2</v>
      </c>
      <c r="F39" s="114">
        <f t="shared" si="2"/>
        <v>1.1000000000000001E-2</v>
      </c>
      <c r="G39" s="115">
        <f t="shared" si="2"/>
        <v>7.7999999999999986E-2</v>
      </c>
      <c r="H39" s="114">
        <f t="shared" si="2"/>
        <v>0.33779999999999999</v>
      </c>
      <c r="I39" s="114">
        <f>SUM(I33:I38)</f>
        <v>4.0531999999999995</v>
      </c>
    </row>
    <row r="40" spans="1:10">
      <c r="A40">
        <f t="shared" si="1"/>
        <v>29</v>
      </c>
      <c r="B40" s="27" t="s">
        <v>128</v>
      </c>
      <c r="D40" s="30">
        <f>'CUS AC LOADS'!J24*1000</f>
        <v>966972.16666666651</v>
      </c>
    </row>
    <row r="41" spans="1:10">
      <c r="B41" s="27"/>
      <c r="D41" s="30"/>
    </row>
    <row r="42" spans="1:10">
      <c r="A42">
        <v>30</v>
      </c>
      <c r="B42" s="193" t="s">
        <v>127</v>
      </c>
      <c r="C42" s="194"/>
      <c r="D42" s="194"/>
      <c r="E42" s="194"/>
      <c r="F42" s="194"/>
      <c r="G42" s="194"/>
      <c r="H42" s="194"/>
    </row>
    <row r="43" spans="1:10" ht="38.25">
      <c r="A43">
        <f>+A42+1</f>
        <v>31</v>
      </c>
      <c r="B43" s="91" t="s">
        <v>39</v>
      </c>
      <c r="C43" s="192" t="s">
        <v>40</v>
      </c>
      <c r="D43" s="192"/>
      <c r="E43" s="192" t="s">
        <v>41</v>
      </c>
      <c r="F43" s="192"/>
      <c r="G43" s="93" t="s">
        <v>42</v>
      </c>
      <c r="H43" s="93" t="s">
        <v>43</v>
      </c>
      <c r="I43" s="109" t="s">
        <v>107</v>
      </c>
    </row>
    <row r="44" spans="1:10">
      <c r="A44">
        <f t="shared" ref="A44:A52" si="3">+A43+1</f>
        <v>32</v>
      </c>
      <c r="B44" s="90"/>
      <c r="C44" s="89" t="s">
        <v>44</v>
      </c>
      <c r="D44" s="89" t="s">
        <v>45</v>
      </c>
      <c r="E44" s="89" t="s">
        <v>44</v>
      </c>
      <c r="F44" s="89" t="s">
        <v>45</v>
      </c>
      <c r="G44" s="90"/>
      <c r="H44" s="90"/>
      <c r="I44" s="107"/>
    </row>
    <row r="45" spans="1:10">
      <c r="A45">
        <f t="shared" si="3"/>
        <v>33</v>
      </c>
      <c r="B45" s="92" t="s">
        <v>46</v>
      </c>
      <c r="C45" s="132">
        <v>3.4000000000000002E-4</v>
      </c>
      <c r="D45" s="132">
        <v>2.0000000000000001E-4</v>
      </c>
      <c r="E45" s="133">
        <v>5.4999999999999997E-3</v>
      </c>
      <c r="F45" s="133">
        <v>4.7000000000000002E-3</v>
      </c>
      <c r="G45" s="133">
        <v>3.3000000000000002E-2</v>
      </c>
      <c r="H45" s="133">
        <v>0.14280000000000001</v>
      </c>
      <c r="I45" s="133">
        <v>1.7137</v>
      </c>
      <c r="J45" s="94"/>
    </row>
    <row r="46" spans="1:10">
      <c r="A46">
        <f t="shared" si="3"/>
        <v>34</v>
      </c>
      <c r="B46" s="92" t="s">
        <v>47</v>
      </c>
      <c r="C46" s="132">
        <v>6.0000000000000002E-5</v>
      </c>
      <c r="D46" s="132">
        <v>3.0000000000000001E-5</v>
      </c>
      <c r="E46" s="133">
        <v>1E-3</v>
      </c>
      <c r="F46" s="133">
        <v>8.0000000000000004E-4</v>
      </c>
      <c r="G46" s="133">
        <v>5.8999999999999999E-3</v>
      </c>
      <c r="H46" s="133">
        <v>2.5499999999999998E-2</v>
      </c>
      <c r="I46" s="133">
        <v>0.30590000000000001</v>
      </c>
    </row>
    <row r="47" spans="1:10">
      <c r="A47">
        <f t="shared" si="3"/>
        <v>35</v>
      </c>
      <c r="B47" s="102" t="s">
        <v>48</v>
      </c>
      <c r="C47" s="132">
        <v>1.2E-4</v>
      </c>
      <c r="D47" s="132">
        <v>6.9999999999999994E-5</v>
      </c>
      <c r="E47" s="133">
        <v>2E-3</v>
      </c>
      <c r="F47" s="133">
        <v>1.6999999999999999E-3</v>
      </c>
      <c r="G47" s="133">
        <v>1.1900000000000001E-2</v>
      </c>
      <c r="H47" s="133">
        <v>5.1700000000000003E-2</v>
      </c>
      <c r="I47" s="133">
        <v>0.62050000000000005</v>
      </c>
    </row>
    <row r="48" spans="1:10">
      <c r="A48">
        <f t="shared" si="3"/>
        <v>36</v>
      </c>
      <c r="B48" s="102" t="s">
        <v>69</v>
      </c>
      <c r="C48" s="132">
        <v>5.0000000000000002E-5</v>
      </c>
      <c r="D48" s="132">
        <v>3.0000000000000001E-5</v>
      </c>
      <c r="E48" s="133">
        <v>8.9999999999999998E-4</v>
      </c>
      <c r="F48" s="133">
        <v>6.9999999999999999E-4</v>
      </c>
      <c r="G48" s="133">
        <v>5.1999999999999998E-3</v>
      </c>
      <c r="H48" s="133">
        <v>2.24E-2</v>
      </c>
      <c r="I48" s="133">
        <v>0.26879999999999998</v>
      </c>
    </row>
    <row r="49" spans="1:9">
      <c r="A49">
        <f t="shared" si="3"/>
        <v>37</v>
      </c>
      <c r="B49" s="102" t="s">
        <v>67</v>
      </c>
      <c r="C49" s="132">
        <v>2.1000000000000001E-4</v>
      </c>
      <c r="D49" s="132">
        <v>1.2E-4</v>
      </c>
      <c r="E49" s="133">
        <v>3.3999999999999998E-3</v>
      </c>
      <c r="F49" s="133">
        <v>2.8999999999999998E-3</v>
      </c>
      <c r="G49" s="133">
        <v>2.0500000000000001E-2</v>
      </c>
      <c r="H49" s="133">
        <v>8.8999999999999996E-2</v>
      </c>
      <c r="I49" s="133">
        <v>1.0682</v>
      </c>
    </row>
    <row r="50" spans="1:9">
      <c r="A50">
        <f t="shared" si="3"/>
        <v>38</v>
      </c>
      <c r="B50" s="102" t="s">
        <v>68</v>
      </c>
      <c r="C50" s="132">
        <v>1.0000000000000001E-5</v>
      </c>
      <c r="D50" s="132">
        <v>1.0000000000000001E-5</v>
      </c>
      <c r="E50" s="133">
        <v>2.0000000000000001E-4</v>
      </c>
      <c r="F50" s="133">
        <v>2.0000000000000001E-4</v>
      </c>
      <c r="G50" s="133">
        <v>1.2999999999999999E-3</v>
      </c>
      <c r="H50" s="133">
        <v>5.7000000000000002E-3</v>
      </c>
      <c r="I50" s="133">
        <v>6.8900000000000003E-2</v>
      </c>
    </row>
    <row r="51" spans="1:9">
      <c r="A51">
        <f t="shared" si="3"/>
        <v>39</v>
      </c>
      <c r="B51" s="95" t="s">
        <v>49</v>
      </c>
      <c r="C51" s="115">
        <f>SUM(C45:C50)</f>
        <v>7.9000000000000012E-4</v>
      </c>
      <c r="D51" s="115">
        <f t="shared" ref="D51:I51" si="4">SUM(D45:D50)</f>
        <v>4.6000000000000007E-4</v>
      </c>
      <c r="E51" s="114">
        <f t="shared" si="4"/>
        <v>1.3000000000000001E-2</v>
      </c>
      <c r="F51" s="114">
        <f t="shared" si="4"/>
        <v>1.1000000000000001E-2</v>
      </c>
      <c r="G51" s="114">
        <f t="shared" si="4"/>
        <v>7.7800000000000008E-2</v>
      </c>
      <c r="H51" s="114">
        <f t="shared" si="4"/>
        <v>0.33710000000000001</v>
      </c>
      <c r="I51" s="114">
        <f t="shared" si="4"/>
        <v>4.0460000000000003</v>
      </c>
    </row>
    <row r="52" spans="1:9">
      <c r="A52">
        <f t="shared" si="3"/>
        <v>40</v>
      </c>
      <c r="B52" s="27" t="s">
        <v>133</v>
      </c>
      <c r="D52" s="30">
        <f>'CUS AC LOADS'!J45*1000</f>
        <v>968666.66666666663</v>
      </c>
    </row>
    <row r="64" spans="1:9">
      <c r="C64" s="131"/>
      <c r="D64" s="131"/>
      <c r="E64" s="131"/>
      <c r="F64" s="131"/>
      <c r="G64" s="131"/>
      <c r="H64" s="131"/>
      <c r="I64" s="131"/>
    </row>
    <row r="65" spans="3:9">
      <c r="C65" s="131"/>
      <c r="D65" s="131"/>
      <c r="E65" s="131"/>
      <c r="F65" s="131"/>
      <c r="G65" s="131"/>
      <c r="H65" s="131"/>
      <c r="I65" s="131"/>
    </row>
    <row r="66" spans="3:9">
      <c r="C66" s="131"/>
      <c r="D66" s="131"/>
      <c r="E66" s="131"/>
      <c r="F66" s="131"/>
      <c r="G66" s="131"/>
      <c r="H66" s="131"/>
      <c r="I66" s="131"/>
    </row>
    <row r="67" spans="3:9">
      <c r="C67" s="131"/>
      <c r="D67" s="131"/>
      <c r="E67" s="131"/>
      <c r="F67" s="131"/>
      <c r="G67" s="131"/>
      <c r="H67" s="131"/>
      <c r="I67" s="131"/>
    </row>
    <row r="68" spans="3:9">
      <c r="C68" s="131"/>
      <c r="D68" s="131"/>
      <c r="E68" s="131"/>
      <c r="F68" s="131"/>
      <c r="G68" s="131"/>
      <c r="H68" s="131"/>
      <c r="I68" s="131"/>
    </row>
    <row r="69" spans="3:9">
      <c r="C69" s="131"/>
      <c r="D69" s="131"/>
      <c r="E69" s="131"/>
      <c r="F69" s="131"/>
      <c r="G69" s="131"/>
      <c r="H69" s="131"/>
      <c r="I69" s="131"/>
    </row>
    <row r="70" spans="3:9">
      <c r="C70" s="131"/>
      <c r="D70" s="131"/>
      <c r="E70" s="131"/>
      <c r="F70" s="131"/>
      <c r="G70" s="131"/>
      <c r="H70" s="131"/>
      <c r="I70" s="131"/>
    </row>
    <row r="71" spans="3:9">
      <c r="C71" s="131"/>
      <c r="D71" s="131"/>
      <c r="E71" s="131"/>
      <c r="F71" s="131"/>
      <c r="G71" s="131"/>
      <c r="H71" s="131"/>
      <c r="I71" s="131"/>
    </row>
    <row r="72" spans="3:9">
      <c r="C72" s="131"/>
    </row>
  </sheetData>
  <mergeCells count="6">
    <mergeCell ref="C43:D43"/>
    <mergeCell ref="E43:F43"/>
    <mergeCell ref="B42:H42"/>
    <mergeCell ref="B30:H30"/>
    <mergeCell ref="C31:D31"/>
    <mergeCell ref="E31:F31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workbookViewId="0">
      <selection activeCell="B42" sqref="B42:H42"/>
    </sheetView>
  </sheetViews>
  <sheetFormatPr defaultRowHeight="12.75"/>
  <cols>
    <col min="1" max="1" width="6.140625" style="6" customWidth="1"/>
    <col min="2" max="6" width="9.140625" style="6"/>
    <col min="7" max="7" width="11" style="6" customWidth="1"/>
    <col min="8" max="8" width="11.140625" style="6" bestFit="1" customWidth="1"/>
    <col min="9" max="9" width="29.5703125" style="50" customWidth="1"/>
    <col min="10" max="10" width="12.85546875" style="5" bestFit="1" customWidth="1"/>
    <col min="11" max="11" width="11.85546875" style="5" customWidth="1"/>
    <col min="12" max="12" width="10.140625" style="5" bestFit="1" customWidth="1"/>
    <col min="13" max="16384" width="9.14062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2024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2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2"/>
    </row>
    <row r="6" spans="1:16" s="6" customFormat="1">
      <c r="A6" s="8"/>
      <c r="B6" s="8"/>
      <c r="C6" s="8"/>
      <c r="D6" s="8"/>
      <c r="E6" s="8"/>
      <c r="F6" s="8"/>
      <c r="G6" s="8"/>
      <c r="H6" s="8"/>
      <c r="I6" s="24"/>
      <c r="J6" s="8"/>
      <c r="K6" s="8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8"/>
      <c r="K7" s="28"/>
    </row>
    <row r="8" spans="1:16" s="6" customFormat="1">
      <c r="A8" s="97" t="s">
        <v>31</v>
      </c>
      <c r="B8" s="8"/>
      <c r="C8" s="8"/>
      <c r="D8" s="8"/>
      <c r="E8" s="8"/>
      <c r="F8" s="8"/>
      <c r="G8" s="8"/>
      <c r="H8" s="8"/>
      <c r="I8" s="24"/>
      <c r="J8" s="28"/>
      <c r="K8" s="28"/>
    </row>
    <row r="9" spans="1:16">
      <c r="A9" s="98" t="s">
        <v>32</v>
      </c>
      <c r="B9" s="46"/>
      <c r="C9" s="42"/>
      <c r="D9" s="47"/>
      <c r="E9" s="42"/>
      <c r="F9" s="3"/>
      <c r="G9" s="3"/>
      <c r="H9" s="8"/>
      <c r="I9" s="43"/>
      <c r="J9" s="38"/>
      <c r="K9" s="45"/>
    </row>
    <row r="10" spans="1:16">
      <c r="A10" s="39">
        <v>1</v>
      </c>
      <c r="B10" s="101" t="s">
        <v>60</v>
      </c>
      <c r="C10" s="42"/>
      <c r="D10" s="47"/>
      <c r="E10" s="42"/>
      <c r="F10" s="3"/>
      <c r="G10" s="3"/>
      <c r="H10" s="4">
        <f>+'Sch. 2 - Total'!H10</f>
        <v>1660052</v>
      </c>
      <c r="I10" s="22" t="s">
        <v>51</v>
      </c>
      <c r="J10" s="38"/>
      <c r="K10" s="45"/>
    </row>
    <row r="11" spans="1:16">
      <c r="A11" s="39">
        <f>A10+1</f>
        <v>2</v>
      </c>
      <c r="B11" s="101" t="s">
        <v>50</v>
      </c>
      <c r="C11" s="42"/>
      <c r="D11" s="47"/>
      <c r="E11" s="42"/>
      <c r="F11" s="42"/>
      <c r="G11" s="42"/>
      <c r="H11" s="4">
        <f>+'Sch. 2 - Total'!H11</f>
        <v>296353</v>
      </c>
      <c r="I11" s="22" t="s">
        <v>116</v>
      </c>
      <c r="J11" s="38"/>
      <c r="K11" s="45"/>
    </row>
    <row r="12" spans="1:16">
      <c r="A12" s="39">
        <f>A11+1</f>
        <v>3</v>
      </c>
      <c r="B12" s="101" t="s">
        <v>53</v>
      </c>
      <c r="C12" s="42"/>
      <c r="D12" s="47"/>
      <c r="E12" s="42"/>
      <c r="F12" s="42"/>
      <c r="G12" s="42"/>
      <c r="H12" s="4">
        <f>+'Sch. 2 - Total'!H12</f>
        <v>601062</v>
      </c>
      <c r="I12" s="22" t="s">
        <v>55</v>
      </c>
      <c r="J12" s="38"/>
      <c r="K12" s="45"/>
    </row>
    <row r="13" spans="1:16">
      <c r="A13" s="39">
        <f>A12+1</f>
        <v>4</v>
      </c>
      <c r="B13" s="101" t="s">
        <v>52</v>
      </c>
      <c r="C13" s="42"/>
      <c r="D13" s="47"/>
      <c r="E13" s="42"/>
      <c r="F13" s="42"/>
      <c r="G13" s="42"/>
      <c r="H13" s="4">
        <f>+'Sch. 2 - Total'!H13</f>
        <v>260384</v>
      </c>
      <c r="I13" s="22" t="s">
        <v>54</v>
      </c>
      <c r="J13" s="38"/>
      <c r="K13" s="45"/>
    </row>
    <row r="14" spans="1:16">
      <c r="A14" s="39">
        <v>5</v>
      </c>
      <c r="B14" s="101" t="s">
        <v>62</v>
      </c>
      <c r="C14" s="42"/>
      <c r="D14" s="47"/>
      <c r="E14" s="42"/>
      <c r="F14" s="42"/>
      <c r="G14" s="42"/>
      <c r="H14" s="4">
        <f>+'Sch. 2 - Total'!H14</f>
        <v>1034689</v>
      </c>
      <c r="I14" s="22" t="s">
        <v>106</v>
      </c>
      <c r="J14" s="38"/>
      <c r="K14" s="45"/>
    </row>
    <row r="15" spans="1:16">
      <c r="A15" s="39">
        <v>6</v>
      </c>
      <c r="B15" s="101" t="s">
        <v>63</v>
      </c>
      <c r="C15" s="42"/>
      <c r="D15" s="47"/>
      <c r="E15" s="42"/>
      <c r="F15" s="42"/>
      <c r="G15" s="42"/>
      <c r="H15" s="4">
        <f>+'Sch. 2 - Total'!H15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5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H10</f>
        <v>1660052</v>
      </c>
      <c r="I17" s="99" t="s">
        <v>57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f>A17+1</f>
        <v>8</v>
      </c>
      <c r="B19" s="3" t="s">
        <v>132</v>
      </c>
      <c r="C19" s="3"/>
      <c r="D19" s="3"/>
      <c r="E19" s="3"/>
      <c r="F19" s="3"/>
      <c r="G19" s="3"/>
      <c r="H19" s="48">
        <f>+'CUS AC LOADS'!J24*1000</f>
        <v>966972.16666666651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17"/>
      <c r="H20" s="8"/>
      <c r="I20" s="24"/>
      <c r="J20" s="28"/>
      <c r="K20" s="28"/>
    </row>
    <row r="21" spans="1:12" s="6" customFormat="1">
      <c r="A21" s="9">
        <f>A19+1</f>
        <v>9</v>
      </c>
      <c r="B21" s="10" t="s">
        <v>5</v>
      </c>
      <c r="C21" s="10"/>
      <c r="D21" s="10"/>
      <c r="E21" s="10"/>
      <c r="F21" s="10"/>
      <c r="G21" s="10"/>
      <c r="H21" s="52">
        <f>H17/H19</f>
        <v>1.7167526193877007</v>
      </c>
      <c r="I21" s="23" t="s">
        <v>109</v>
      </c>
      <c r="J21" s="49"/>
      <c r="K21" s="28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55"/>
    </row>
    <row r="23" spans="1:12" s="6" customFormat="1">
      <c r="A23" s="9">
        <f>A21+1</f>
        <v>10</v>
      </c>
      <c r="B23" s="10"/>
      <c r="C23" s="10"/>
      <c r="D23" s="10"/>
      <c r="E23" s="10"/>
      <c r="F23" s="10"/>
      <c r="G23" s="10"/>
      <c r="H23" s="52">
        <f>ROUND(H21/12,4)</f>
        <v>0.1431</v>
      </c>
      <c r="I23" s="23" t="s">
        <v>110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f>A23+1</f>
        <v>11</v>
      </c>
      <c r="B25" s="10"/>
      <c r="C25" s="10"/>
      <c r="D25" s="10"/>
      <c r="E25" s="10"/>
      <c r="F25" s="51"/>
      <c r="G25" s="10"/>
      <c r="H25" s="52">
        <f>ROUND(H21/52,4)</f>
        <v>3.3000000000000002E-2</v>
      </c>
      <c r="I25" s="23" t="s">
        <v>111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f>A25+1</f>
        <v>12</v>
      </c>
      <c r="B27" s="10"/>
      <c r="C27" s="10"/>
      <c r="D27" s="10"/>
      <c r="E27" s="51"/>
      <c r="F27" s="10"/>
      <c r="G27" s="10"/>
      <c r="H27" s="52">
        <f>ROUND(H21/365,4)</f>
        <v>4.7000000000000002E-3</v>
      </c>
      <c r="I27" s="23" t="s">
        <v>112</v>
      </c>
      <c r="J27" s="49" t="s">
        <v>36</v>
      </c>
      <c r="K27" s="28"/>
    </row>
    <row r="28" spans="1:12" s="6" customFormat="1">
      <c r="A28" s="9">
        <f>A27+1</f>
        <v>13</v>
      </c>
      <c r="B28" s="10"/>
      <c r="C28" s="10"/>
      <c r="D28" s="10"/>
      <c r="E28" s="51"/>
      <c r="F28" s="10"/>
      <c r="G28" s="10"/>
      <c r="H28" s="52">
        <f>ROUND(H21/312,4)</f>
        <v>5.4999999999999997E-3</v>
      </c>
      <c r="I28" s="23" t="s">
        <v>113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f>A28+1</f>
        <v>14</v>
      </c>
      <c r="B30" s="10"/>
      <c r="C30" s="10"/>
      <c r="D30" s="10"/>
      <c r="E30" s="10"/>
      <c r="F30" s="10"/>
      <c r="G30" s="10"/>
      <c r="H30" s="53">
        <f>ROUND((H21/8760),5)</f>
        <v>2.0000000000000001E-4</v>
      </c>
      <c r="I30" s="23" t="s">
        <v>114</v>
      </c>
      <c r="J30" s="49"/>
      <c r="K30" s="28"/>
    </row>
    <row r="31" spans="1:12" s="6" customFormat="1">
      <c r="A31" s="9">
        <f>A30+1</f>
        <v>15</v>
      </c>
      <c r="B31" s="10"/>
      <c r="C31" s="10"/>
      <c r="D31" s="10"/>
      <c r="E31" s="10"/>
      <c r="F31" s="10"/>
      <c r="G31" s="10"/>
      <c r="H31" s="53">
        <f>ROUND((H21/4992),5)</f>
        <v>3.4000000000000002E-4</v>
      </c>
      <c r="I31" s="23" t="s">
        <v>115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opLeftCell="A4" workbookViewId="0">
      <selection activeCell="B42" sqref="B42:H42"/>
    </sheetView>
  </sheetViews>
  <sheetFormatPr defaultRowHeight="12.75"/>
  <cols>
    <col min="1" max="1" width="4.85546875" style="6" customWidth="1"/>
    <col min="2" max="6" width="9.140625" style="6"/>
    <col min="7" max="7" width="10.140625" style="6" customWidth="1"/>
    <col min="8" max="8" width="11.140625" style="6" bestFit="1" customWidth="1"/>
    <col min="9" max="9" width="27.85546875" style="50" bestFit="1" customWidth="1"/>
    <col min="10" max="10" width="12.85546875" style="5" bestFit="1" customWidth="1"/>
    <col min="11" max="11" width="11.85546875" style="5" customWidth="1"/>
    <col min="12" max="12" width="10.140625" style="5" bestFit="1" customWidth="1"/>
    <col min="13" max="16384" width="9.14062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2024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6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6" s="6" customFormat="1">
      <c r="A8" s="97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6">
      <c r="A9" s="98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6">
      <c r="A10" s="39">
        <v>1</v>
      </c>
      <c r="B10" s="101" t="s">
        <v>60</v>
      </c>
      <c r="C10" s="42"/>
      <c r="D10" s="47"/>
      <c r="E10" s="42"/>
      <c r="F10" s="3"/>
      <c r="G10" s="3"/>
      <c r="H10" s="4">
        <f>+'Sch. 2 - Total'!H10</f>
        <v>1660052</v>
      </c>
      <c r="I10" s="22" t="s">
        <v>51</v>
      </c>
      <c r="J10" s="38"/>
      <c r="K10" s="45"/>
    </row>
    <row r="11" spans="1:16">
      <c r="A11" s="41">
        <v>2</v>
      </c>
      <c r="B11" s="101" t="s">
        <v>50</v>
      </c>
      <c r="C11" s="42"/>
      <c r="D11" s="47"/>
      <c r="E11" s="42"/>
      <c r="F11" s="42"/>
      <c r="G11" s="42"/>
      <c r="H11" s="4">
        <f>+'Sch. 2 - Total'!H11</f>
        <v>296353</v>
      </c>
      <c r="I11" s="22" t="s">
        <v>116</v>
      </c>
      <c r="J11" s="38"/>
      <c r="K11" s="45"/>
    </row>
    <row r="12" spans="1:16">
      <c r="A12" s="41">
        <v>3</v>
      </c>
      <c r="B12" s="101" t="s">
        <v>53</v>
      </c>
      <c r="C12" s="42"/>
      <c r="D12" s="47"/>
      <c r="E12" s="42"/>
      <c r="F12" s="42"/>
      <c r="G12" s="42"/>
      <c r="H12" s="4">
        <f>+'Sch. 2 - Total'!H12</f>
        <v>601062</v>
      </c>
      <c r="I12" s="22" t="s">
        <v>55</v>
      </c>
      <c r="J12" s="38"/>
      <c r="K12" s="45"/>
    </row>
    <row r="13" spans="1:16">
      <c r="A13" s="41">
        <v>4</v>
      </c>
      <c r="B13" s="101" t="s">
        <v>52</v>
      </c>
      <c r="C13" s="42"/>
      <c r="D13" s="47"/>
      <c r="E13" s="42"/>
      <c r="F13" s="42"/>
      <c r="G13" s="42"/>
      <c r="H13" s="4">
        <f>+'Sch. 2 - Total'!H13</f>
        <v>260384</v>
      </c>
      <c r="I13" s="22" t="s">
        <v>54</v>
      </c>
      <c r="J13" s="38"/>
      <c r="K13" s="45"/>
    </row>
    <row r="14" spans="1:16">
      <c r="A14" s="41">
        <v>5</v>
      </c>
      <c r="B14" s="101" t="s">
        <v>62</v>
      </c>
      <c r="C14" s="42"/>
      <c r="D14" s="47"/>
      <c r="E14" s="42"/>
      <c r="F14" s="42"/>
      <c r="G14" s="42"/>
      <c r="H14" s="4">
        <f>+'Sch. 2 - Total'!H14</f>
        <v>1034689</v>
      </c>
      <c r="I14" s="22" t="s">
        <v>106</v>
      </c>
      <c r="J14" s="38"/>
      <c r="K14" s="45"/>
    </row>
    <row r="15" spans="1:16">
      <c r="A15" s="41">
        <v>6</v>
      </c>
      <c r="B15" s="101" t="s">
        <v>63</v>
      </c>
      <c r="C15" s="42"/>
      <c r="D15" s="47"/>
      <c r="E15" s="42"/>
      <c r="F15" s="42"/>
      <c r="G15" s="42"/>
      <c r="H15" s="4">
        <f>+'Sch. 2 - Total'!H15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5" thickBot="1">
      <c r="A17" s="9">
        <f>A15+1</f>
        <v>7</v>
      </c>
      <c r="B17" s="11" t="s">
        <v>3</v>
      </c>
      <c r="C17" s="11"/>
      <c r="D17" s="11"/>
      <c r="E17" s="11"/>
      <c r="F17" s="11"/>
      <c r="G17" s="11"/>
      <c r="H17" s="12">
        <f>H11</f>
        <v>296353</v>
      </c>
      <c r="I17" s="99" t="s">
        <v>56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f>A17+1</f>
        <v>8</v>
      </c>
      <c r="B19" s="3" t="str">
        <f>'Sch. 2 - BHP'!B19</f>
        <v>Common Use AC Facility Transmission Load (2023 Actual Load)</v>
      </c>
      <c r="C19" s="3"/>
      <c r="D19" s="3"/>
      <c r="E19" s="3"/>
      <c r="F19" s="3"/>
      <c r="G19" s="3"/>
      <c r="H19" s="48">
        <f>+'CUS AC LOADS'!J24*1000</f>
        <v>966972.16666666651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17"/>
      <c r="H20" s="8"/>
      <c r="I20" s="24"/>
      <c r="J20" s="28"/>
      <c r="K20" s="28"/>
    </row>
    <row r="21" spans="1:12" s="6" customFormat="1">
      <c r="A21" s="9">
        <f>A19+1</f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0.30649999999999999</v>
      </c>
      <c r="I21" s="23" t="str">
        <f>+'Sch. 2 - BHP'!I21</f>
        <v>$ per kW - Year   (Ln 7/ Ln 8)</v>
      </c>
      <c r="J21" s="49"/>
      <c r="K21" s="28"/>
      <c r="L21" s="105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104"/>
    </row>
    <row r="23" spans="1:12" s="6" customFormat="1">
      <c r="A23" s="9">
        <f>A21+1</f>
        <v>10</v>
      </c>
      <c r="B23" s="10"/>
      <c r="C23" s="10"/>
      <c r="D23" s="10"/>
      <c r="E23" s="10"/>
      <c r="F23" s="10"/>
      <c r="G23" s="10"/>
      <c r="H23" s="52">
        <f>ROUND(H21/12,4)</f>
        <v>2.5499999999999998E-2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f>A23+1</f>
        <v>11</v>
      </c>
      <c r="B25" s="10"/>
      <c r="C25" s="10"/>
      <c r="D25" s="10"/>
      <c r="E25" s="10"/>
      <c r="F25" s="51"/>
      <c r="G25" s="10"/>
      <c r="H25" s="52">
        <f>ROUND(H21/52,4)</f>
        <v>5.8999999999999999E-3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f>A25+1</f>
        <v>12</v>
      </c>
      <c r="B27" s="10"/>
      <c r="C27" s="10"/>
      <c r="D27" s="10"/>
      <c r="E27" s="51"/>
      <c r="F27" s="10"/>
      <c r="G27" s="10"/>
      <c r="H27" s="52">
        <f>ROUND(H21/365,4)</f>
        <v>8.0000000000000004E-4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f>A27+1</f>
        <v>13</v>
      </c>
      <c r="B28" s="10"/>
      <c r="C28" s="10"/>
      <c r="D28" s="10"/>
      <c r="E28" s="51"/>
      <c r="F28" s="10"/>
      <c r="G28" s="10"/>
      <c r="H28" s="52">
        <f>ROUND(H21/312,4)</f>
        <v>1E-3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3"/>
      <c r="J29" s="28"/>
      <c r="K29" s="28"/>
    </row>
    <row r="30" spans="1:12" s="6" customFormat="1">
      <c r="A30" s="9">
        <f>A28+1</f>
        <v>14</v>
      </c>
      <c r="B30" s="10"/>
      <c r="C30" s="10"/>
      <c r="D30" s="10"/>
      <c r="E30" s="10"/>
      <c r="F30" s="10"/>
      <c r="G30" s="10"/>
      <c r="H30" s="53">
        <f>ROUND((H21/8760),5)</f>
        <v>3.0000000000000001E-5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f>A30+1</f>
        <v>15</v>
      </c>
      <c r="B31" s="10"/>
      <c r="C31" s="10"/>
      <c r="D31" s="10"/>
      <c r="E31" s="10"/>
      <c r="F31" s="10"/>
      <c r="G31" s="10"/>
      <c r="H31" s="53">
        <f>ROUND((H21/4992),5)</f>
        <v>6.0000000000000002E-5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opLeftCell="A7" workbookViewId="0">
      <selection activeCell="B42" sqref="B42:H42"/>
    </sheetView>
  </sheetViews>
  <sheetFormatPr defaultRowHeight="12.75"/>
  <cols>
    <col min="1" max="1" width="9.140625" style="6" bestFit="1" customWidth="1"/>
    <col min="2" max="6" width="9.140625" style="6"/>
    <col min="7" max="7" width="11" style="6" customWidth="1"/>
    <col min="8" max="8" width="11.140625" style="6" bestFit="1" customWidth="1"/>
    <col min="9" max="9" width="27.85546875" style="50" bestFit="1" customWidth="1"/>
    <col min="10" max="10" width="12.85546875" style="5" bestFit="1" customWidth="1"/>
    <col min="11" max="11" width="11.85546875" style="5" customWidth="1"/>
    <col min="12" max="12" width="10.140625" style="5" bestFit="1" customWidth="1"/>
    <col min="13" max="16384" width="9.140625" style="5"/>
  </cols>
  <sheetData>
    <row r="1" spans="1:15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5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5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2024</v>
      </c>
      <c r="L3" s="7"/>
      <c r="M3" s="7"/>
      <c r="N3" s="7"/>
      <c r="O3" s="36"/>
    </row>
    <row r="4" spans="1:15">
      <c r="A4" s="33"/>
      <c r="B4" s="34"/>
      <c r="C4" s="34"/>
      <c r="D4" s="34"/>
      <c r="E4" s="34"/>
      <c r="F4" s="34"/>
      <c r="G4" s="34"/>
      <c r="H4" s="35"/>
      <c r="I4" s="32"/>
      <c r="K4" s="3"/>
    </row>
    <row r="5" spans="1:15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5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5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5" s="6" customFormat="1">
      <c r="A8" s="97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5">
      <c r="A9" s="98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5">
      <c r="A10" s="41">
        <v>1</v>
      </c>
      <c r="B10" s="101" t="s">
        <v>60</v>
      </c>
      <c r="C10" s="42"/>
      <c r="D10" s="47"/>
      <c r="E10" s="42"/>
      <c r="F10" s="42"/>
      <c r="G10" s="42"/>
      <c r="H10" s="40">
        <f>+'Sch. 2 - Total'!H10</f>
        <v>1660052</v>
      </c>
      <c r="I10" s="22" t="s">
        <v>51</v>
      </c>
      <c r="J10" s="38"/>
      <c r="K10" s="45"/>
    </row>
    <row r="11" spans="1:15">
      <c r="A11" s="41">
        <v>2</v>
      </c>
      <c r="B11" s="101" t="s">
        <v>50</v>
      </c>
      <c r="C11" s="42"/>
      <c r="D11" s="47"/>
      <c r="E11" s="42"/>
      <c r="F11" s="42"/>
      <c r="G11" s="42"/>
      <c r="H11" s="40">
        <f>+'Sch. 2 - Total'!H11</f>
        <v>296353</v>
      </c>
      <c r="I11" s="22" t="s">
        <v>116</v>
      </c>
      <c r="J11" s="38"/>
      <c r="K11" s="45"/>
    </row>
    <row r="12" spans="1:15">
      <c r="A12" s="41">
        <v>3</v>
      </c>
      <c r="B12" s="101" t="s">
        <v>53</v>
      </c>
      <c r="C12" s="42"/>
      <c r="D12" s="47"/>
      <c r="E12" s="42"/>
      <c r="F12" s="42"/>
      <c r="G12" s="42"/>
      <c r="H12" s="40">
        <f>+'Sch. 2 - Total'!H12</f>
        <v>601062</v>
      </c>
      <c r="I12" s="22" t="s">
        <v>55</v>
      </c>
      <c r="J12" s="38"/>
      <c r="K12" s="45"/>
    </row>
    <row r="13" spans="1:15">
      <c r="A13" s="41">
        <v>4</v>
      </c>
      <c r="B13" s="101" t="s">
        <v>52</v>
      </c>
      <c r="C13" s="42"/>
      <c r="D13" s="47"/>
      <c r="E13" s="42"/>
      <c r="F13" s="42"/>
      <c r="G13" s="42"/>
      <c r="H13" s="40">
        <f>+'Sch. 2 - Total'!H13</f>
        <v>260384</v>
      </c>
      <c r="I13" s="22" t="s">
        <v>54</v>
      </c>
      <c r="J13" s="38"/>
      <c r="K13" s="45"/>
    </row>
    <row r="14" spans="1:15">
      <c r="A14" s="41">
        <v>5</v>
      </c>
      <c r="B14" s="101" t="s">
        <v>62</v>
      </c>
      <c r="C14" s="42"/>
      <c r="D14" s="47"/>
      <c r="E14" s="42"/>
      <c r="F14" s="42"/>
      <c r="G14" s="42"/>
      <c r="H14" s="40">
        <f>+'Sch. 2 - Total'!H14</f>
        <v>1034689</v>
      </c>
      <c r="I14" s="22" t="s">
        <v>106</v>
      </c>
      <c r="J14" s="38"/>
      <c r="K14" s="45"/>
    </row>
    <row r="15" spans="1:15">
      <c r="A15" s="41">
        <v>6</v>
      </c>
      <c r="B15" s="101" t="s">
        <v>63</v>
      </c>
      <c r="C15" s="42"/>
      <c r="D15" s="47"/>
      <c r="E15" s="42"/>
      <c r="F15" s="42"/>
      <c r="G15" s="42"/>
      <c r="H15" s="40">
        <f>+'Sch. 2 - Total'!H15</f>
        <v>66747</v>
      </c>
      <c r="I15" s="22" t="s">
        <v>106</v>
      </c>
      <c r="J15" s="38"/>
      <c r="K15" s="45"/>
    </row>
    <row r="16" spans="1:15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5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H12</f>
        <v>601062</v>
      </c>
      <c r="I17" s="99" t="s">
        <v>58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v>8</v>
      </c>
      <c r="B19" s="3" t="str">
        <f>'Sch. 2 - BHP'!B19</f>
        <v>Common Use AC Facility Transmission Load (2023 Actual Load)</v>
      </c>
      <c r="C19" s="3"/>
      <c r="D19" s="3"/>
      <c r="E19" s="3"/>
      <c r="F19" s="3"/>
      <c r="G19" s="3"/>
      <c r="H19" s="48">
        <f>+'CUS AC LOADS'!J24*1000</f>
        <v>966972.16666666651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17"/>
      <c r="H20" s="8"/>
      <c r="I20" s="24"/>
      <c r="J20" s="28"/>
      <c r="K20" s="28"/>
    </row>
    <row r="21" spans="1:12" s="6" customFormat="1">
      <c r="A21" s="9"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0.62160000000000004</v>
      </c>
      <c r="I21" s="23" t="str">
        <f>+'Sch. 2 - BHP'!I21</f>
        <v>$ per kW - Year   (Ln 7/ Ln 8)</v>
      </c>
      <c r="J21" s="49"/>
      <c r="K21" s="28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55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2">
        <f>ROUND(H21/12,4)</f>
        <v>5.1799999999999999E-2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v>11</v>
      </c>
      <c r="B25" s="10"/>
      <c r="C25" s="10"/>
      <c r="D25" s="10"/>
      <c r="E25" s="10"/>
      <c r="F25" s="51"/>
      <c r="G25" s="10"/>
      <c r="H25" s="52">
        <f>ROUND(H21/52,4)</f>
        <v>1.2E-2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v>12</v>
      </c>
      <c r="B27" s="10"/>
      <c r="C27" s="10"/>
      <c r="D27" s="10"/>
      <c r="E27" s="51"/>
      <c r="F27" s="10"/>
      <c r="G27" s="10"/>
      <c r="H27" s="52">
        <f>ROUND(H21/365,4)</f>
        <v>1.6999999999999999E-3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v>13</v>
      </c>
      <c r="B28" s="10"/>
      <c r="C28" s="10"/>
      <c r="D28" s="10"/>
      <c r="E28" s="51"/>
      <c r="F28" s="10"/>
      <c r="G28" s="10"/>
      <c r="H28" s="52">
        <f>ROUND(H21/312,4)</f>
        <v>2E-3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3">
        <f>ROUND((H21/8760),5)</f>
        <v>6.9999999999999994E-5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3">
        <f>ROUND((H21/4992),5)</f>
        <v>1.2E-4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workbookViewId="0">
      <selection activeCell="B42" sqref="B42:H42"/>
    </sheetView>
  </sheetViews>
  <sheetFormatPr defaultRowHeight="12.75"/>
  <cols>
    <col min="1" max="1" width="9.140625" style="6" bestFit="1" customWidth="1"/>
    <col min="2" max="6" width="9.140625" style="6"/>
    <col min="7" max="7" width="11.5703125" style="6" customWidth="1"/>
    <col min="8" max="8" width="11.140625" style="6" bestFit="1" customWidth="1"/>
    <col min="9" max="9" width="27.85546875" style="50" bestFit="1" customWidth="1"/>
    <col min="10" max="10" width="12.85546875" style="5" bestFit="1" customWidth="1"/>
    <col min="11" max="11" width="11.85546875" style="5" customWidth="1"/>
    <col min="12" max="12" width="10.140625" style="5" bestFit="1" customWidth="1"/>
    <col min="13" max="16384" width="9.14062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2024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6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6" s="6" customFormat="1">
      <c r="A8" s="97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6">
      <c r="A9" s="98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6">
      <c r="A10" s="41">
        <v>1</v>
      </c>
      <c r="B10" s="101" t="s">
        <v>60</v>
      </c>
      <c r="C10" s="42"/>
      <c r="D10" s="47"/>
      <c r="E10" s="42"/>
      <c r="F10" s="42"/>
      <c r="G10" s="42"/>
      <c r="H10" s="40">
        <f>+'Sch. 2 - Total'!H10</f>
        <v>1660052</v>
      </c>
      <c r="I10" s="22" t="s">
        <v>51</v>
      </c>
      <c r="J10" s="38"/>
      <c r="K10" s="45"/>
    </row>
    <row r="11" spans="1:16">
      <c r="A11" s="41">
        <v>2</v>
      </c>
      <c r="B11" s="101" t="s">
        <v>50</v>
      </c>
      <c r="C11" s="42"/>
      <c r="D11" s="47"/>
      <c r="E11" s="42"/>
      <c r="F11" s="42"/>
      <c r="G11" s="42"/>
      <c r="H11" s="40">
        <f>+'Sch. 2 - Total'!H11</f>
        <v>296353</v>
      </c>
      <c r="I11" s="22" t="s">
        <v>116</v>
      </c>
      <c r="J11" s="38"/>
      <c r="K11" s="45"/>
    </row>
    <row r="12" spans="1:16">
      <c r="A12" s="41">
        <v>3</v>
      </c>
      <c r="B12" s="101" t="s">
        <v>53</v>
      </c>
      <c r="C12" s="42"/>
      <c r="D12" s="47"/>
      <c r="E12" s="42"/>
      <c r="F12" s="42"/>
      <c r="G12" s="42"/>
      <c r="H12" s="40">
        <f>+'Sch. 2 - Total'!H12</f>
        <v>601062</v>
      </c>
      <c r="I12" s="22" t="s">
        <v>55</v>
      </c>
      <c r="J12" s="38"/>
      <c r="K12" s="45"/>
    </row>
    <row r="13" spans="1:16">
      <c r="A13" s="41">
        <v>4</v>
      </c>
      <c r="B13" s="101" t="s">
        <v>52</v>
      </c>
      <c r="C13" s="42"/>
      <c r="D13" s="47"/>
      <c r="E13" s="42"/>
      <c r="F13" s="42"/>
      <c r="G13" s="42"/>
      <c r="H13" s="40">
        <f>+'Sch. 2 - Total'!H13</f>
        <v>260384</v>
      </c>
      <c r="I13" s="22" t="s">
        <v>54</v>
      </c>
      <c r="J13" s="38"/>
      <c r="K13" s="45"/>
    </row>
    <row r="14" spans="1:16">
      <c r="A14" s="41">
        <v>5</v>
      </c>
      <c r="B14" s="101" t="s">
        <v>62</v>
      </c>
      <c r="C14" s="42"/>
      <c r="D14" s="47"/>
      <c r="E14" s="42"/>
      <c r="F14" s="42"/>
      <c r="G14" s="42"/>
      <c r="H14" s="40">
        <f>+'Sch. 2 - Total'!H14</f>
        <v>1034689</v>
      </c>
      <c r="I14" s="22" t="s">
        <v>106</v>
      </c>
      <c r="J14" s="38"/>
      <c r="K14" s="45"/>
    </row>
    <row r="15" spans="1:16">
      <c r="A15" s="41">
        <v>6</v>
      </c>
      <c r="B15" s="101" t="s">
        <v>63</v>
      </c>
      <c r="C15" s="42"/>
      <c r="D15" s="47"/>
      <c r="E15" s="42"/>
      <c r="F15" s="42"/>
      <c r="G15" s="42"/>
      <c r="H15" s="40">
        <f>+'Sch. 2 - Total'!H15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5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H13</f>
        <v>260384</v>
      </c>
      <c r="I17" s="99" t="s">
        <v>59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v>8</v>
      </c>
      <c r="B19" s="3" t="str">
        <f>'Sch. 2 - BHP'!B19</f>
        <v>Common Use AC Facility Transmission Load (2023 Actual Load)</v>
      </c>
      <c r="C19" s="3"/>
      <c r="D19" s="3"/>
      <c r="E19" s="3"/>
      <c r="F19" s="3"/>
      <c r="G19" s="3"/>
      <c r="H19" s="48">
        <f>+'CUS AC LOADS'!J24*1000</f>
        <v>966972.16666666651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17"/>
      <c r="H20" s="8"/>
      <c r="I20" s="24"/>
      <c r="J20" s="28"/>
      <c r="K20" s="28"/>
    </row>
    <row r="21" spans="1:12" s="6" customFormat="1">
      <c r="A21" s="9"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0.26929999999999998</v>
      </c>
      <c r="I21" s="23" t="str">
        <f>+'Sch. 2 - BHP'!I21</f>
        <v>$ per kW - Year   (Ln 7/ Ln 8)</v>
      </c>
      <c r="J21" s="49"/>
      <c r="K21" s="28"/>
      <c r="L21" s="103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55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2">
        <f>ROUND(H21/12,4)</f>
        <v>2.24E-2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v>11</v>
      </c>
      <c r="B25" s="10"/>
      <c r="C25" s="10"/>
      <c r="D25" s="10"/>
      <c r="E25" s="10"/>
      <c r="F25" s="51"/>
      <c r="G25" s="10"/>
      <c r="H25" s="52">
        <f>ROUND(H21/52,4)</f>
        <v>5.1999999999999998E-3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v>12</v>
      </c>
      <c r="B27" s="10"/>
      <c r="C27" s="10"/>
      <c r="D27" s="10"/>
      <c r="E27" s="51"/>
      <c r="F27" s="10"/>
      <c r="G27" s="10"/>
      <c r="H27" s="52">
        <f>ROUND(H21/365,4)</f>
        <v>6.9999999999999999E-4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v>13</v>
      </c>
      <c r="B28" s="10"/>
      <c r="C28" s="10"/>
      <c r="D28" s="10"/>
      <c r="E28" s="51"/>
      <c r="F28" s="10"/>
      <c r="G28" s="10"/>
      <c r="H28" s="52">
        <f>ROUND(H21/312,4)</f>
        <v>8.9999999999999998E-4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3">
        <f>ROUND((H21/8760),5)</f>
        <v>3.0000000000000001E-5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3">
        <f>ROUND((H21/4992),5)</f>
        <v>5.0000000000000002E-5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7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opLeftCell="A4" workbookViewId="0">
      <selection activeCell="B42" sqref="B42:H42"/>
    </sheetView>
  </sheetViews>
  <sheetFormatPr defaultRowHeight="12.75"/>
  <cols>
    <col min="1" max="1" width="9.140625" style="6" bestFit="1" customWidth="1"/>
    <col min="2" max="6" width="9.140625" style="6"/>
    <col min="7" max="7" width="11.140625" style="6" customWidth="1"/>
    <col min="8" max="8" width="11.140625" style="6" bestFit="1" customWidth="1"/>
    <col min="9" max="9" width="27.85546875" style="50" bestFit="1" customWidth="1"/>
    <col min="10" max="10" width="12.85546875" style="5" bestFit="1" customWidth="1"/>
    <col min="11" max="11" width="11.85546875" style="5" customWidth="1"/>
    <col min="12" max="12" width="10.140625" style="5" bestFit="1" customWidth="1"/>
    <col min="13" max="16384" width="9.14062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2024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6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6" s="6" customFormat="1">
      <c r="A8" s="97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6">
      <c r="A9" s="98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6">
      <c r="A10" s="41">
        <v>1</v>
      </c>
      <c r="B10" s="101" t="s">
        <v>60</v>
      </c>
      <c r="C10" s="42"/>
      <c r="D10" s="47"/>
      <c r="E10" s="42"/>
      <c r="F10" s="42"/>
      <c r="G10" s="42"/>
      <c r="H10" s="40">
        <f>+'Sch. 2 - Total'!H10</f>
        <v>1660052</v>
      </c>
      <c r="I10" s="22" t="s">
        <v>51</v>
      </c>
      <c r="J10" s="38"/>
      <c r="K10" s="45"/>
    </row>
    <row r="11" spans="1:16">
      <c r="A11" s="41">
        <v>2</v>
      </c>
      <c r="B11" s="101" t="s">
        <v>50</v>
      </c>
      <c r="C11" s="42"/>
      <c r="D11" s="47"/>
      <c r="E11" s="42"/>
      <c r="F11" s="42"/>
      <c r="G11" s="42"/>
      <c r="H11" s="40">
        <f>+'Sch. 2 - Total'!H11</f>
        <v>296353</v>
      </c>
      <c r="I11" s="22" t="s">
        <v>116</v>
      </c>
      <c r="J11" s="38"/>
      <c r="K11" s="45"/>
    </row>
    <row r="12" spans="1:16">
      <c r="A12" s="41">
        <v>3</v>
      </c>
      <c r="B12" s="101" t="s">
        <v>53</v>
      </c>
      <c r="C12" s="42"/>
      <c r="D12" s="47"/>
      <c r="E12" s="42"/>
      <c r="F12" s="42"/>
      <c r="G12" s="42"/>
      <c r="H12" s="40">
        <f>+'Sch. 2 - Total'!H12</f>
        <v>601062</v>
      </c>
      <c r="I12" s="22" t="s">
        <v>55</v>
      </c>
      <c r="J12" s="38"/>
      <c r="K12" s="45"/>
    </row>
    <row r="13" spans="1:16">
      <c r="A13" s="41">
        <v>4</v>
      </c>
      <c r="B13" s="101" t="s">
        <v>52</v>
      </c>
      <c r="C13" s="42"/>
      <c r="D13" s="47"/>
      <c r="E13" s="42"/>
      <c r="F13" s="42"/>
      <c r="G13" s="42"/>
      <c r="H13" s="40">
        <f>+'Sch. 2 - Total'!H13</f>
        <v>260384</v>
      </c>
      <c r="I13" s="22" t="s">
        <v>54</v>
      </c>
      <c r="J13" s="38"/>
      <c r="K13" s="45"/>
    </row>
    <row r="14" spans="1:16">
      <c r="A14" s="41">
        <v>5</v>
      </c>
      <c r="B14" s="101" t="s">
        <v>62</v>
      </c>
      <c r="C14" s="42"/>
      <c r="D14" s="47"/>
      <c r="E14" s="42"/>
      <c r="F14" s="42"/>
      <c r="G14" s="42"/>
      <c r="H14" s="40">
        <f>+'Sch. 2 - Total'!H14</f>
        <v>1034689</v>
      </c>
      <c r="I14" s="22" t="s">
        <v>106</v>
      </c>
      <c r="J14" s="38"/>
      <c r="K14" s="45"/>
    </row>
    <row r="15" spans="1:16">
      <c r="A15" s="41">
        <v>6</v>
      </c>
      <c r="B15" s="101" t="s">
        <v>63</v>
      </c>
      <c r="C15" s="42"/>
      <c r="D15" s="47"/>
      <c r="E15" s="42"/>
      <c r="F15" s="42"/>
      <c r="G15" s="42"/>
      <c r="H15" s="40">
        <f>+'Sch. 2 - Total'!H15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5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H14</f>
        <v>1034689</v>
      </c>
      <c r="I17" s="99" t="s">
        <v>65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v>8</v>
      </c>
      <c r="B19" s="3" t="str">
        <f>'Sch. 2 - BHP'!B19</f>
        <v>Common Use AC Facility Transmission Load (2023 Actual Load)</v>
      </c>
      <c r="C19" s="3"/>
      <c r="D19" s="3"/>
      <c r="E19" s="3"/>
      <c r="F19" s="3"/>
      <c r="G19" s="3"/>
      <c r="H19" s="48">
        <f>+'CUS AC LOADS'!J24*1000</f>
        <v>966972.16666666651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17"/>
      <c r="H20" s="8"/>
      <c r="I20" s="24"/>
      <c r="J20" s="28"/>
      <c r="K20" s="28"/>
    </row>
    <row r="21" spans="1:12" s="6" customFormat="1">
      <c r="A21" s="9"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1.07</v>
      </c>
      <c r="I21" s="23" t="str">
        <f>+'Sch. 2 - BHP'!I21</f>
        <v>$ per kW - Year   (Ln 7/ Ln 8)</v>
      </c>
      <c r="J21" s="49"/>
      <c r="K21" s="28"/>
      <c r="L21" s="103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55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2">
        <f>ROUND(H21/12,4)</f>
        <v>8.9200000000000002E-2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v>11</v>
      </c>
      <c r="B25" s="10"/>
      <c r="C25" s="10"/>
      <c r="D25" s="10"/>
      <c r="E25" s="10"/>
      <c r="F25" s="51"/>
      <c r="G25" s="10"/>
      <c r="H25" s="52">
        <f>ROUND(H21/52,4)</f>
        <v>2.06E-2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v>12</v>
      </c>
      <c r="B27" s="10"/>
      <c r="C27" s="10"/>
      <c r="D27" s="10"/>
      <c r="E27" s="51"/>
      <c r="F27" s="10"/>
      <c r="G27" s="10"/>
      <c r="H27" s="52">
        <f>ROUND(H21/365,4)</f>
        <v>2.8999999999999998E-3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v>13</v>
      </c>
      <c r="B28" s="10"/>
      <c r="C28" s="10"/>
      <c r="D28" s="10"/>
      <c r="E28" s="51"/>
      <c r="F28" s="10"/>
      <c r="G28" s="10"/>
      <c r="H28" s="52">
        <f>ROUND(H21/312,4)</f>
        <v>3.3999999999999998E-3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3">
        <f>ROUND((H21/8760),5)</f>
        <v>1.2E-4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3">
        <f>ROUND((H21/4992),5)</f>
        <v>2.1000000000000001E-4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workbookViewId="0">
      <selection activeCell="B42" sqref="B42:H42"/>
    </sheetView>
  </sheetViews>
  <sheetFormatPr defaultRowHeight="12.75"/>
  <cols>
    <col min="1" max="1" width="9.140625" style="6" bestFit="1" customWidth="1"/>
    <col min="2" max="6" width="9.140625" style="6"/>
    <col min="7" max="7" width="10.85546875" style="6" customWidth="1"/>
    <col min="8" max="8" width="11.140625" style="6" bestFit="1" customWidth="1"/>
    <col min="9" max="9" width="27.85546875" style="50" bestFit="1" customWidth="1"/>
    <col min="10" max="10" width="12.85546875" style="5" bestFit="1" customWidth="1"/>
    <col min="11" max="11" width="11.85546875" style="5" customWidth="1"/>
    <col min="12" max="12" width="10.140625" style="5" bestFit="1" customWidth="1"/>
    <col min="13" max="16384" width="9.140625" style="5"/>
  </cols>
  <sheetData>
    <row r="1" spans="1:16">
      <c r="A1" s="1" t="s">
        <v>0</v>
      </c>
      <c r="B1" s="3"/>
      <c r="C1" s="3"/>
      <c r="D1" s="3"/>
      <c r="E1" s="3"/>
      <c r="F1" s="3"/>
      <c r="G1" s="3"/>
      <c r="H1" s="4"/>
      <c r="I1" s="32"/>
      <c r="J1" s="3"/>
      <c r="K1" s="3"/>
    </row>
    <row r="2" spans="1:16">
      <c r="A2" s="33" t="s">
        <v>1</v>
      </c>
      <c r="B2" s="34"/>
      <c r="C2" s="34"/>
      <c r="D2" s="34"/>
      <c r="E2" s="34"/>
      <c r="F2" s="34"/>
      <c r="G2" s="34"/>
      <c r="H2" s="35"/>
      <c r="J2" s="7"/>
      <c r="K2" s="2" t="str">
        <f>+'Under-Over Recovery'!J2</f>
        <v>Black Hills Power, Inc.</v>
      </c>
    </row>
    <row r="3" spans="1:16">
      <c r="A3" s="33" t="s">
        <v>2</v>
      </c>
      <c r="B3" s="34"/>
      <c r="C3" s="34"/>
      <c r="D3" s="34"/>
      <c r="E3" s="34"/>
      <c r="F3" s="34"/>
      <c r="G3" s="34"/>
      <c r="H3" s="35"/>
      <c r="I3" s="32"/>
      <c r="J3" s="3"/>
      <c r="K3" s="2" t="str">
        <f>+'Under-Over Recovery'!J3</f>
        <v>May 31, 2024</v>
      </c>
      <c r="L3" s="7"/>
      <c r="M3" s="7"/>
      <c r="N3" s="7"/>
      <c r="O3" s="36"/>
    </row>
    <row r="4" spans="1:16">
      <c r="A4" s="33"/>
      <c r="B4" s="34"/>
      <c r="C4" s="34"/>
      <c r="D4" s="34"/>
      <c r="E4" s="34"/>
      <c r="F4" s="34"/>
      <c r="G4" s="34"/>
      <c r="H4" s="35"/>
      <c r="I4" s="32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9"/>
      <c r="I6" s="24"/>
      <c r="J6" s="28"/>
      <c r="K6" s="28"/>
    </row>
    <row r="7" spans="1:16" s="6" customFormat="1">
      <c r="A7" s="8"/>
      <c r="B7" s="8"/>
      <c r="C7" s="8"/>
      <c r="D7" s="8"/>
      <c r="E7" s="8"/>
      <c r="F7" s="8"/>
      <c r="G7" s="8"/>
      <c r="H7" s="29"/>
      <c r="I7" s="24"/>
      <c r="J7" s="28"/>
      <c r="K7" s="28"/>
    </row>
    <row r="8" spans="1:16" s="6" customFormat="1">
      <c r="A8" s="97" t="s">
        <v>31</v>
      </c>
      <c r="B8" s="8"/>
      <c r="C8" s="8"/>
      <c r="D8" s="8"/>
      <c r="E8" s="8"/>
      <c r="F8" s="8"/>
      <c r="G8" s="8"/>
      <c r="H8" s="29"/>
      <c r="I8" s="24"/>
      <c r="J8" s="28"/>
      <c r="K8" s="28"/>
    </row>
    <row r="9" spans="1:16">
      <c r="A9" s="98" t="s">
        <v>32</v>
      </c>
      <c r="B9" s="46"/>
      <c r="C9" s="42"/>
      <c r="D9" s="47"/>
      <c r="E9" s="42"/>
      <c r="F9" s="3"/>
      <c r="G9" s="3"/>
      <c r="H9" s="29"/>
      <c r="I9" s="43"/>
      <c r="J9" s="38"/>
      <c r="K9" s="45"/>
    </row>
    <row r="10" spans="1:16">
      <c r="A10" s="41">
        <v>1</v>
      </c>
      <c r="B10" s="101" t="s">
        <v>60</v>
      </c>
      <c r="C10" s="42"/>
      <c r="D10" s="47"/>
      <c r="E10" s="42"/>
      <c r="F10" s="42"/>
      <c r="G10" s="42"/>
      <c r="H10" s="40">
        <f>+'Sch. 2 - Total'!H10</f>
        <v>1660052</v>
      </c>
      <c r="I10" s="22" t="s">
        <v>51</v>
      </c>
      <c r="J10" s="38"/>
      <c r="K10" s="45"/>
    </row>
    <row r="11" spans="1:16">
      <c r="A11" s="41">
        <v>2</v>
      </c>
      <c r="B11" s="101" t="s">
        <v>50</v>
      </c>
      <c r="C11" s="42"/>
      <c r="D11" s="47"/>
      <c r="E11" s="42"/>
      <c r="F11" s="42"/>
      <c r="G11" s="42"/>
      <c r="H11" s="40">
        <f>+'Sch. 2 - Total'!H11</f>
        <v>296353</v>
      </c>
      <c r="I11" s="22" t="s">
        <v>116</v>
      </c>
      <c r="J11" s="38"/>
      <c r="K11" s="45"/>
    </row>
    <row r="12" spans="1:16">
      <c r="A12" s="41">
        <v>3</v>
      </c>
      <c r="B12" s="101" t="s">
        <v>53</v>
      </c>
      <c r="C12" s="42"/>
      <c r="D12" s="47"/>
      <c r="E12" s="42"/>
      <c r="F12" s="42"/>
      <c r="G12" s="42"/>
      <c r="H12" s="40">
        <f>+'Sch. 2 - Total'!H12</f>
        <v>601062</v>
      </c>
      <c r="I12" s="22" t="s">
        <v>55</v>
      </c>
      <c r="J12" s="38"/>
      <c r="K12" s="45"/>
    </row>
    <row r="13" spans="1:16">
      <c r="A13" s="41">
        <v>4</v>
      </c>
      <c r="B13" s="101" t="s">
        <v>52</v>
      </c>
      <c r="C13" s="42"/>
      <c r="D13" s="47"/>
      <c r="E13" s="42"/>
      <c r="F13" s="42"/>
      <c r="G13" s="42"/>
      <c r="H13" s="40">
        <f>+'Sch. 2 - Total'!H13</f>
        <v>260384</v>
      </c>
      <c r="I13" s="22" t="s">
        <v>54</v>
      </c>
      <c r="J13" s="38"/>
      <c r="K13" s="45"/>
    </row>
    <row r="14" spans="1:16">
      <c r="A14" s="41">
        <v>5</v>
      </c>
      <c r="B14" s="101" t="s">
        <v>62</v>
      </c>
      <c r="C14" s="42"/>
      <c r="D14" s="47"/>
      <c r="E14" s="42"/>
      <c r="F14" s="42"/>
      <c r="G14" s="42"/>
      <c r="H14" s="40">
        <f>+'Sch. 2 - Total'!H14</f>
        <v>1034689</v>
      </c>
      <c r="I14" s="22" t="s">
        <v>106</v>
      </c>
      <c r="J14" s="38"/>
      <c r="K14" s="45"/>
    </row>
    <row r="15" spans="1:16">
      <c r="A15" s="41">
        <v>6</v>
      </c>
      <c r="B15" s="101" t="s">
        <v>63</v>
      </c>
      <c r="C15" s="42"/>
      <c r="D15" s="47"/>
      <c r="E15" s="42"/>
      <c r="F15" s="42"/>
      <c r="G15" s="42"/>
      <c r="H15" s="40">
        <f>+'Sch. 2 - Total'!H15</f>
        <v>66747</v>
      </c>
      <c r="I15" s="22" t="s">
        <v>106</v>
      </c>
      <c r="J15" s="38"/>
      <c r="K15" s="45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8"/>
      <c r="K16" s="28"/>
    </row>
    <row r="17" spans="1:12" ht="13.5" thickBot="1">
      <c r="A17" s="9">
        <v>7</v>
      </c>
      <c r="B17" s="11" t="s">
        <v>3</v>
      </c>
      <c r="C17" s="11"/>
      <c r="D17" s="11"/>
      <c r="E17" s="11"/>
      <c r="F17" s="11"/>
      <c r="G17" s="11"/>
      <c r="H17" s="12">
        <f>H15</f>
        <v>66747</v>
      </c>
      <c r="I17" s="99" t="s">
        <v>66</v>
      </c>
      <c r="J17" s="37"/>
      <c r="K17" s="44"/>
    </row>
    <row r="18" spans="1:12">
      <c r="A18" s="39"/>
      <c r="B18" s="3"/>
      <c r="C18" s="3"/>
      <c r="D18" s="3"/>
      <c r="E18" s="3"/>
      <c r="F18" s="3"/>
      <c r="G18" s="3"/>
      <c r="H18" s="4"/>
      <c r="I18" s="32"/>
      <c r="J18" s="38"/>
      <c r="K18" s="45"/>
    </row>
    <row r="19" spans="1:12">
      <c r="A19" s="39">
        <v>8</v>
      </c>
      <c r="B19" s="3" t="str">
        <f>'Sch. 2 - BHP'!B19</f>
        <v>Common Use AC Facility Transmission Load (2023 Actual Load)</v>
      </c>
      <c r="C19" s="3"/>
      <c r="D19" s="3"/>
      <c r="E19" s="3"/>
      <c r="F19" s="3"/>
      <c r="G19" s="3"/>
      <c r="H19" s="48">
        <f>+'CUS AC LOADS'!J24*1000</f>
        <v>966972.16666666651</v>
      </c>
      <c r="I19" s="22" t="s">
        <v>64</v>
      </c>
      <c r="J19" s="85"/>
    </row>
    <row r="20" spans="1:12" s="6" customFormat="1">
      <c r="A20" s="8"/>
      <c r="B20" s="8"/>
      <c r="C20" s="8"/>
      <c r="D20" s="8"/>
      <c r="E20" s="8"/>
      <c r="F20" s="8"/>
      <c r="G20" s="117"/>
      <c r="H20" s="8"/>
      <c r="I20" s="24"/>
      <c r="J20" s="28"/>
      <c r="K20" s="28"/>
    </row>
    <row r="21" spans="1:12" s="6" customFormat="1">
      <c r="A21" s="9">
        <v>9</v>
      </c>
      <c r="B21" s="10" t="s">
        <v>5</v>
      </c>
      <c r="C21" s="10"/>
      <c r="D21" s="10"/>
      <c r="E21" s="10"/>
      <c r="F21" s="10"/>
      <c r="G21" s="10"/>
      <c r="H21" s="52">
        <f>ROUND(H17/H19,4)</f>
        <v>6.9000000000000006E-2</v>
      </c>
      <c r="I21" s="23" t="str">
        <f>+'Sch. 2 - BHP'!I21</f>
        <v>$ per kW - Year   (Ln 7/ Ln 8)</v>
      </c>
      <c r="J21" s="49"/>
      <c r="K21" s="28"/>
    </row>
    <row r="22" spans="1:12" s="6" customFormat="1">
      <c r="A22" s="8"/>
      <c r="B22" s="8"/>
      <c r="C22" s="8"/>
      <c r="D22" s="8"/>
      <c r="E22" s="8"/>
      <c r="F22" s="8"/>
      <c r="G22" s="8"/>
      <c r="H22" s="31"/>
      <c r="I22" s="24"/>
      <c r="J22" s="54"/>
      <c r="K22" s="54"/>
      <c r="L22" s="104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2">
        <f>ROUND(H21/12,4)</f>
        <v>5.7999999999999996E-3</v>
      </c>
      <c r="I23" s="23" t="str">
        <f>+'Sch. 2 - BHP'!I23</f>
        <v>$ per kW - Month (Ln 9 / 12)</v>
      </c>
      <c r="J23" s="49"/>
      <c r="K23" s="54"/>
      <c r="L23" s="55"/>
    </row>
    <row r="24" spans="1:12" s="6" customFormat="1">
      <c r="A24" s="8"/>
      <c r="B24" s="8"/>
      <c r="C24" s="8"/>
      <c r="D24" s="8"/>
      <c r="E24" s="8"/>
      <c r="F24" s="8"/>
      <c r="G24" s="8"/>
      <c r="H24" s="31"/>
      <c r="I24" s="24"/>
      <c r="J24" s="28"/>
      <c r="K24" s="28"/>
    </row>
    <row r="25" spans="1:12" s="6" customFormat="1">
      <c r="A25" s="9">
        <v>11</v>
      </c>
      <c r="B25" s="10"/>
      <c r="C25" s="10"/>
      <c r="D25" s="10"/>
      <c r="E25" s="10"/>
      <c r="F25" s="51"/>
      <c r="G25" s="10"/>
      <c r="H25" s="52">
        <f>ROUND(H21/52,4)</f>
        <v>1.2999999999999999E-3</v>
      </c>
      <c r="I25" s="23" t="str">
        <f>+'Sch. 2 - BHP'!I25</f>
        <v>$ per kW - Week (Ln 9 / 52)</v>
      </c>
      <c r="J25" s="49"/>
      <c r="K25" s="28"/>
    </row>
    <row r="26" spans="1:12" s="6" customFormat="1">
      <c r="A26" s="8"/>
      <c r="B26" s="8"/>
      <c r="C26" s="8"/>
      <c r="D26" s="8"/>
      <c r="E26" s="8"/>
      <c r="F26" s="8"/>
      <c r="G26" s="8"/>
      <c r="H26" s="31"/>
      <c r="I26" s="24"/>
      <c r="J26" s="28"/>
      <c r="K26" s="28"/>
    </row>
    <row r="27" spans="1:12" s="6" customFormat="1">
      <c r="A27" s="9">
        <v>12</v>
      </c>
      <c r="B27" s="10"/>
      <c r="C27" s="10"/>
      <c r="D27" s="10"/>
      <c r="E27" s="51"/>
      <c r="F27" s="10"/>
      <c r="G27" s="10"/>
      <c r="H27" s="52">
        <f>ROUND(H21/365,4)</f>
        <v>2.0000000000000001E-4</v>
      </c>
      <c r="I27" s="23" t="str">
        <f>+'Sch. 2 - BHP'!I27</f>
        <v>$ per kW - day off peak (Ln 9 / 365)</v>
      </c>
      <c r="J27" s="49" t="s">
        <v>36</v>
      </c>
      <c r="K27" s="28"/>
    </row>
    <row r="28" spans="1:12" s="6" customFormat="1">
      <c r="A28" s="9">
        <v>13</v>
      </c>
      <c r="B28" s="10"/>
      <c r="C28" s="10"/>
      <c r="D28" s="10"/>
      <c r="E28" s="51"/>
      <c r="F28" s="10"/>
      <c r="G28" s="10"/>
      <c r="H28" s="52">
        <f>ROUND(H21/312,4)</f>
        <v>2.0000000000000001E-4</v>
      </c>
      <c r="I28" s="23" t="str">
        <f>+'Sch. 2 - BHP'!I28</f>
        <v>$ per kW - day on peak (Ln 9 / 312)</v>
      </c>
      <c r="J28" s="49" t="s">
        <v>120</v>
      </c>
      <c r="K28" s="28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8"/>
      <c r="K29" s="28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3">
        <f>ROUND((H21/8760),5)</f>
        <v>1.0000000000000001E-5</v>
      </c>
      <c r="I30" s="23" t="str">
        <f>+'Sch. 2 - BHP'!I30</f>
        <v>$ per kW - hour off peak (Ln 9 / 8760)</v>
      </c>
      <c r="J30" s="49"/>
      <c r="K30" s="28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3">
        <f>ROUND((H21/4992),5)</f>
        <v>1.0000000000000001E-5</v>
      </c>
      <c r="I31" s="23" t="str">
        <f>+'Sch. 2 - BHP'!I31</f>
        <v>$ per kW - hour on peak (Ln 9 / 4992)</v>
      </c>
      <c r="J31" s="49" t="s">
        <v>35</v>
      </c>
      <c r="K31" s="28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8"/>
      <c r="K32" s="28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8"/>
      <c r="K33" s="28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7"/>
      <c r="K34" s="28"/>
    </row>
  </sheetData>
  <pageMargins left="0.28000000000000003" right="0.33" top="1" bottom="1" header="0.5" footer="0.5"/>
  <pageSetup scale="7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workbookViewId="0">
      <selection activeCell="H10" sqref="H10:H15"/>
    </sheetView>
  </sheetViews>
  <sheetFormatPr defaultRowHeight="15"/>
  <cols>
    <col min="1" max="1" width="5.85546875" style="138" customWidth="1"/>
    <col min="2" max="6" width="9.140625" style="138"/>
    <col min="7" max="7" width="9" style="138" customWidth="1"/>
    <col min="8" max="8" width="11.140625" style="138" bestFit="1" customWidth="1"/>
    <col min="9" max="9" width="36.85546875" style="139" customWidth="1"/>
    <col min="10" max="10" width="12.85546875" style="138" bestFit="1" customWidth="1"/>
    <col min="11" max="11" width="11.85546875" style="138" customWidth="1"/>
    <col min="12" max="12" width="10.140625" style="138" bestFit="1" customWidth="1"/>
    <col min="13" max="16384" width="9.140625" style="138"/>
  </cols>
  <sheetData>
    <row r="1" spans="1:16">
      <c r="A1" s="134" t="s">
        <v>0</v>
      </c>
      <c r="B1" s="135"/>
      <c r="C1" s="135"/>
      <c r="D1" s="135"/>
      <c r="E1" s="135"/>
      <c r="F1" s="135"/>
      <c r="G1" s="135"/>
      <c r="H1" s="136"/>
      <c r="I1" s="137"/>
      <c r="J1" s="135"/>
      <c r="K1" s="135"/>
    </row>
    <row r="2" spans="1:16">
      <c r="A2" s="134" t="s">
        <v>1</v>
      </c>
      <c r="B2" s="135"/>
      <c r="C2" s="135"/>
      <c r="D2" s="135"/>
      <c r="E2" s="135"/>
      <c r="F2" s="135"/>
      <c r="G2" s="135"/>
      <c r="H2" s="136"/>
      <c r="K2" s="140" t="str">
        <f>+'Under-Over Recovery'!J2</f>
        <v>Black Hills Power, Inc.</v>
      </c>
    </row>
    <row r="3" spans="1:16">
      <c r="A3" s="134" t="s">
        <v>2</v>
      </c>
      <c r="B3" s="135"/>
      <c r="C3" s="135"/>
      <c r="D3" s="135"/>
      <c r="E3" s="135"/>
      <c r="F3" s="135"/>
      <c r="G3" s="135"/>
      <c r="H3" s="136"/>
      <c r="I3" s="137"/>
      <c r="J3" s="135"/>
      <c r="K3" s="140" t="str">
        <f>+'Under-Over Recovery'!J3</f>
        <v>May 31, 2024</v>
      </c>
    </row>
    <row r="4" spans="1:16">
      <c r="A4" s="134"/>
      <c r="B4" s="135"/>
      <c r="C4" s="135"/>
      <c r="D4" s="135"/>
      <c r="E4" s="135"/>
      <c r="F4" s="135"/>
      <c r="G4" s="135"/>
      <c r="H4" s="136"/>
      <c r="I4" s="137"/>
      <c r="K4" s="135"/>
      <c r="P4" s="135"/>
    </row>
    <row r="5" spans="1:16">
      <c r="A5" s="141"/>
      <c r="B5" s="141"/>
      <c r="C5" s="141"/>
      <c r="D5" s="141"/>
      <c r="E5" s="141"/>
      <c r="F5" s="141"/>
      <c r="G5" s="141"/>
      <c r="H5" s="141"/>
      <c r="I5" s="142"/>
      <c r="J5" s="141"/>
      <c r="K5" s="141"/>
    </row>
    <row r="6" spans="1:16">
      <c r="A6" s="141"/>
      <c r="B6" s="141"/>
      <c r="C6" s="141"/>
      <c r="D6" s="141"/>
      <c r="E6" s="141"/>
      <c r="F6" s="141"/>
      <c r="G6" s="141"/>
      <c r="H6" s="143"/>
      <c r="I6" s="142"/>
      <c r="J6" s="144"/>
      <c r="K6" s="144"/>
    </row>
    <row r="7" spans="1:16">
      <c r="A7" s="141"/>
      <c r="B7" s="141"/>
      <c r="C7" s="141"/>
      <c r="D7" s="141"/>
      <c r="E7" s="141"/>
      <c r="F7" s="141"/>
      <c r="G7" s="141"/>
      <c r="H7" s="143"/>
      <c r="I7" s="142"/>
      <c r="J7" s="144"/>
      <c r="K7" s="144"/>
    </row>
    <row r="8" spans="1:16">
      <c r="A8" s="145" t="s">
        <v>31</v>
      </c>
      <c r="B8" s="141"/>
      <c r="C8" s="141"/>
      <c r="D8" s="141"/>
      <c r="E8" s="141"/>
      <c r="F8" s="141"/>
      <c r="G8" s="141"/>
      <c r="H8" s="143"/>
      <c r="I8" s="142"/>
      <c r="J8" s="144"/>
      <c r="K8" s="144"/>
    </row>
    <row r="9" spans="1:16">
      <c r="A9" s="146" t="s">
        <v>32</v>
      </c>
      <c r="B9" s="147"/>
      <c r="C9" s="148"/>
      <c r="D9" s="149"/>
      <c r="E9" s="148"/>
      <c r="F9" s="135"/>
      <c r="G9" s="135"/>
      <c r="H9" s="143"/>
      <c r="I9" s="150"/>
      <c r="J9" s="151"/>
      <c r="K9" s="151"/>
    </row>
    <row r="10" spans="1:16">
      <c r="A10" s="152">
        <v>1</v>
      </c>
      <c r="B10" s="147" t="s">
        <v>60</v>
      </c>
      <c r="C10" s="148"/>
      <c r="D10" s="149"/>
      <c r="E10" s="148"/>
      <c r="F10" s="148"/>
      <c r="G10" s="148"/>
      <c r="H10" s="183">
        <f>1660052</f>
        <v>1660052</v>
      </c>
      <c r="I10" s="150" t="s">
        <v>51</v>
      </c>
      <c r="J10" s="151"/>
      <c r="K10" s="151"/>
    </row>
    <row r="11" spans="1:16">
      <c r="A11" s="152">
        <v>2</v>
      </c>
      <c r="B11" s="147" t="s">
        <v>50</v>
      </c>
      <c r="C11" s="148"/>
      <c r="D11" s="149"/>
      <c r="E11" s="148"/>
      <c r="F11" s="148"/>
      <c r="G11" s="148"/>
      <c r="H11" s="183">
        <f>296353</f>
        <v>296353</v>
      </c>
      <c r="I11" s="150" t="s">
        <v>116</v>
      </c>
      <c r="J11" s="151"/>
      <c r="K11" s="151"/>
    </row>
    <row r="12" spans="1:16">
      <c r="A12" s="152">
        <v>3</v>
      </c>
      <c r="B12" s="147" t="s">
        <v>53</v>
      </c>
      <c r="C12" s="148"/>
      <c r="D12" s="149"/>
      <c r="E12" s="148"/>
      <c r="F12" s="148"/>
      <c r="G12" s="148"/>
      <c r="H12" s="183">
        <f>601062</f>
        <v>601062</v>
      </c>
      <c r="I12" s="150" t="s">
        <v>55</v>
      </c>
      <c r="J12" s="151"/>
      <c r="K12" s="151"/>
    </row>
    <row r="13" spans="1:16">
      <c r="A13" s="152">
        <v>4</v>
      </c>
      <c r="B13" s="147" t="s">
        <v>52</v>
      </c>
      <c r="C13" s="148"/>
      <c r="D13" s="149"/>
      <c r="E13" s="148"/>
      <c r="F13" s="148"/>
      <c r="G13" s="148"/>
      <c r="H13" s="183">
        <f>260384</f>
        <v>260384</v>
      </c>
      <c r="I13" s="150" t="s">
        <v>54</v>
      </c>
      <c r="J13" s="151"/>
      <c r="K13" s="151"/>
    </row>
    <row r="14" spans="1:16">
      <c r="A14" s="152">
        <v>5</v>
      </c>
      <c r="B14" s="147" t="s">
        <v>62</v>
      </c>
      <c r="C14" s="148"/>
      <c r="D14" s="149"/>
      <c r="E14" s="148"/>
      <c r="F14" s="148"/>
      <c r="G14" s="148"/>
      <c r="H14" s="183">
        <f>1034689</f>
        <v>1034689</v>
      </c>
      <c r="I14" s="150" t="s">
        <v>106</v>
      </c>
      <c r="J14" s="151"/>
      <c r="K14" s="151"/>
    </row>
    <row r="15" spans="1:16">
      <c r="A15" s="152">
        <v>6</v>
      </c>
      <c r="B15" s="147" t="s">
        <v>63</v>
      </c>
      <c r="C15" s="148"/>
      <c r="D15" s="149"/>
      <c r="E15" s="148"/>
      <c r="F15" s="148"/>
      <c r="G15" s="148"/>
      <c r="H15" s="183">
        <f>66747</f>
        <v>66747</v>
      </c>
      <c r="I15" s="150" t="s">
        <v>106</v>
      </c>
      <c r="J15" s="151"/>
      <c r="K15" s="151"/>
    </row>
    <row r="16" spans="1:16">
      <c r="A16" s="141"/>
      <c r="B16" s="141"/>
      <c r="C16" s="141"/>
      <c r="D16" s="141"/>
      <c r="E16" s="141"/>
      <c r="F16" s="141"/>
      <c r="G16" s="141"/>
      <c r="H16" s="141"/>
      <c r="I16" s="142"/>
      <c r="J16" s="144"/>
      <c r="K16" s="144"/>
    </row>
    <row r="17" spans="1:12" ht="15.75" thickBot="1">
      <c r="A17" s="153">
        <v>7</v>
      </c>
      <c r="B17" s="154" t="s">
        <v>3</v>
      </c>
      <c r="C17" s="154"/>
      <c r="D17" s="154"/>
      <c r="E17" s="154"/>
      <c r="F17" s="154"/>
      <c r="G17" s="154"/>
      <c r="H17" s="155">
        <f>H10+H11+H12+H13+H14+H15</f>
        <v>3919287</v>
      </c>
      <c r="I17" s="137" t="s">
        <v>121</v>
      </c>
      <c r="J17" s="156"/>
      <c r="K17" s="156"/>
    </row>
    <row r="18" spans="1:12">
      <c r="A18" s="153"/>
      <c r="B18" s="135"/>
      <c r="C18" s="135"/>
      <c r="D18" s="135"/>
      <c r="E18" s="135"/>
      <c r="F18" s="135"/>
      <c r="G18" s="135"/>
      <c r="H18" s="136"/>
      <c r="I18" s="137"/>
      <c r="J18" s="151"/>
      <c r="K18" s="151"/>
    </row>
    <row r="19" spans="1:12">
      <c r="A19" s="153">
        <v>8</v>
      </c>
      <c r="B19" s="135" t="str">
        <f>'Sch. 2 - BHP'!B19</f>
        <v>Common Use AC Facility Transmission Load (2023 Actual Load)</v>
      </c>
      <c r="C19" s="135"/>
      <c r="D19" s="135"/>
      <c r="E19" s="135"/>
      <c r="F19" s="135"/>
      <c r="G19" s="135"/>
      <c r="H19" s="157">
        <f>+'CUS AC LOADS'!J24*1000</f>
        <v>966972.16666666651</v>
      </c>
      <c r="I19" s="150" t="s">
        <v>64</v>
      </c>
    </row>
    <row r="20" spans="1:12">
      <c r="A20" s="141"/>
      <c r="B20" s="141"/>
      <c r="C20" s="141"/>
      <c r="D20" s="141"/>
      <c r="E20" s="141"/>
      <c r="F20" s="141"/>
      <c r="G20" s="158"/>
      <c r="H20" s="141"/>
      <c r="I20" s="158"/>
      <c r="J20" s="144"/>
      <c r="K20" s="144"/>
    </row>
    <row r="21" spans="1:12">
      <c r="A21" s="153">
        <v>9</v>
      </c>
      <c r="B21" s="135" t="s">
        <v>5</v>
      </c>
      <c r="C21" s="135"/>
      <c r="D21" s="135"/>
      <c r="E21" s="135"/>
      <c r="F21" s="135"/>
      <c r="G21" s="135"/>
      <c r="H21" s="159">
        <f>ROUND(H17/H19,4)</f>
        <v>4.0532000000000004</v>
      </c>
      <c r="I21" s="137" t="str">
        <f>+'Sch. 2 - BHP'!I21</f>
        <v>$ per kW - Year   (Ln 7/ Ln 8)</v>
      </c>
      <c r="J21" s="160"/>
      <c r="K21" s="144"/>
    </row>
    <row r="22" spans="1:12">
      <c r="A22" s="141"/>
      <c r="B22" s="141"/>
      <c r="C22" s="141"/>
      <c r="D22" s="141"/>
      <c r="E22" s="141"/>
      <c r="F22" s="141"/>
      <c r="G22" s="141"/>
      <c r="H22" s="161"/>
      <c r="I22" s="142"/>
      <c r="J22" s="162"/>
      <c r="K22" s="162"/>
      <c r="L22" s="163"/>
    </row>
    <row r="23" spans="1:12">
      <c r="A23" s="153">
        <v>10</v>
      </c>
      <c r="B23" s="135"/>
      <c r="C23" s="135"/>
      <c r="D23" s="135"/>
      <c r="E23" s="135"/>
      <c r="F23" s="135"/>
      <c r="G23" s="135"/>
      <c r="H23" s="159">
        <f>ROUND(H21/12,4)</f>
        <v>0.33779999999999999</v>
      </c>
      <c r="I23" s="137" t="str">
        <f>+'Sch. 2 - BHP'!I23</f>
        <v>$ per kW - Month (Ln 9 / 12)</v>
      </c>
      <c r="J23" s="160"/>
      <c r="K23" s="162"/>
      <c r="L23" s="163"/>
    </row>
    <row r="24" spans="1:12">
      <c r="A24" s="141"/>
      <c r="B24" s="141"/>
      <c r="C24" s="141"/>
      <c r="D24" s="141"/>
      <c r="E24" s="141"/>
      <c r="F24" s="141"/>
      <c r="G24" s="141"/>
      <c r="H24" s="161"/>
      <c r="I24" s="142"/>
      <c r="J24" s="144"/>
      <c r="K24" s="144"/>
    </row>
    <row r="25" spans="1:12">
      <c r="A25" s="153">
        <v>11</v>
      </c>
      <c r="B25" s="135"/>
      <c r="C25" s="135"/>
      <c r="D25" s="135"/>
      <c r="E25" s="135"/>
      <c r="F25" s="164"/>
      <c r="G25" s="135"/>
      <c r="H25" s="159">
        <f>ROUND(H21/52,4)</f>
        <v>7.7899999999999997E-2</v>
      </c>
      <c r="I25" s="137" t="str">
        <f>+'Sch. 2 - BHP'!I25</f>
        <v>$ per kW - Week (Ln 9 / 52)</v>
      </c>
      <c r="J25" s="160"/>
      <c r="K25" s="144"/>
    </row>
    <row r="26" spans="1:12">
      <c r="A26" s="141"/>
      <c r="B26" s="141"/>
      <c r="C26" s="141"/>
      <c r="D26" s="141"/>
      <c r="E26" s="141"/>
      <c r="F26" s="141"/>
      <c r="G26" s="141"/>
      <c r="H26" s="161"/>
      <c r="I26" s="142"/>
      <c r="J26" s="144"/>
      <c r="K26" s="144"/>
    </row>
    <row r="27" spans="1:12">
      <c r="A27" s="153">
        <v>12</v>
      </c>
      <c r="B27" s="135"/>
      <c r="C27" s="135"/>
      <c r="D27" s="135"/>
      <c r="E27" s="164"/>
      <c r="F27" s="135"/>
      <c r="G27" s="135"/>
      <c r="H27" s="159">
        <f>ROUND(H21/365,4)</f>
        <v>1.11E-2</v>
      </c>
      <c r="I27" s="137" t="str">
        <f>+'Sch. 2 - BHP'!I27</f>
        <v>$ per kW - day off peak (Ln 9 / 365)</v>
      </c>
      <c r="J27" s="160" t="s">
        <v>36</v>
      </c>
      <c r="K27" s="144"/>
    </row>
    <row r="28" spans="1:12">
      <c r="A28" s="153">
        <v>13</v>
      </c>
      <c r="B28" s="135"/>
      <c r="C28" s="135"/>
      <c r="D28" s="135"/>
      <c r="E28" s="164"/>
      <c r="F28" s="135"/>
      <c r="G28" s="135"/>
      <c r="H28" s="159">
        <f>ROUND(H21/312,4)</f>
        <v>1.2999999999999999E-2</v>
      </c>
      <c r="I28" s="137" t="str">
        <f>+'Sch. 2 - BHP'!I28</f>
        <v>$ per kW - day on peak (Ln 9 / 312)</v>
      </c>
      <c r="J28" s="160" t="s">
        <v>120</v>
      </c>
      <c r="K28" s="144"/>
    </row>
    <row r="29" spans="1:12">
      <c r="A29" s="141"/>
      <c r="B29" s="141"/>
      <c r="C29" s="141"/>
      <c r="D29" s="141"/>
      <c r="E29" s="141"/>
      <c r="F29" s="141"/>
      <c r="G29" s="141"/>
      <c r="H29" s="141"/>
      <c r="I29" s="142"/>
      <c r="J29" s="144"/>
      <c r="K29" s="144"/>
    </row>
    <row r="30" spans="1:12">
      <c r="A30" s="153">
        <v>14</v>
      </c>
      <c r="B30" s="135"/>
      <c r="C30" s="135"/>
      <c r="D30" s="135"/>
      <c r="E30" s="135"/>
      <c r="F30" s="135"/>
      <c r="G30" s="135"/>
      <c r="H30" s="165">
        <f>ROUND(H21/8760,5)</f>
        <v>4.6000000000000001E-4</v>
      </c>
      <c r="I30" s="137" t="str">
        <f>+'Sch. 2 - BHP'!I30</f>
        <v>$ per kW - hour off peak (Ln 9 / 8760)</v>
      </c>
      <c r="J30" s="160"/>
      <c r="K30" s="144"/>
    </row>
    <row r="31" spans="1:12">
      <c r="A31" s="153">
        <v>15</v>
      </c>
      <c r="B31" s="135"/>
      <c r="C31" s="135"/>
      <c r="D31" s="135"/>
      <c r="E31" s="135"/>
      <c r="F31" s="135"/>
      <c r="G31" s="135"/>
      <c r="H31" s="165">
        <f>ROUND((H21/4992),5)</f>
        <v>8.0999999999999996E-4</v>
      </c>
      <c r="I31" s="137" t="str">
        <f>+'Sch. 2 - BHP'!I31</f>
        <v>$ per kW - hour on peak (Ln 9 / 4992)</v>
      </c>
      <c r="J31" s="160" t="s">
        <v>35</v>
      </c>
      <c r="K31" s="144"/>
    </row>
    <row r="32" spans="1:12">
      <c r="A32" s="141"/>
      <c r="B32" s="141"/>
      <c r="C32" s="141"/>
      <c r="D32" s="141"/>
      <c r="E32" s="141"/>
      <c r="F32" s="141"/>
      <c r="G32" s="141"/>
      <c r="H32" s="141"/>
      <c r="I32" s="142"/>
      <c r="J32" s="144"/>
      <c r="K32" s="144"/>
    </row>
    <row r="33" spans="1:11">
      <c r="A33" s="141"/>
      <c r="B33" s="141"/>
      <c r="C33" s="141"/>
      <c r="D33" s="141"/>
      <c r="E33" s="141"/>
      <c r="F33" s="141"/>
      <c r="G33" s="141"/>
      <c r="H33" s="141"/>
      <c r="I33" s="142"/>
      <c r="J33" s="144"/>
      <c r="K33" s="144"/>
    </row>
    <row r="34" spans="1:11">
      <c r="A34" s="141"/>
      <c r="B34" s="141"/>
      <c r="C34" s="141"/>
      <c r="D34" s="141"/>
      <c r="E34" s="141"/>
      <c r="F34" s="141"/>
      <c r="G34" s="141"/>
      <c r="I34" s="142"/>
      <c r="J34" s="166"/>
      <c r="K34" s="144"/>
    </row>
  </sheetData>
  <phoneticPr fontId="2" type="noConversion"/>
  <pageMargins left="0.28000000000000003" right="0.33" top="1" bottom="1" header="0.5" footer="0.5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Under-Over Recovery</vt:lpstr>
      <vt:lpstr>Rate - Summary</vt:lpstr>
      <vt:lpstr>Sch. 2 - BHP</vt:lpstr>
      <vt:lpstr>Sch. 2 - Gillette</vt:lpstr>
      <vt:lpstr>Sch. 2 - CLFP</vt:lpstr>
      <vt:lpstr>Sch. 2 - BHW</vt:lpstr>
      <vt:lpstr>Sch. 2 - Basin</vt:lpstr>
      <vt:lpstr>Sch. 2 - WMPA</vt:lpstr>
      <vt:lpstr>Sch. 2 - Total</vt:lpstr>
      <vt:lpstr>CUS AC LOADS</vt:lpstr>
      <vt:lpstr>'CUS AC LOADS'!Print_Area</vt:lpstr>
      <vt:lpstr>'Rate - Summary'!Print_Area</vt:lpstr>
      <vt:lpstr>'Sch. 2 - Basin'!Print_Area</vt:lpstr>
      <vt:lpstr>'Sch. 2 - BHP'!Print_Area</vt:lpstr>
      <vt:lpstr>'Sch. 2 - BHW'!Print_Area</vt:lpstr>
      <vt:lpstr>'Sch. 2 - CLFP'!Print_Area</vt:lpstr>
      <vt:lpstr>'Sch. 2 - Gillette'!Print_Area</vt:lpstr>
      <vt:lpstr>'Sch. 2 - Total'!Print_Area</vt:lpstr>
      <vt:lpstr>'Sch. 2 - WMPA'!Print_Area</vt:lpstr>
      <vt:lpstr>'Under-Over Recovery'!Print_Area</vt:lpstr>
    </vt:vector>
  </TitlesOfParts>
  <Company>Black Hills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swilliam</dc:creator>
  <cp:lastModifiedBy>Mack, Lori</cp:lastModifiedBy>
  <cp:lastPrinted>2016-05-31T14:43:19Z</cp:lastPrinted>
  <dcterms:created xsi:type="dcterms:W3CDTF">2008-12-08T23:28:21Z</dcterms:created>
  <dcterms:modified xsi:type="dcterms:W3CDTF">2024-05-31T16:44:35Z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