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4\Workpapers to Provide in Filing\"/>
    </mc:Choice>
  </mc:AlternateContent>
  <xr:revisionPtr revIDLastSave="0" documentId="8_{79AC91DA-D260-4F1B-A1DF-37DC9855D10D}" xr6:coauthVersionLast="47" xr6:coauthVersionMax="47" xr10:uidLastSave="{00000000-0000-0000-0000-000000000000}"/>
  <bookViews>
    <workbookView xWindow="-28920" yWindow="-14430" windowWidth="29040" windowHeight="15720" xr2:uid="{540E62C9-9503-4885-96B8-602F11607619}"/>
  </bookViews>
  <sheets>
    <sheet name="Cost of Long Term Debt" sheetId="1" r:id="rId1"/>
  </sheets>
  <externalReferences>
    <externalReference r:id="rId2"/>
  </externalReference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" hidden="1">#REF!</definedName>
    <definedName name="__123Graph_CBAR" hidden="1">#REF!</definedName>
    <definedName name="__123Graph_D" hidden="1">#REF!</definedName>
    <definedName name="__123Graph_DBAR" hidden="1">#REF!</definedName>
    <definedName name="__123Graph_E" hidden="1">#REF!</definedName>
    <definedName name="__123Graph_EBAR" hidden="1">#REF!</definedName>
    <definedName name="__123Graph_F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1234" hidden="1">#REF!</definedName>
    <definedName name="_123Grah_b1" hidden="1">#REF!</definedName>
    <definedName name="_142XX_" hidden="1">#REF!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ME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BC" hidden="1">#REF!</definedName>
    <definedName name="adam" hidden="1">#REF!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lignment" hidden="1">"a1"</definedName>
    <definedName name="AS2DocOpenMode" hidden="1">"AS2DocumentEdit"</definedName>
    <definedName name="ClientMatter" hidden="1">"b1"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dsfa" hidden="1">#REF!</definedName>
    <definedName name="dsfa." hidden="1">#REF!</definedName>
    <definedName name="FEB00" hidden="1">{#N/A,#N/A,FALSE,"ARREC"}</definedName>
    <definedName name="Library" hidden="1">"a1"</definedName>
    <definedName name="MAY" hidden="1">{#N/A,#N/A,FALSE,"EMPPAY"}</definedName>
    <definedName name="ME" hidden="1">#REF!</definedName>
    <definedName name="ME." hidden="1">#REF!</definedName>
    <definedName name="New" hidden="1">#REF!</definedName>
    <definedName name="SAPBEXhrIndnt" hidden="1">"Wide"</definedName>
    <definedName name="SAPsysID" hidden="1">"708C5W7SBKP804JT78WJ0JNKI"</definedName>
    <definedName name="SAPwbID" hidden="1">"ARS"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stc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extRefCopyRangeCount" hidden="1">1</definedName>
    <definedName name="Time" hidden="1">"b1"</definedName>
    <definedName name="ttqtrqtggdsata" hidden="1">{"LCIIRECON",#N/A,FALSE,"LCII";"LCISRECON",#N/A,FALSE,"LCIS";"LCIMRECON",#N/A,FALSE,"LCIM";"LCITRECON",#N/A,FALSE,"LCIT";"CONSM1",#N/A,FALSE,"94FED"}</definedName>
    <definedName name="tttt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INPUTS." hidden="1">{#N/A,#N/A,TRUE,"DATA INPUTS"}</definedName>
    <definedName name="wrn.EMPPAY." hidden="1">{#N/A,#N/A,FALSE,"EMPPAY"}</definedName>
    <definedName name="wrn.Group.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group1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TAXABLE._.INCOME." hidden="1">{"LCIIRECON",#N/A,FALSE,"LCII";"LCISRECON",#N/A,FALSE,"LCIS";"LCIMRECON",#N/A,FALSE,"LCIM";"LCITRECON",#N/A,FALSE,"LCIT";"CONSM1",#N/A,FALSE,"94FED"}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K." hidden="1">{#N/A,#N/A,TRUE,"UK Profit and Loss";#N/A,#N/A,TRUE,"UK Balance Sheet";#N/A,#N/A,TRUE,"UK Sales";#N/A,#N/A,TRUE,"UK  Overheads";#N/A,#N/A,TRUE,"UK - CHANNEL SALES";#N/A,#N/A,TRUE,"UK - TOP 15";#N/A,#N/A,TRUE,"UK - DEBTORS";#N/A,#N/A,TRUE,"UK - KEY STATS";#N/A,#N/A,TRUE,"UK - CAPEX";#N/A,#N/A,TRUE,"UK - CASHFLOW"}</definedName>
    <definedName name="wrn.USA." hidden="1">{#N/A,#N/A,TRUE,"USA Profit and Loss";#N/A,#N/A,TRUE,"USA Balance Sheet";#N/A,#N/A,TRUE,"USA Sales ";#N/A,#N/A,TRUE,"USA  Overheads";#N/A,#N/A,TRUE,"USA - CHANNEL SALES";#N/A,#N/A,TRUE,"USA - TOP 15";#N/A,#N/A,TRUE,"USA - KEY STATS";#N/A,#N/A,TRUE,"USA - DEBTORS";#N/A,#N/A,TRUE,"USA - CAPEX";#N/A,#N/A,TRUE,"USA - CASHFLOW"}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E71" i="1"/>
  <c r="M70" i="1"/>
  <c r="I70" i="1"/>
  <c r="L70" i="1" s="1"/>
  <c r="G70" i="1"/>
  <c r="M69" i="1"/>
  <c r="N69" i="1" s="1"/>
  <c r="I69" i="1"/>
  <c r="L69" i="1" s="1"/>
  <c r="G69" i="1"/>
  <c r="M68" i="1"/>
  <c r="I68" i="1"/>
  <c r="L68" i="1" s="1"/>
  <c r="G68" i="1"/>
  <c r="E65" i="1"/>
  <c r="M64" i="1"/>
  <c r="I64" i="1"/>
  <c r="L64" i="1" s="1"/>
  <c r="H64" i="1"/>
  <c r="G64" i="1"/>
  <c r="N63" i="1"/>
  <c r="M63" i="1"/>
  <c r="L63" i="1"/>
  <c r="G63" i="1"/>
  <c r="M62" i="1"/>
  <c r="I62" i="1"/>
  <c r="L62" i="1" s="1"/>
  <c r="H62" i="1"/>
  <c r="G62" i="1"/>
  <c r="G65" i="1" s="1"/>
  <c r="E58" i="1"/>
  <c r="I56" i="1"/>
  <c r="L56" i="1" s="1"/>
  <c r="N56" i="1" s="1"/>
  <c r="G56" i="1"/>
  <c r="I55" i="1"/>
  <c r="L55" i="1" s="1"/>
  <c r="N55" i="1" s="1"/>
  <c r="G55" i="1"/>
  <c r="L54" i="1"/>
  <c r="N54" i="1" s="1"/>
  <c r="I54" i="1"/>
  <c r="G54" i="1"/>
  <c r="I53" i="1"/>
  <c r="L53" i="1" s="1"/>
  <c r="N53" i="1" s="1"/>
  <c r="G53" i="1"/>
  <c r="L52" i="1"/>
  <c r="N52" i="1" s="1"/>
  <c r="I52" i="1"/>
  <c r="G52" i="1"/>
  <c r="I51" i="1"/>
  <c r="L51" i="1" s="1"/>
  <c r="N51" i="1" s="1"/>
  <c r="G51" i="1"/>
  <c r="I50" i="1"/>
  <c r="L50" i="1" s="1"/>
  <c r="N50" i="1" s="1"/>
  <c r="G50" i="1"/>
  <c r="M49" i="1"/>
  <c r="M58" i="1" s="1"/>
  <c r="L49" i="1"/>
  <c r="I49" i="1"/>
  <c r="G49" i="1"/>
  <c r="I48" i="1"/>
  <c r="L48" i="1" s="1"/>
  <c r="N48" i="1" s="1"/>
  <c r="G48" i="1"/>
  <c r="E34" i="1"/>
  <c r="M33" i="1"/>
  <c r="I33" i="1"/>
  <c r="L33" i="1" s="1"/>
  <c r="N33" i="1" s="1"/>
  <c r="G33" i="1"/>
  <c r="M32" i="1"/>
  <c r="I32" i="1"/>
  <c r="L32" i="1" s="1"/>
  <c r="N32" i="1" s="1"/>
  <c r="G32" i="1"/>
  <c r="M31" i="1"/>
  <c r="M34" i="1" s="1"/>
  <c r="I31" i="1"/>
  <c r="L31" i="1" s="1"/>
  <c r="N31" i="1" s="1"/>
  <c r="G31" i="1"/>
  <c r="G34" i="1" s="1"/>
  <c r="E28" i="1"/>
  <c r="M27" i="1"/>
  <c r="H27" i="1"/>
  <c r="I27" i="1" s="1"/>
  <c r="L27" i="1" s="1"/>
  <c r="G27" i="1"/>
  <c r="M26" i="1"/>
  <c r="N26" i="1" s="1"/>
  <c r="L26" i="1"/>
  <c r="G26" i="1"/>
  <c r="M25" i="1"/>
  <c r="H25" i="1"/>
  <c r="I25" i="1" s="1"/>
  <c r="L25" i="1" s="1"/>
  <c r="G25" i="1"/>
  <c r="G28" i="1" s="1"/>
  <c r="T21" i="1"/>
  <c r="E21" i="1"/>
  <c r="T20" i="1"/>
  <c r="T19" i="1"/>
  <c r="L19" i="1"/>
  <c r="N19" i="1" s="1"/>
  <c r="I19" i="1"/>
  <c r="G19" i="1"/>
  <c r="T18" i="1"/>
  <c r="I18" i="1"/>
  <c r="L18" i="1" s="1"/>
  <c r="N18" i="1" s="1"/>
  <c r="G18" i="1"/>
  <c r="T17" i="1"/>
  <c r="I17" i="1"/>
  <c r="L17" i="1" s="1"/>
  <c r="N17" i="1" s="1"/>
  <c r="G17" i="1"/>
  <c r="T16" i="1"/>
  <c r="L16" i="1"/>
  <c r="N16" i="1" s="1"/>
  <c r="I16" i="1"/>
  <c r="G16" i="1"/>
  <c r="T15" i="1"/>
  <c r="Q15" i="1"/>
  <c r="I15" i="1"/>
  <c r="L15" i="1" s="1"/>
  <c r="N15" i="1" s="1"/>
  <c r="G15" i="1"/>
  <c r="T14" i="1"/>
  <c r="I14" i="1"/>
  <c r="L14" i="1" s="1"/>
  <c r="N14" i="1" s="1"/>
  <c r="G14" i="1"/>
  <c r="T13" i="1"/>
  <c r="I13" i="1"/>
  <c r="L13" i="1" s="1"/>
  <c r="N13" i="1" s="1"/>
  <c r="G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7" i="1" s="1"/>
  <c r="A48" i="1" s="1"/>
  <c r="A50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T12" i="1"/>
  <c r="M12" i="1"/>
  <c r="M21" i="1" s="1"/>
  <c r="I12" i="1"/>
  <c r="L12" i="1" s="1"/>
  <c r="G12" i="1"/>
  <c r="A12" i="1"/>
  <c r="T11" i="1"/>
  <c r="I11" i="1"/>
  <c r="L11" i="1" s="1"/>
  <c r="N11" i="1" s="1"/>
  <c r="G11" i="1"/>
  <c r="A11" i="1"/>
  <c r="T10" i="1"/>
  <c r="T24" i="1" s="1"/>
  <c r="N21" i="1" l="1"/>
  <c r="R10" i="1"/>
  <c r="R21" i="1"/>
  <c r="R17" i="1"/>
  <c r="R19" i="1"/>
  <c r="R11" i="1"/>
  <c r="S11" i="1" s="1"/>
  <c r="U11" i="1" s="1"/>
  <c r="R13" i="1"/>
  <c r="R14" i="1"/>
  <c r="S14" i="1" s="1"/>
  <c r="U14" i="1" s="1"/>
  <c r="R20" i="1"/>
  <c r="R16" i="1"/>
  <c r="R18" i="1"/>
  <c r="S18" i="1" s="1"/>
  <c r="U18" i="1" s="1"/>
  <c r="N62" i="1"/>
  <c r="N68" i="1"/>
  <c r="N34" i="1"/>
  <c r="L34" i="1" s="1"/>
  <c r="N27" i="1"/>
  <c r="N25" i="1"/>
  <c r="N28" i="1" s="1"/>
  <c r="L28" i="1" s="1"/>
  <c r="N70" i="1"/>
  <c r="M37" i="1"/>
  <c r="N64" i="1"/>
  <c r="Q13" i="1"/>
  <c r="Q19" i="1"/>
  <c r="Q11" i="1"/>
  <c r="Q14" i="1"/>
  <c r="N12" i="1"/>
  <c r="M28" i="1"/>
  <c r="Q12" i="1"/>
  <c r="Q18" i="1"/>
  <c r="Q17" i="1"/>
  <c r="Q21" i="1"/>
  <c r="M65" i="1"/>
  <c r="M74" i="1" s="1"/>
  <c r="Q10" i="1"/>
  <c r="Q16" i="1"/>
  <c r="Q20" i="1"/>
  <c r="M71" i="1"/>
  <c r="N49" i="1"/>
  <c r="N58" i="1" s="1"/>
  <c r="L58" i="1" l="1"/>
  <c r="S13" i="1"/>
  <c r="U13" i="1" s="1"/>
  <c r="S19" i="1"/>
  <c r="U19" i="1" s="1"/>
  <c r="L21" i="1"/>
  <c r="N37" i="1"/>
  <c r="L37" i="1" s="1"/>
  <c r="S16" i="1"/>
  <c r="U16" i="1" s="1"/>
  <c r="S20" i="1"/>
  <c r="U20" i="1" s="1"/>
  <c r="S17" i="1"/>
  <c r="U17" i="1" s="1"/>
  <c r="S21" i="1"/>
  <c r="U21" i="1" s="1"/>
  <c r="N71" i="1"/>
  <c r="L71" i="1" s="1"/>
  <c r="S10" i="1"/>
  <c r="U10" i="1" s="1"/>
  <c r="U24" i="1" s="1"/>
  <c r="N65" i="1"/>
  <c r="L65" i="1" s="1"/>
  <c r="R15" i="1"/>
  <c r="S15" i="1" s="1"/>
  <c r="U15" i="1" s="1"/>
  <c r="R12" i="1"/>
  <c r="S12" i="1" s="1"/>
  <c r="U12" i="1" s="1"/>
  <c r="N74" i="1" l="1"/>
  <c r="L74" i="1" s="1"/>
</calcChain>
</file>

<file path=xl/sharedStrings.xml><?xml version="1.0" encoding="utf-8"?>
<sst xmlns="http://schemas.openxmlformats.org/spreadsheetml/2006/main" count="128" uniqueCount="65">
  <si>
    <t>Black Hills Corporation (Consolidated)</t>
  </si>
  <si>
    <t>BHCOE Docket No. ER22-2185-000</t>
  </si>
  <si>
    <t>Cost of Debt for Black Hills Corporation</t>
  </si>
  <si>
    <t>Year-Ended December 31, 2022</t>
  </si>
  <si>
    <t>As of December 31, 2021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</si>
  <si>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</si>
  <si>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</si>
  <si>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</si>
  <si>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</si>
  <si>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</si>
  <si>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</si>
  <si>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</si>
  <si>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</si>
  <si>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</si>
  <si>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</si>
  <si>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</si>
  <si>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</si>
  <si>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</si>
  <si>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WACOD for the year-ended December 31, 2022</t>
  </si>
  <si>
    <t>= (d) x (e )</t>
  </si>
  <si>
    <t>= (h)+ (i)+(j)</t>
  </si>
  <si>
    <t>= (k) x (l)</t>
  </si>
  <si>
    <t>Line No.</t>
  </si>
  <si>
    <t>Title</t>
  </si>
  <si>
    <t>Issue</t>
  </si>
  <si>
    <t>Maturity</t>
  </si>
  <si>
    <t>Amount Issued</t>
  </si>
  <si>
    <t>Price Per Unit</t>
  </si>
  <si>
    <t xml:space="preserve">Net Proceeds Amount </t>
  </si>
  <si>
    <t>Coupon/Interest Rate</t>
  </si>
  <si>
    <t>Yield to Maturity</t>
  </si>
  <si>
    <t>Financing Costs</t>
  </si>
  <si>
    <t>(Gain)/Loss on Reacquired Debt</t>
  </si>
  <si>
    <t>Cost of Money</t>
  </si>
  <si>
    <t>Amount Outstanding</t>
  </si>
  <si>
    <t>Annual Cost</t>
  </si>
  <si>
    <t>Principal</t>
  </si>
  <si>
    <t>Rate</t>
  </si>
  <si>
    <t>Days in Month</t>
  </si>
  <si>
    <t>Avg Monthly Rate</t>
  </si>
  <si>
    <t>BHC $525M Notes Due 2023</t>
  </si>
  <si>
    <t>BHC $600M Notes due 2024</t>
  </si>
  <si>
    <t>BHC $300M Notes Due 2026</t>
  </si>
  <si>
    <t>BHC $400M Notes Due 2027</t>
  </si>
  <si>
    <t>BHC $400M Notes Due 2029</t>
  </si>
  <si>
    <t>BHC $400M Notes Due 2030</t>
  </si>
  <si>
    <t>BHC $400M Notes Dues 2033</t>
  </si>
  <si>
    <t>BHC $300M Notes Due 2046</t>
  </si>
  <si>
    <t>BHC $300M Notes Due 2049</t>
  </si>
  <si>
    <t>BHC Notes</t>
  </si>
  <si>
    <t>Annual Average Cost of LTD Rate</t>
  </si>
  <si>
    <t xml:space="preserve">Series 2007 CLFP $110M Notes due 2037 </t>
  </si>
  <si>
    <t>Series 2009A CLFP $10M Notes due 2027</t>
  </si>
  <si>
    <t>Notes:</t>
  </si>
  <si>
    <t xml:space="preserve">Series 2014 CLFP $75M Notes due 2044 </t>
  </si>
  <si>
    <t>Per Settlement Agreement Cost of Debt Rate excludes First Mortgage Bonds not secured by the assets of BHCOE</t>
  </si>
  <si>
    <t>CLFP First Mortgage Notes</t>
  </si>
  <si>
    <t>First Mortgage Bonds due 2044</t>
  </si>
  <si>
    <t>n/a</t>
  </si>
  <si>
    <t xml:space="preserve">First Mortgage Bonds due 2032 </t>
  </si>
  <si>
    <t>First Mortgage Bonds due 2039</t>
  </si>
  <si>
    <t>BHP First Mortgage Notes</t>
  </si>
  <si>
    <t xml:space="preserve">BHC Consolidated Weighted Average Cost of Debt </t>
  </si>
  <si>
    <t>Agrees to Financing Footnote (8) of BKH Form 10K Total Long-Term Debt Less Unamortized debt discount(s).</t>
  </si>
  <si>
    <t>As of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</si>
</sst>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15" fontId="3" fillId="0" borderId="0" xfId="0" quotePrefix="1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5" fontId="8" fillId="0" borderId="0" xfId="0" applyNumberFormat="1" applyFont="1" applyAlignment="1">
      <alignment horizontal="left"/>
    </xf>
    <xf numFmtId="164" fontId="0" fillId="0" borderId="0" xfId="0" applyNumberFormat="1"/>
    <xf numFmtId="10" fontId="0" fillId="0" borderId="0" xfId="2" applyNumberFormat="1" applyFont="1" applyFill="1"/>
    <xf numFmtId="164" fontId="0" fillId="0" borderId="0" xfId="1" applyNumberFormat="1" applyFont="1" applyFill="1"/>
    <xf numFmtId="10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164" fontId="4" fillId="0" borderId="0" xfId="3" applyNumberFormat="1" applyFont="1" applyFill="1" applyAlignment="1">
      <alignment horizontal="left"/>
    </xf>
    <xf numFmtId="165" fontId="4" fillId="0" borderId="0" xfId="3" applyNumberFormat="1" applyFont="1" applyFill="1" applyAlignment="1" applyProtection="1">
      <alignment horizontal="center"/>
    </xf>
    <xf numFmtId="37" fontId="4" fillId="0" borderId="0" xfId="3" applyNumberFormat="1" applyFont="1" applyFill="1" applyAlignment="1" applyProtection="1">
      <alignment horizontal="center"/>
    </xf>
    <xf numFmtId="10" fontId="4" fillId="0" borderId="0" xfId="4" applyNumberFormat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3" applyNumberFormat="1" applyFont="1" applyFill="1"/>
    <xf numFmtId="0" fontId="8" fillId="0" borderId="0" xfId="0" applyFont="1" applyAlignment="1">
      <alignment horizontal="left"/>
    </xf>
    <xf numFmtId="164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/>
    <xf numFmtId="164" fontId="4" fillId="0" borderId="0" xfId="3" applyNumberFormat="1" applyFont="1" applyFill="1" applyBorder="1" applyAlignment="1">
      <alignment horizontal="center"/>
    </xf>
    <xf numFmtId="165" fontId="4" fillId="0" borderId="0" xfId="3" applyNumberFormat="1" applyFont="1" applyFill="1" applyBorder="1" applyAlignment="1" applyProtection="1">
      <alignment horizontal="center"/>
    </xf>
    <xf numFmtId="37" fontId="4" fillId="0" borderId="0" xfId="3" applyNumberFormat="1" applyFont="1" applyFill="1" applyBorder="1" applyAlignment="1" applyProtection="1">
      <alignment horizontal="center"/>
    </xf>
    <xf numFmtId="10" fontId="4" fillId="0" borderId="0" xfId="4" applyNumberFormat="1" applyFont="1" applyFill="1" applyBorder="1" applyAlignment="1">
      <alignment horizontal="center"/>
    </xf>
    <xf numFmtId="166" fontId="4" fillId="0" borderId="0" xfId="4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4" fontId="4" fillId="0" borderId="1" xfId="3" applyNumberFormat="1" applyFont="1" applyFill="1" applyBorder="1" applyAlignment="1">
      <alignment horizontal="center"/>
    </xf>
    <xf numFmtId="164" fontId="4" fillId="0" borderId="1" xfId="3" applyNumberFormat="1" applyFont="1" applyFill="1" applyBorder="1"/>
    <xf numFmtId="0" fontId="4" fillId="0" borderId="1" xfId="0" applyFont="1" applyBorder="1" applyAlignment="1">
      <alignment horizontal="right"/>
    </xf>
    <xf numFmtId="164" fontId="4" fillId="0" borderId="2" xfId="5" applyNumberFormat="1" applyFont="1" applyFill="1" applyBorder="1" applyAlignment="1">
      <alignment horizontal="center"/>
    </xf>
    <xf numFmtId="165" fontId="4" fillId="0" borderId="0" xfId="5" applyNumberFormat="1" applyFont="1" applyFill="1" applyAlignment="1" applyProtection="1">
      <alignment horizontal="center"/>
    </xf>
    <xf numFmtId="37" fontId="4" fillId="0" borderId="0" xfId="5" applyNumberFormat="1" applyFont="1" applyFill="1" applyAlignment="1" applyProtection="1">
      <alignment horizontal="center"/>
    </xf>
    <xf numFmtId="10" fontId="4" fillId="0" borderId="2" xfId="2" applyNumberFormat="1" applyFont="1" applyFill="1" applyBorder="1" applyAlignment="1">
      <alignment horizontal="center"/>
    </xf>
    <xf numFmtId="37" fontId="4" fillId="0" borderId="3" xfId="6" applyNumberFormat="1" applyFont="1" applyFill="1" applyBorder="1"/>
    <xf numFmtId="0" fontId="4" fillId="0" borderId="4" xfId="0" applyFont="1" applyBorder="1"/>
    <xf numFmtId="0" fontId="4" fillId="0" borderId="5" xfId="0" applyFont="1" applyBorder="1"/>
    <xf numFmtId="0" fontId="8" fillId="0" borderId="0" xfId="0" applyFont="1"/>
    <xf numFmtId="164" fontId="8" fillId="0" borderId="0" xfId="0" applyNumberFormat="1" applyFont="1"/>
    <xf numFmtId="10" fontId="8" fillId="0" borderId="6" xfId="0" applyNumberFormat="1" applyFont="1" applyBorder="1"/>
    <xf numFmtId="0" fontId="8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right"/>
    </xf>
    <xf numFmtId="164" fontId="4" fillId="2" borderId="0" xfId="3" applyNumberFormat="1" applyFont="1" applyFill="1" applyAlignment="1">
      <alignment horizontal="center"/>
    </xf>
    <xf numFmtId="165" fontId="4" fillId="2" borderId="0" xfId="3" applyNumberFormat="1" applyFont="1" applyFill="1" applyAlignment="1" applyProtection="1">
      <alignment horizontal="center"/>
    </xf>
    <xf numFmtId="164" fontId="4" fillId="2" borderId="0" xfId="3" applyNumberFormat="1" applyFont="1" applyFill="1" applyBorder="1" applyAlignment="1">
      <alignment horizontal="center"/>
    </xf>
    <xf numFmtId="10" fontId="4" fillId="2" borderId="0" xfId="4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10" fontId="4" fillId="2" borderId="0" xfId="0" applyNumberFormat="1" applyFont="1" applyFill="1"/>
    <xf numFmtId="164" fontId="4" fillId="2" borderId="0" xfId="3" applyNumberFormat="1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164" fontId="4" fillId="2" borderId="1" xfId="3" applyNumberFormat="1" applyFont="1" applyFill="1" applyBorder="1" applyAlignment="1">
      <alignment horizontal="center"/>
    </xf>
    <xf numFmtId="165" fontId="4" fillId="2" borderId="1" xfId="3" applyNumberFormat="1" applyFont="1" applyFill="1" applyBorder="1" applyAlignment="1" applyProtection="1">
      <alignment horizontal="center"/>
    </xf>
    <xf numFmtId="10" fontId="4" fillId="2" borderId="1" xfId="4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/>
    <xf numFmtId="164" fontId="4" fillId="2" borderId="1" xfId="3" applyNumberFormat="1" applyFont="1" applyFill="1" applyBorder="1"/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right"/>
    </xf>
    <xf numFmtId="10" fontId="8" fillId="2" borderId="2" xfId="1" applyNumberFormat="1" applyFont="1" applyFill="1" applyBorder="1" applyAlignment="1">
      <alignment horizontal="center"/>
    </xf>
    <xf numFmtId="164" fontId="4" fillId="2" borderId="2" xfId="3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4" xfId="0" applyFont="1" applyFill="1" applyBorder="1"/>
    <xf numFmtId="0" fontId="8" fillId="2" borderId="0" xfId="0" applyFont="1" applyFill="1"/>
    <xf numFmtId="164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 applyProtection="1">
      <alignment horizontal="center"/>
    </xf>
    <xf numFmtId="10" fontId="4" fillId="2" borderId="0" xfId="2" applyNumberFormat="1" applyFont="1" applyFill="1" applyAlignment="1">
      <alignment horizontal="center"/>
    </xf>
    <xf numFmtId="164" fontId="4" fillId="2" borderId="0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4" fillId="2" borderId="0" xfId="0" applyFont="1" applyFill="1"/>
    <xf numFmtId="0" fontId="11" fillId="0" borderId="0" xfId="0" applyFont="1"/>
  </cellXfs>
  <cellStyles count="7">
    <cellStyle name="Comma" xfId="1" builtinId="3"/>
    <cellStyle name="Comma 2 2" xfId="3" xr:uid="{C7044BF7-233B-43E8-983F-C138DDCEE985}"/>
    <cellStyle name="Comma 2 2 2" xfId="5" xr:uid="{0EAD12A6-7B30-409E-9B47-3DB3B1AE9F1E}"/>
    <cellStyle name="Currency 2" xfId="6" xr:uid="{401556DD-6E14-4F9F-A0CE-3B04566C149E}"/>
    <cellStyle name="Normal" xfId="0" builtinId="0"/>
    <cellStyle name="Percent" xfId="2" builtinId="5"/>
    <cellStyle name="Percent 2" xfId="4" xr:uid="{AD14A76D-33A4-4565-BAC7-9C97C5347139}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en.blackhillscorp.com/sites/Regulatory/ferc/coe/Team%20Folder%202022%20COE%20FERC%20Formula%20Rate%20Filing/Settlement/2023-09-06%20to%2008%20FINAL%20Settlement%20Package%20Filing%20Documents/Workpapers/2022%20BHCE%20Attach%20H%20Supplemental%20Workpapers_Settlement%20Example%2009072023.xlsx" TargetMode="External"/><Relationship Id="rId2" Type="http://schemas.microsoft.com/office/2019/04/relationships/externalLinkLongPath" Target="https://ben.blackhillscorp.com/sites/Regulatory/ferc/coe/Team%20Folder%202022%20COE%20FERC%20Formula%20Rate%20Filing/Settlement/2023-09-06%20to%2008%20FINAL%20Settlement%20Package%20Filing%20Documents/Workpapers/2022%20BHCE%20Attach%20H%20Supplemental%20Workpapers_Settlement%20Example%2009072023.xlsx?CA0DEF31" TargetMode="External"/><Relationship Id="rId1" Type="http://schemas.openxmlformats.org/officeDocument/2006/relationships/externalLinkPath" Target="file:///\\CA0DEF31\2022%20BHCE%20Attach%20H%20Supplemental%20Workpapers_Settlement%20Example%200907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st of Service Ref Changes"/>
      <sheetName val="A-4 Rate Base to FF1"/>
      <sheetName val="Cost of Long Term Debt"/>
      <sheetName val="Income Tax"/>
      <sheetName val="Wholesale Excluded Plant"/>
      <sheetName val="GSU Excluded Plant"/>
      <sheetName val="COE Excluded Plant"/>
      <sheetName val="A.2 Safety Advertising"/>
      <sheetName val="Safety Advertising Data"/>
      <sheetName val="A. 2 Penalties"/>
      <sheetName val="Penalties Data"/>
      <sheetName val="A.2 Lobbying"/>
      <sheetName val="A.2 PBOP"/>
      <sheetName val="PBOP OPEB ASC 715 - Excel"/>
      <sheetName val="PBOP 50507 Pivot"/>
      <sheetName val="A4- RB-BS - Jan - Dec 2021"/>
      <sheetName val="A4-RB- BS - Jan - Dec 2022"/>
      <sheetName val="A6-Divisor"/>
      <sheetName val="A8-Prepmts"/>
      <sheetName val="A8 - 165002 Detail"/>
      <sheetName val="A8 - 165004 Detail"/>
      <sheetName val="A8 - 165012 Detail"/>
      <sheetName val="A8 - 165020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2BC9-6B3B-48F1-BBA8-32FD07C05440}">
  <dimension ref="A1:U78"/>
  <sheetViews>
    <sheetView tabSelected="1" zoomScale="80" zoomScaleNormal="80" workbookViewId="0">
      <selection activeCell="D11" sqref="D11"/>
    </sheetView>
  </sheetViews>
  <sheetFormatPr defaultRowHeight="14.4" x14ac:dyDescent="0.3"/>
  <cols>
    <col min="1" max="1" width="8.5546875" customWidth="1"/>
    <col min="2" max="2" width="42.33203125" customWidth="1"/>
    <col min="3" max="4" width="11.33203125" bestFit="1" customWidth="1"/>
    <col min="5" max="5" width="15.44140625" bestFit="1" customWidth="1"/>
    <col min="6" max="6" width="10.109375" bestFit="1" customWidth="1"/>
    <col min="7" max="7" width="14" bestFit="1" customWidth="1"/>
    <col min="8" max="8" width="19.44140625" customWidth="1"/>
    <col min="9" max="9" width="12.5546875" customWidth="1"/>
    <col min="10" max="10" width="13.109375" customWidth="1"/>
    <col min="11" max="11" width="19.5546875" customWidth="1"/>
    <col min="12" max="12" width="12.88671875" bestFit="1" customWidth="1"/>
    <col min="13" max="13" width="15.44140625" bestFit="1" customWidth="1"/>
    <col min="14" max="14" width="13.44140625" bestFit="1" customWidth="1"/>
    <col min="15" max="15" width="2.88671875" customWidth="1"/>
    <col min="16" max="16" width="14.6640625" customWidth="1"/>
    <col min="17" max="17" width="15.6640625" customWidth="1"/>
    <col min="18" max="18" width="13.44140625" bestFit="1" customWidth="1"/>
    <col min="19" max="19" width="6.5546875" bestFit="1" customWidth="1"/>
    <col min="20" max="20" width="7.6640625" bestFit="1" customWidth="1"/>
    <col min="21" max="21" width="13" bestFit="1" customWidth="1"/>
  </cols>
  <sheetData>
    <row r="1" spans="1:21" ht="15.6" x14ac:dyDescent="0.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</row>
    <row r="2" spans="1:21" ht="15.6" x14ac:dyDescent="0.3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21" ht="15.6" x14ac:dyDescent="0.3">
      <c r="A3" s="4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</row>
    <row r="4" spans="1:21" ht="15.6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1" ht="15.6" x14ac:dyDescent="0.3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1" ht="15.6" customHeight="1" x14ac:dyDescent="0.3">
      <c r="A6" s="7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T6" s="8"/>
    </row>
    <row r="7" spans="1:21" ht="17.399999999999999" customHeight="1" x14ac:dyDescent="0.3">
      <c r="A7" s="6"/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P7" s="10" t="s">
        <v>18</v>
      </c>
      <c r="Q7" s="10"/>
      <c r="R7" s="10"/>
      <c r="S7" s="10"/>
      <c r="T7" s="10"/>
      <c r="U7" s="10"/>
    </row>
    <row r="8" spans="1:21" ht="15.6" customHeight="1" x14ac:dyDescent="0.3">
      <c r="A8" s="6"/>
      <c r="B8" s="9"/>
      <c r="C8" s="9"/>
      <c r="D8" s="9"/>
      <c r="E8" s="9"/>
      <c r="F8" s="11"/>
      <c r="G8" s="11" t="s">
        <v>19</v>
      </c>
      <c r="H8" s="9"/>
      <c r="I8" s="9"/>
      <c r="J8" s="9"/>
      <c r="K8" s="6"/>
      <c r="L8" s="11" t="s">
        <v>20</v>
      </c>
      <c r="M8" s="9"/>
      <c r="N8" s="11" t="s">
        <v>21</v>
      </c>
      <c r="P8" s="10"/>
      <c r="Q8" s="10"/>
      <c r="R8" s="10"/>
      <c r="S8" s="10"/>
      <c r="T8" s="10"/>
      <c r="U8" s="10"/>
    </row>
    <row r="9" spans="1:21" ht="31.2" x14ac:dyDescent="0.3">
      <c r="A9" s="12" t="s">
        <v>22</v>
      </c>
      <c r="B9" s="12" t="s">
        <v>23</v>
      </c>
      <c r="C9" s="12" t="s">
        <v>24</v>
      </c>
      <c r="D9" s="12" t="s">
        <v>25</v>
      </c>
      <c r="E9" s="12" t="s">
        <v>26</v>
      </c>
      <c r="F9" s="12" t="s">
        <v>27</v>
      </c>
      <c r="G9" s="12" t="s">
        <v>28</v>
      </c>
      <c r="H9" s="12" t="s">
        <v>29</v>
      </c>
      <c r="I9" s="12" t="s">
        <v>30</v>
      </c>
      <c r="J9" s="12" t="s">
        <v>31</v>
      </c>
      <c r="K9" s="12" t="s">
        <v>32</v>
      </c>
      <c r="L9" s="12" t="s">
        <v>33</v>
      </c>
      <c r="M9" s="12" t="s">
        <v>34</v>
      </c>
      <c r="N9" s="12" t="s">
        <v>35</v>
      </c>
      <c r="P9" s="13"/>
      <c r="Q9" s="14" t="s">
        <v>36</v>
      </c>
      <c r="R9" s="14" t="s">
        <v>35</v>
      </c>
      <c r="S9" s="15" t="s">
        <v>37</v>
      </c>
      <c r="T9" s="14" t="s">
        <v>38</v>
      </c>
      <c r="U9" s="14" t="s">
        <v>39</v>
      </c>
    </row>
    <row r="10" spans="1:21" ht="15.6" x14ac:dyDescent="0.3">
      <c r="A10" s="6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P10" s="17">
        <v>44592</v>
      </c>
      <c r="Q10" s="18">
        <f>SUM($M$48:$M$56)</f>
        <v>3625000000</v>
      </c>
      <c r="R10" s="18">
        <f>SUM($N$48:$N$56)</f>
        <v>125740000</v>
      </c>
      <c r="S10" s="19">
        <f>R10/Q10</f>
        <v>3.468689655172414E-2</v>
      </c>
      <c r="T10" s="20">
        <f>DAY(EOMONTH(P10,0))</f>
        <v>31</v>
      </c>
      <c r="U10" s="21">
        <f>S10</f>
        <v>3.468689655172414E-2</v>
      </c>
    </row>
    <row r="11" spans="1:21" ht="15.6" x14ac:dyDescent="0.3">
      <c r="A11" s="6">
        <f t="shared" ref="A11:A37" si="0">A10+1</f>
        <v>2</v>
      </c>
      <c r="B11" s="22" t="s">
        <v>40</v>
      </c>
      <c r="C11" s="23">
        <v>41597</v>
      </c>
      <c r="D11" s="23">
        <v>45260</v>
      </c>
      <c r="E11" s="24">
        <v>525000000</v>
      </c>
      <c r="F11" s="25">
        <v>0.99529999999999996</v>
      </c>
      <c r="G11" s="26">
        <f t="shared" ref="G11:G13" si="1">E11*F11</f>
        <v>522532500</v>
      </c>
      <c r="H11" s="27">
        <v>4.2500000000000003E-2</v>
      </c>
      <c r="I11" s="28">
        <f t="shared" ref="I11" si="2">YIELD(C11,D11,H11,F11*100,100,2,0)</f>
        <v>4.3080413890097854E-2</v>
      </c>
      <c r="J11" s="29">
        <v>9.4023931428571436E-4</v>
      </c>
      <c r="K11" s="29">
        <v>0</v>
      </c>
      <c r="L11" s="27">
        <f t="shared" ref="L11" si="3">ROUND(I11+J11+K11,4)</f>
        <v>4.3999999999999997E-2</v>
      </c>
      <c r="M11" s="24">
        <v>525000000</v>
      </c>
      <c r="N11" s="30">
        <f>M11*L11</f>
        <v>23100000</v>
      </c>
      <c r="P11" s="17">
        <v>44620</v>
      </c>
      <c r="Q11" s="18">
        <f t="shared" ref="Q11:Q21" si="4">SUM($M$48:$M$56)</f>
        <v>3625000000</v>
      </c>
      <c r="R11" s="18">
        <f t="shared" ref="R11:R21" si="5">SUM($N$48:$N$56)</f>
        <v>125740000</v>
      </c>
      <c r="S11" s="19">
        <f>R11/Q11</f>
        <v>3.468689655172414E-2</v>
      </c>
      <c r="T11" s="20">
        <f>DAY(EOMONTH(P11,0))</f>
        <v>28</v>
      </c>
      <c r="U11" s="21">
        <f>S11</f>
        <v>3.468689655172414E-2</v>
      </c>
    </row>
    <row r="12" spans="1:21" ht="15.6" customHeight="1" x14ac:dyDescent="0.3">
      <c r="A12" s="6">
        <f t="shared" si="0"/>
        <v>3</v>
      </c>
      <c r="B12" s="31" t="s">
        <v>41</v>
      </c>
      <c r="C12" s="23">
        <v>44434</v>
      </c>
      <c r="D12" s="23">
        <v>45527</v>
      </c>
      <c r="E12" s="32">
        <v>600000000</v>
      </c>
      <c r="F12" s="25">
        <v>1</v>
      </c>
      <c r="G12" s="26">
        <f t="shared" si="1"/>
        <v>600000000</v>
      </c>
      <c r="H12" s="27">
        <v>1.0370000000000001E-2</v>
      </c>
      <c r="I12" s="28">
        <f>YIELD(C12,D12,H12,F12*100,100,2,0)</f>
        <v>1.0369925279348866E-2</v>
      </c>
      <c r="J12" s="29">
        <v>2.0481889100000001E-3</v>
      </c>
      <c r="K12" s="29">
        <v>0</v>
      </c>
      <c r="L12" s="27">
        <f>ROUND(I12+J12+K12,4)</f>
        <v>1.24E-2</v>
      </c>
      <c r="M12" s="32">
        <f t="shared" ref="M12" si="6">+E12</f>
        <v>600000000</v>
      </c>
      <c r="N12" s="30">
        <f>M12*L12</f>
        <v>7440000</v>
      </c>
      <c r="P12" s="17">
        <v>44651</v>
      </c>
      <c r="Q12" s="18">
        <f t="shared" si="4"/>
        <v>3625000000</v>
      </c>
      <c r="R12" s="18">
        <f t="shared" si="5"/>
        <v>125740000</v>
      </c>
      <c r="S12" s="19">
        <f>R12/Q12</f>
        <v>3.468689655172414E-2</v>
      </c>
      <c r="T12" s="20">
        <f t="shared" ref="T12:T21" si="7">DAY(EOMONTH(P12,0))</f>
        <v>31</v>
      </c>
      <c r="U12" s="19">
        <f>((S12*(P12-C51)/T12)+(S11*(C51-P11)/T12))</f>
        <v>3.4686896551724189E-2</v>
      </c>
    </row>
    <row r="13" spans="1:21" ht="15.6" x14ac:dyDescent="0.3">
      <c r="A13" s="6">
        <f t="shared" si="0"/>
        <v>4</v>
      </c>
      <c r="B13" s="31" t="s">
        <v>42</v>
      </c>
      <c r="C13" s="23">
        <v>42382</v>
      </c>
      <c r="D13" s="23">
        <v>46037</v>
      </c>
      <c r="E13" s="32">
        <v>300000000</v>
      </c>
      <c r="F13" s="25">
        <v>0.99697000000000002</v>
      </c>
      <c r="G13" s="26">
        <f t="shared" si="1"/>
        <v>299091000</v>
      </c>
      <c r="H13" s="27">
        <v>3.95E-2</v>
      </c>
      <c r="I13" s="28">
        <f t="shared" ref="I13" si="8">YIELD(C13,D13,H13,F13*100,100,2,0)</f>
        <v>3.9869946878568249E-2</v>
      </c>
      <c r="J13" s="29">
        <v>9.5578199999999996E-4</v>
      </c>
      <c r="K13" s="29">
        <v>0</v>
      </c>
      <c r="L13" s="27">
        <f t="shared" ref="L13" si="9">ROUND(I13+J13+K13,4)</f>
        <v>4.0800000000000003E-2</v>
      </c>
      <c r="M13" s="32">
        <v>300000000</v>
      </c>
      <c r="N13" s="30">
        <f t="shared" ref="N13" si="10">M13*L13</f>
        <v>12240000</v>
      </c>
      <c r="P13" s="17">
        <v>44681</v>
      </c>
      <c r="Q13" s="18">
        <f t="shared" si="4"/>
        <v>3625000000</v>
      </c>
      <c r="R13" s="18">
        <f t="shared" si="5"/>
        <v>125740000</v>
      </c>
      <c r="S13" s="19">
        <f>R13/Q13</f>
        <v>3.468689655172414E-2</v>
      </c>
      <c r="T13" s="20">
        <f t="shared" si="7"/>
        <v>30</v>
      </c>
      <c r="U13" s="21">
        <f>S13</f>
        <v>3.468689655172414E-2</v>
      </c>
    </row>
    <row r="14" spans="1:21" ht="15.6" x14ac:dyDescent="0.3">
      <c r="A14" s="6">
        <f t="shared" si="0"/>
        <v>5</v>
      </c>
      <c r="B14" s="31" t="s">
        <v>43</v>
      </c>
      <c r="C14" s="23">
        <v>42601</v>
      </c>
      <c r="D14" s="23">
        <v>46402</v>
      </c>
      <c r="E14" s="32">
        <v>400000000</v>
      </c>
      <c r="F14" s="25">
        <v>0.99948999999999999</v>
      </c>
      <c r="G14" s="26">
        <f>E14*F14</f>
        <v>399796000</v>
      </c>
      <c r="H14" s="27">
        <v>3.15E-2</v>
      </c>
      <c r="I14" s="28">
        <f>YIELD(C14,D14,H14,F14*100,100,2,0)</f>
        <v>3.155574065360886E-2</v>
      </c>
      <c r="J14" s="29">
        <v>7.8739633247484741E-3</v>
      </c>
      <c r="K14" s="29">
        <v>2.0300187E-3</v>
      </c>
      <c r="L14" s="27">
        <f>ROUND(I14+J14+K14,4)</f>
        <v>4.1500000000000002E-2</v>
      </c>
      <c r="M14" s="32">
        <v>400000000</v>
      </c>
      <c r="N14" s="33">
        <f>M14*L14</f>
        <v>16600000</v>
      </c>
      <c r="P14" s="17">
        <v>44712</v>
      </c>
      <c r="Q14" s="18">
        <f t="shared" si="4"/>
        <v>3625000000</v>
      </c>
      <c r="R14" s="18">
        <f t="shared" si="5"/>
        <v>125740000</v>
      </c>
      <c r="S14" s="19">
        <f t="shared" ref="S14:S16" si="11">R14/Q14</f>
        <v>3.468689655172414E-2</v>
      </c>
      <c r="T14" s="20">
        <f t="shared" si="7"/>
        <v>31</v>
      </c>
      <c r="U14" s="21">
        <f t="shared" ref="U14:U16" si="12">S14</f>
        <v>3.468689655172414E-2</v>
      </c>
    </row>
    <row r="15" spans="1:21" ht="15.6" x14ac:dyDescent="0.3">
      <c r="A15" s="6">
        <f t="shared" si="0"/>
        <v>6</v>
      </c>
      <c r="B15" s="31" t="s">
        <v>44</v>
      </c>
      <c r="C15" s="23">
        <v>43741</v>
      </c>
      <c r="D15" s="23">
        <v>47406</v>
      </c>
      <c r="E15" s="32">
        <v>400000000</v>
      </c>
      <c r="F15" s="25">
        <v>0.99656</v>
      </c>
      <c r="G15" s="26">
        <f>E15*F15</f>
        <v>398624000</v>
      </c>
      <c r="H15" s="27">
        <v>3.0499999999999999E-2</v>
      </c>
      <c r="I15" s="28">
        <f>YIELD(C15,D15,H15,F15*100,100,2,0)</f>
        <v>3.0900518298005258E-2</v>
      </c>
      <c r="J15" s="29">
        <v>9.1077059999999997E-4</v>
      </c>
      <c r="K15" s="29">
        <v>1.5607200000000002E-5</v>
      </c>
      <c r="L15" s="27">
        <f>ROUND(I15+J15+K15,4)</f>
        <v>3.1800000000000002E-2</v>
      </c>
      <c r="M15" s="32">
        <v>400000000</v>
      </c>
      <c r="N15" s="33">
        <f>M15*L15</f>
        <v>12720000</v>
      </c>
      <c r="P15" s="17">
        <v>44742</v>
      </c>
      <c r="Q15" s="18">
        <f t="shared" si="4"/>
        <v>3625000000</v>
      </c>
      <c r="R15" s="18">
        <f t="shared" si="5"/>
        <v>125740000</v>
      </c>
      <c r="S15" s="19">
        <f t="shared" si="11"/>
        <v>3.468689655172414E-2</v>
      </c>
      <c r="T15" s="20">
        <f t="shared" si="7"/>
        <v>30</v>
      </c>
      <c r="U15" s="21">
        <f t="shared" si="12"/>
        <v>3.468689655172414E-2</v>
      </c>
    </row>
    <row r="16" spans="1:21" ht="15.6" x14ac:dyDescent="0.3">
      <c r="A16" s="6">
        <f t="shared" si="0"/>
        <v>7</v>
      </c>
      <c r="B16" s="31" t="s">
        <v>45</v>
      </c>
      <c r="C16" s="23">
        <v>43999</v>
      </c>
      <c r="D16" s="23">
        <v>47649</v>
      </c>
      <c r="E16" s="34">
        <v>400000000</v>
      </c>
      <c r="F16" s="35">
        <v>0.99658000000000002</v>
      </c>
      <c r="G16" s="36">
        <f>E16*F16</f>
        <v>398632000</v>
      </c>
      <c r="H16" s="37">
        <v>2.5000000000000001E-2</v>
      </c>
      <c r="I16" s="28">
        <f>YIELD(C16,D16,H16,F16*100,100,2,0)</f>
        <v>2.5389497768447077E-2</v>
      </c>
      <c r="J16" s="29">
        <v>9.3674936991737002E-4</v>
      </c>
      <c r="K16" s="29">
        <v>0</v>
      </c>
      <c r="L16" s="37">
        <f>ROUND(I16+J16+K16,4)</f>
        <v>2.63E-2</v>
      </c>
      <c r="M16" s="34">
        <v>400000000</v>
      </c>
      <c r="N16" s="33">
        <f>M16*L16</f>
        <v>10520000</v>
      </c>
      <c r="P16" s="17">
        <v>44773</v>
      </c>
      <c r="Q16" s="18">
        <f t="shared" si="4"/>
        <v>3625000000</v>
      </c>
      <c r="R16" s="18">
        <f t="shared" si="5"/>
        <v>125740000</v>
      </c>
      <c r="S16" s="19">
        <f t="shared" si="11"/>
        <v>3.468689655172414E-2</v>
      </c>
      <c r="T16" s="20">
        <f t="shared" si="7"/>
        <v>31</v>
      </c>
      <c r="U16" s="21">
        <f t="shared" si="12"/>
        <v>3.468689655172414E-2</v>
      </c>
    </row>
    <row r="17" spans="1:21" ht="15.6" x14ac:dyDescent="0.3">
      <c r="A17" s="6">
        <f t="shared" si="0"/>
        <v>8</v>
      </c>
      <c r="B17" s="31" t="s">
        <v>46</v>
      </c>
      <c r="C17" s="23">
        <v>43329</v>
      </c>
      <c r="D17" s="23">
        <v>48700</v>
      </c>
      <c r="E17" s="32">
        <v>400000000</v>
      </c>
      <c r="F17" s="25">
        <v>0.99543000000000004</v>
      </c>
      <c r="G17" s="26">
        <f t="shared" ref="G17" si="13">E17*F17</f>
        <v>398172000</v>
      </c>
      <c r="H17" s="27">
        <v>4.3499999999999997E-2</v>
      </c>
      <c r="I17" s="28">
        <f t="shared" ref="I17" si="14">YIELD(C17,D17,H17,F17*100,100,2,0)</f>
        <v>4.391981373724866E-2</v>
      </c>
      <c r="J17" s="29">
        <v>8.4427530000000001E-4</v>
      </c>
      <c r="K17" s="29">
        <v>3.6077929561768038E-4</v>
      </c>
      <c r="L17" s="27">
        <f t="shared" ref="L17" si="15">ROUND(I17+J17+K17,4)</f>
        <v>4.5100000000000001E-2</v>
      </c>
      <c r="M17" s="32">
        <v>400000000</v>
      </c>
      <c r="N17" s="33">
        <f t="shared" ref="N17" si="16">M17*L17</f>
        <v>18040000</v>
      </c>
      <c r="P17" s="17">
        <v>44804</v>
      </c>
      <c r="Q17" s="18">
        <f t="shared" si="4"/>
        <v>3625000000</v>
      </c>
      <c r="R17" s="18">
        <f t="shared" si="5"/>
        <v>125740000</v>
      </c>
      <c r="S17" s="19">
        <f>R17/Q17</f>
        <v>3.468689655172414E-2</v>
      </c>
      <c r="T17" s="20">
        <f t="shared" si="7"/>
        <v>31</v>
      </c>
      <c r="U17" s="19">
        <f>((S17*(P17-C55)/T17)+(S16*(C55-P16)/T17))</f>
        <v>3.4686896551724189E-2</v>
      </c>
    </row>
    <row r="18" spans="1:21" ht="15.6" x14ac:dyDescent="0.3">
      <c r="A18" s="6">
        <f t="shared" si="0"/>
        <v>9</v>
      </c>
      <c r="B18" s="31" t="s">
        <v>47</v>
      </c>
      <c r="C18" s="23">
        <v>42601</v>
      </c>
      <c r="D18" s="23">
        <v>53585</v>
      </c>
      <c r="E18" s="32">
        <v>300000000</v>
      </c>
      <c r="F18" s="25">
        <v>0.99455000000000005</v>
      </c>
      <c r="G18" s="26">
        <f>E18*F18</f>
        <v>298365000</v>
      </c>
      <c r="H18" s="27">
        <v>4.2000000000000003E-2</v>
      </c>
      <c r="I18" s="28">
        <f>YIELD(C18,D18,H18,F18*100,100,2,0)</f>
        <v>4.232044430624305E-2</v>
      </c>
      <c r="J18" s="29">
        <v>3.7018941463470351E-4</v>
      </c>
      <c r="K18" s="29">
        <v>1.0321071999999998E-3</v>
      </c>
      <c r="L18" s="27">
        <f>ROUND(I18+J18+K18,4)</f>
        <v>4.3700000000000003E-2</v>
      </c>
      <c r="M18" s="32">
        <v>300000000</v>
      </c>
      <c r="N18" s="33">
        <f>M18*L18</f>
        <v>13110000</v>
      </c>
      <c r="P18" s="17">
        <v>44834</v>
      </c>
      <c r="Q18" s="18">
        <f t="shared" si="4"/>
        <v>3625000000</v>
      </c>
      <c r="R18" s="18">
        <f t="shared" si="5"/>
        <v>125740000</v>
      </c>
      <c r="S18" s="19">
        <f t="shared" ref="S18:S21" si="17">R18/Q18</f>
        <v>3.468689655172414E-2</v>
      </c>
      <c r="T18" s="20">
        <f t="shared" si="7"/>
        <v>30</v>
      </c>
      <c r="U18" s="21">
        <f>S18</f>
        <v>3.468689655172414E-2</v>
      </c>
    </row>
    <row r="19" spans="1:21" ht="15.6" x14ac:dyDescent="0.3">
      <c r="A19" s="6">
        <f t="shared" si="0"/>
        <v>10</v>
      </c>
      <c r="B19" s="31" t="s">
        <v>48</v>
      </c>
      <c r="C19" s="23">
        <v>43741</v>
      </c>
      <c r="D19" s="23">
        <v>54711</v>
      </c>
      <c r="E19" s="34">
        <v>300000000</v>
      </c>
      <c r="F19" s="25">
        <v>0.99804999999999999</v>
      </c>
      <c r="G19" s="26">
        <f t="shared" ref="G19" si="18">E19*F19</f>
        <v>299415000</v>
      </c>
      <c r="H19" s="37">
        <v>3.875E-2</v>
      </c>
      <c r="I19" s="28">
        <f t="shared" ref="I19" si="19">YIELD(C19,D19,H19,F19*100,100,2,0)</f>
        <v>3.8859927047345075E-2</v>
      </c>
      <c r="J19" s="29">
        <v>3.7276113213616577E-4</v>
      </c>
      <c r="K19" s="29">
        <v>6.1855508037079955E-4</v>
      </c>
      <c r="L19" s="37">
        <f t="shared" ref="L19" si="20">ROUND(I19+J19+K19,4)</f>
        <v>3.9899999999999998E-2</v>
      </c>
      <c r="M19" s="34">
        <v>300000000</v>
      </c>
      <c r="N19" s="33">
        <f t="shared" ref="N19" si="21">M19*L19</f>
        <v>11970000</v>
      </c>
      <c r="P19" s="17">
        <v>44865</v>
      </c>
      <c r="Q19" s="18">
        <f t="shared" si="4"/>
        <v>3625000000</v>
      </c>
      <c r="R19" s="18">
        <f t="shared" si="5"/>
        <v>125740000</v>
      </c>
      <c r="S19" s="19">
        <f t="shared" si="17"/>
        <v>3.468689655172414E-2</v>
      </c>
      <c r="T19" s="20">
        <f t="shared" si="7"/>
        <v>31</v>
      </c>
      <c r="U19" s="21">
        <f>S19</f>
        <v>3.468689655172414E-2</v>
      </c>
    </row>
    <row r="20" spans="1:21" ht="15.6" x14ac:dyDescent="0.3">
      <c r="A20" s="6">
        <f t="shared" si="0"/>
        <v>11</v>
      </c>
      <c r="B20" s="31"/>
      <c r="C20" s="23"/>
      <c r="D20" s="23"/>
      <c r="E20" s="34"/>
      <c r="F20" s="35"/>
      <c r="G20" s="34"/>
      <c r="H20" s="38"/>
      <c r="I20" s="39"/>
      <c r="J20" s="29"/>
      <c r="K20" s="29"/>
      <c r="L20" s="37"/>
      <c r="M20" s="40"/>
      <c r="N20" s="41"/>
      <c r="P20" s="17">
        <v>44895</v>
      </c>
      <c r="Q20" s="18">
        <f t="shared" si="4"/>
        <v>3625000000</v>
      </c>
      <c r="R20" s="18">
        <f t="shared" si="5"/>
        <v>125740000</v>
      </c>
      <c r="S20" s="19">
        <f t="shared" si="17"/>
        <v>3.468689655172414E-2</v>
      </c>
      <c r="T20" s="20">
        <f t="shared" si="7"/>
        <v>30</v>
      </c>
      <c r="U20" s="19">
        <f>((S20*(P20-D11)/T20)+(S19*(D11-P19)/T20))</f>
        <v>3.4686896551724133E-2</v>
      </c>
    </row>
    <row r="21" spans="1:21" ht="16.2" thickBot="1" x14ac:dyDescent="0.35">
      <c r="A21" s="6">
        <f t="shared" si="0"/>
        <v>12</v>
      </c>
      <c r="B21" s="42" t="s">
        <v>49</v>
      </c>
      <c r="C21" s="23"/>
      <c r="D21" s="23"/>
      <c r="E21" s="43">
        <f>ROUND(SUM(E11:E20),-1)</f>
        <v>3625000000</v>
      </c>
      <c r="F21" s="44"/>
      <c r="G21" s="45"/>
      <c r="H21" s="27"/>
      <c r="I21" s="28"/>
      <c r="J21" s="29"/>
      <c r="K21" s="29"/>
      <c r="L21" s="46">
        <f>ROUND(+N21/M21,4)</f>
        <v>3.4700000000000002E-2</v>
      </c>
      <c r="M21" s="47">
        <f>SUM(M11:M20)</f>
        <v>3625000000</v>
      </c>
      <c r="N21" s="47">
        <f>SUM(N11:N20)</f>
        <v>125740000</v>
      </c>
      <c r="P21" s="17">
        <v>44926</v>
      </c>
      <c r="Q21" s="18">
        <f t="shared" si="4"/>
        <v>3625000000</v>
      </c>
      <c r="R21" s="18">
        <f t="shared" si="5"/>
        <v>125740000</v>
      </c>
      <c r="S21" s="19">
        <f t="shared" si="17"/>
        <v>3.468689655172414E-2</v>
      </c>
      <c r="T21" s="20">
        <f t="shared" si="7"/>
        <v>31</v>
      </c>
      <c r="U21" s="21">
        <f>S21</f>
        <v>3.468689655172414E-2</v>
      </c>
    </row>
    <row r="22" spans="1:21" ht="16.8" thickTop="1" thickBot="1" x14ac:dyDescent="0.35">
      <c r="A22" s="6">
        <f t="shared" si="0"/>
        <v>13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T22" s="20"/>
      <c r="U22" s="21"/>
    </row>
    <row r="23" spans="1:21" ht="16.2" thickBot="1" x14ac:dyDescent="0.35">
      <c r="A23" s="6">
        <f t="shared" si="0"/>
        <v>14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8"/>
      <c r="M23" s="48"/>
      <c r="N23" s="48"/>
    </row>
    <row r="24" spans="1:21" ht="16.2" thickBot="1" x14ac:dyDescent="0.35">
      <c r="A24" s="6">
        <f t="shared" si="0"/>
        <v>15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P24" s="50" t="s">
        <v>50</v>
      </c>
      <c r="Q24" s="50"/>
      <c r="T24" s="51">
        <f>SUM(T10:T23)</f>
        <v>365</v>
      </c>
      <c r="U24" s="52">
        <f>AVERAGE(U10:U21)</f>
        <v>3.468689655172414E-2</v>
      </c>
    </row>
    <row r="25" spans="1:21" ht="15.6" customHeight="1" x14ac:dyDescent="0.3">
      <c r="A25" s="6">
        <f t="shared" si="0"/>
        <v>16</v>
      </c>
      <c r="B25" s="53" t="s">
        <v>51</v>
      </c>
      <c r="C25" s="54">
        <v>39406</v>
      </c>
      <c r="D25" s="54">
        <v>50364</v>
      </c>
      <c r="E25" s="55">
        <v>110000000</v>
      </c>
      <c r="F25" s="56">
        <v>1</v>
      </c>
      <c r="G25" s="57">
        <f t="shared" ref="G25:G27" si="22">E25*F25</f>
        <v>110000000</v>
      </c>
      <c r="H25" s="58">
        <f>ROUND(0.0667,4)</f>
        <v>6.6699999999999995E-2</v>
      </c>
      <c r="I25" s="59">
        <f t="shared" ref="I25" si="23">YIELD(C25,D25,H25,F25*100,100,2,0)</f>
        <v>6.6699999999999995E-2</v>
      </c>
      <c r="J25" s="60">
        <v>1.5789981515151514E-3</v>
      </c>
      <c r="K25" s="60">
        <v>-7.1581808522727273E-4</v>
      </c>
      <c r="L25" s="58">
        <f>ROUND(I25+J25+K25,4)</f>
        <v>6.7599999999999993E-2</v>
      </c>
      <c r="M25" s="57">
        <f>+E25</f>
        <v>110000000</v>
      </c>
      <c r="N25" s="61">
        <f>M25*L25</f>
        <v>7435999.9999999991</v>
      </c>
      <c r="R25" s="62"/>
      <c r="S25" s="62"/>
    </row>
    <row r="26" spans="1:21" ht="15.6" customHeight="1" x14ac:dyDescent="0.3">
      <c r="A26" s="6">
        <f t="shared" si="0"/>
        <v>17</v>
      </c>
      <c r="B26" s="53" t="s">
        <v>52</v>
      </c>
      <c r="C26" s="54">
        <v>40059</v>
      </c>
      <c r="D26" s="54">
        <v>46447</v>
      </c>
      <c r="E26" s="55">
        <v>10000000</v>
      </c>
      <c r="F26" s="56">
        <v>1</v>
      </c>
      <c r="G26" s="57">
        <f t="shared" si="22"/>
        <v>10000000</v>
      </c>
      <c r="H26" s="58">
        <v>3.6799999999999999E-2</v>
      </c>
      <c r="I26" s="59">
        <v>3.6799999999999999E-2</v>
      </c>
      <c r="J26" s="60">
        <v>1.3595488841269841E-2</v>
      </c>
      <c r="K26" s="60">
        <v>1.1724915877437329E-3</v>
      </c>
      <c r="L26" s="58">
        <f t="shared" ref="L26" si="24">ROUND(I26+J26+K26,4)</f>
        <v>5.16E-2</v>
      </c>
      <c r="M26" s="57">
        <f>+E26</f>
        <v>10000000</v>
      </c>
      <c r="N26" s="61">
        <f>M26*L26</f>
        <v>516000</v>
      </c>
      <c r="P26" s="63" t="s">
        <v>53</v>
      </c>
      <c r="Q26" s="62"/>
      <c r="R26" s="62"/>
      <c r="S26" s="62"/>
    </row>
    <row r="27" spans="1:21" ht="15.75" customHeight="1" x14ac:dyDescent="0.3">
      <c r="A27" s="6">
        <f t="shared" si="0"/>
        <v>18</v>
      </c>
      <c r="B27" s="53" t="s">
        <v>54</v>
      </c>
      <c r="C27" s="54">
        <v>41913</v>
      </c>
      <c r="D27" s="54">
        <v>52890</v>
      </c>
      <c r="E27" s="64">
        <v>75000000</v>
      </c>
      <c r="F27" s="65">
        <v>1</v>
      </c>
      <c r="G27" s="64">
        <f t="shared" si="22"/>
        <v>75000000</v>
      </c>
      <c r="H27" s="66">
        <f>ROUND(0.0453,4)</f>
        <v>4.53E-2</v>
      </c>
      <c r="I27" s="67">
        <f t="shared" ref="I27" si="25">YIELD(C27,D27,H27,F27*100,100,2,0)</f>
        <v>4.5298529282714994E-2</v>
      </c>
      <c r="J27" s="68">
        <v>2.9999999999999997E-4</v>
      </c>
      <c r="K27" s="68">
        <v>0</v>
      </c>
      <c r="L27" s="66">
        <f t="shared" ref="L27" si="26">ROUND(I27+J27,4)</f>
        <v>4.5600000000000002E-2</v>
      </c>
      <c r="M27" s="64">
        <f>+E27</f>
        <v>75000000</v>
      </c>
      <c r="N27" s="69">
        <f>M27*L27</f>
        <v>3420000</v>
      </c>
      <c r="P27" s="63" t="s">
        <v>5</v>
      </c>
      <c r="Q27" s="70" t="s">
        <v>55</v>
      </c>
      <c r="R27" s="70"/>
      <c r="S27" s="70"/>
      <c r="T27" s="70"/>
      <c r="U27" s="70"/>
    </row>
    <row r="28" spans="1:21" ht="16.2" customHeight="1" thickBot="1" x14ac:dyDescent="0.35">
      <c r="A28" s="6">
        <f t="shared" si="0"/>
        <v>19</v>
      </c>
      <c r="B28" s="71" t="s">
        <v>56</v>
      </c>
      <c r="C28" s="54"/>
      <c r="D28" s="54"/>
      <c r="E28" s="55">
        <f>SUM(E25:E27)</f>
        <v>195000000</v>
      </c>
      <c r="F28" s="56"/>
      <c r="G28" s="55">
        <f>SUM(G25:G27)</f>
        <v>195000000</v>
      </c>
      <c r="H28" s="58"/>
      <c r="I28" s="59"/>
      <c r="J28" s="60"/>
      <c r="K28" s="60"/>
      <c r="L28" s="72">
        <f>N28/M28</f>
        <v>5.8317948717948716E-2</v>
      </c>
      <c r="M28" s="73">
        <f>SUM(M25:M27)</f>
        <v>195000000</v>
      </c>
      <c r="N28" s="73">
        <f>SUM(N25:N27)</f>
        <v>11372000</v>
      </c>
      <c r="Q28" s="70"/>
      <c r="R28" s="70"/>
      <c r="S28" s="70"/>
      <c r="T28" s="70"/>
      <c r="U28" s="70"/>
    </row>
    <row r="29" spans="1:21" ht="16.8" thickTop="1" thickBot="1" x14ac:dyDescent="0.35">
      <c r="A29" s="6">
        <f t="shared" si="0"/>
        <v>20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75"/>
      <c r="N29" s="75"/>
      <c r="Q29" s="70"/>
      <c r="R29" s="70"/>
      <c r="S29" s="70"/>
      <c r="T29" s="70"/>
      <c r="U29" s="70"/>
    </row>
    <row r="30" spans="1:21" ht="15.6" x14ac:dyDescent="0.3">
      <c r="A30" s="6">
        <f t="shared" si="0"/>
        <v>21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Q30" s="62"/>
      <c r="R30" s="62"/>
      <c r="S30" s="62"/>
    </row>
    <row r="31" spans="1:21" ht="15.6" x14ac:dyDescent="0.3">
      <c r="A31" s="6">
        <f t="shared" si="0"/>
        <v>22</v>
      </c>
      <c r="B31" s="53" t="s">
        <v>57</v>
      </c>
      <c r="C31" s="54">
        <v>41913</v>
      </c>
      <c r="D31" s="54">
        <v>52890</v>
      </c>
      <c r="E31" s="77">
        <v>85000000</v>
      </c>
      <c r="F31" s="78">
        <v>1</v>
      </c>
      <c r="G31" s="57">
        <f t="shared" ref="G31:G33" si="27">E31*F31</f>
        <v>85000000</v>
      </c>
      <c r="H31" s="79">
        <v>4.4299999999999999E-2</v>
      </c>
      <c r="I31" s="59">
        <f t="shared" ref="I31:I33" si="28">YIELD(C31,D31,H31,F31*100,100,2,0)</f>
        <v>4.4298609706961332E-2</v>
      </c>
      <c r="J31" s="60">
        <v>2.8110917647058823E-4</v>
      </c>
      <c r="K31" s="58" t="s">
        <v>58</v>
      </c>
      <c r="L31" s="58">
        <f>ROUND(I31+J31,4)</f>
        <v>4.4600000000000001E-2</v>
      </c>
      <c r="M31" s="57">
        <f>+E31</f>
        <v>85000000</v>
      </c>
      <c r="N31" s="80">
        <f>M31*L31</f>
        <v>3791000</v>
      </c>
      <c r="Q31" s="62"/>
      <c r="R31" s="62"/>
      <c r="S31" s="62"/>
    </row>
    <row r="32" spans="1:21" ht="15.6" x14ac:dyDescent="0.3">
      <c r="A32" s="6">
        <f t="shared" si="0"/>
        <v>23</v>
      </c>
      <c r="B32" s="53" t="s">
        <v>59</v>
      </c>
      <c r="C32" s="54">
        <v>37481</v>
      </c>
      <c r="D32" s="54">
        <v>48441</v>
      </c>
      <c r="E32" s="77">
        <v>75000000</v>
      </c>
      <c r="F32" s="78">
        <v>1</v>
      </c>
      <c r="G32" s="57">
        <f t="shared" si="27"/>
        <v>75000000</v>
      </c>
      <c r="H32" s="79">
        <v>7.2300000000000003E-2</v>
      </c>
      <c r="I32" s="59">
        <f t="shared" si="28"/>
        <v>7.2299418061953308E-2</v>
      </c>
      <c r="J32" s="60">
        <v>1.2988416E-3</v>
      </c>
      <c r="K32" s="58" t="s">
        <v>58</v>
      </c>
      <c r="L32" s="58">
        <f t="shared" ref="L32:L33" si="29">ROUND(I32+J32,4)</f>
        <v>7.3599999999999999E-2</v>
      </c>
      <c r="M32" s="57">
        <f>+E32</f>
        <v>75000000</v>
      </c>
      <c r="N32" s="61">
        <f>M32*L32</f>
        <v>5520000</v>
      </c>
    </row>
    <row r="33" spans="1:14" ht="15.6" x14ac:dyDescent="0.3">
      <c r="A33" s="6">
        <f t="shared" si="0"/>
        <v>24</v>
      </c>
      <c r="B33" s="53" t="s">
        <v>60</v>
      </c>
      <c r="C33" s="54">
        <v>40113</v>
      </c>
      <c r="D33" s="54">
        <v>51075</v>
      </c>
      <c r="E33" s="81">
        <v>180000000</v>
      </c>
      <c r="F33" s="82">
        <v>1</v>
      </c>
      <c r="G33" s="64">
        <f t="shared" si="27"/>
        <v>180000000</v>
      </c>
      <c r="H33" s="83">
        <v>6.1249999999999999E-2</v>
      </c>
      <c r="I33" s="67">
        <f t="shared" si="28"/>
        <v>6.1249261538018018E-2</v>
      </c>
      <c r="J33" s="68">
        <v>4.2175399999999999E-4</v>
      </c>
      <c r="K33" s="66" t="s">
        <v>58</v>
      </c>
      <c r="L33" s="66">
        <f t="shared" si="29"/>
        <v>6.1699999999999998E-2</v>
      </c>
      <c r="M33" s="64">
        <f>+E33</f>
        <v>180000000</v>
      </c>
      <c r="N33" s="69">
        <f>M33*L33</f>
        <v>11106000</v>
      </c>
    </row>
    <row r="34" spans="1:14" ht="16.2" thickBot="1" x14ac:dyDescent="0.35">
      <c r="A34" s="6">
        <f t="shared" si="0"/>
        <v>25</v>
      </c>
      <c r="B34" s="71" t="s">
        <v>61</v>
      </c>
      <c r="C34" s="54"/>
      <c r="D34" s="54"/>
      <c r="E34" s="55">
        <f>SUM(E31:E33)</f>
        <v>340000000</v>
      </c>
      <c r="F34" s="56"/>
      <c r="G34" s="55">
        <f>SUM(G31:G33)</f>
        <v>340000000</v>
      </c>
      <c r="H34" s="58"/>
      <c r="I34" s="59"/>
      <c r="J34" s="60"/>
      <c r="K34" s="60"/>
      <c r="L34" s="72">
        <f>N34/M34</f>
        <v>6.0049999999999999E-2</v>
      </c>
      <c r="M34" s="73">
        <f>SUM(M31:M33)</f>
        <v>340000000</v>
      </c>
      <c r="N34" s="73">
        <f>SUM(N31:N33)</f>
        <v>20417000</v>
      </c>
    </row>
    <row r="35" spans="1:14" ht="16.8" thickTop="1" thickBot="1" x14ac:dyDescent="0.35">
      <c r="A35" s="6">
        <f t="shared" si="0"/>
        <v>26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5"/>
      <c r="M35" s="75"/>
      <c r="N35" s="75"/>
    </row>
    <row r="36" spans="1:14" ht="15.6" x14ac:dyDescent="0.3">
      <c r="A36" s="6">
        <f t="shared" si="0"/>
        <v>27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ht="16.2" thickBot="1" x14ac:dyDescent="0.35">
      <c r="A37" s="6">
        <f t="shared" si="0"/>
        <v>28</v>
      </c>
      <c r="B37" s="53" t="s">
        <v>62</v>
      </c>
      <c r="C37" s="84"/>
      <c r="D37" s="84"/>
      <c r="E37" s="84"/>
      <c r="F37" s="84"/>
      <c r="G37" s="84"/>
      <c r="H37" s="84"/>
      <c r="I37" s="84"/>
      <c r="J37" s="84"/>
      <c r="K37" s="84"/>
      <c r="L37" s="72">
        <f>N37/M37</f>
        <v>3.786754807692308E-2</v>
      </c>
      <c r="M37" s="73">
        <f>+M21+M28+M34</f>
        <v>4160000000</v>
      </c>
      <c r="N37" s="73">
        <f>+N21+N28+N34</f>
        <v>157529000</v>
      </c>
    </row>
    <row r="38" spans="1:14" ht="16.2" thickTop="1" x14ac:dyDescent="0.3">
      <c r="A38" s="6"/>
      <c r="M38" s="6" t="s">
        <v>5</v>
      </c>
    </row>
    <row r="39" spans="1:14" ht="15.6" x14ac:dyDescent="0.3">
      <c r="A39" s="6" t="s">
        <v>53</v>
      </c>
    </row>
    <row r="40" spans="1:14" ht="18.600000000000001" x14ac:dyDescent="0.3">
      <c r="A40" s="6" t="s">
        <v>5</v>
      </c>
      <c r="B40" s="85" t="s">
        <v>63</v>
      </c>
    </row>
    <row r="41" spans="1:14" ht="18.600000000000001" x14ac:dyDescent="0.3">
      <c r="A41" s="6"/>
      <c r="B41" s="85"/>
    </row>
    <row r="42" spans="1:14" ht="18.600000000000001" x14ac:dyDescent="0.3">
      <c r="A42" s="6"/>
      <c r="B42" s="85"/>
    </row>
    <row r="43" spans="1:14" ht="15.6" x14ac:dyDescent="0.3">
      <c r="A43" s="7" t="s">
        <v>64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6" x14ac:dyDescent="0.3">
      <c r="A44" s="6"/>
      <c r="B44" s="9" t="s">
        <v>5</v>
      </c>
      <c r="C44" s="9" t="s">
        <v>6</v>
      </c>
      <c r="D44" s="9" t="s">
        <v>7</v>
      </c>
      <c r="E44" s="9" t="s">
        <v>8</v>
      </c>
      <c r="F44" s="9" t="s">
        <v>9</v>
      </c>
      <c r="G44" s="9" t="s">
        <v>10</v>
      </c>
      <c r="H44" s="9" t="s">
        <v>11</v>
      </c>
      <c r="I44" s="9" t="s">
        <v>12</v>
      </c>
      <c r="J44" s="9" t="s">
        <v>13</v>
      </c>
      <c r="K44" s="9" t="s">
        <v>14</v>
      </c>
      <c r="L44" s="9" t="s">
        <v>15</v>
      </c>
      <c r="M44" s="9" t="s">
        <v>16</v>
      </c>
      <c r="N44" s="9" t="s">
        <v>17</v>
      </c>
    </row>
    <row r="45" spans="1:14" ht="15.6" x14ac:dyDescent="0.3">
      <c r="A45" s="6"/>
      <c r="B45" s="9"/>
      <c r="C45" s="9"/>
      <c r="D45" s="9"/>
      <c r="E45" s="9"/>
      <c r="F45" s="11"/>
      <c r="G45" s="11" t="s">
        <v>19</v>
      </c>
      <c r="H45" s="9"/>
      <c r="I45" s="9"/>
      <c r="J45" s="9"/>
      <c r="K45" s="6"/>
      <c r="L45" s="11" t="s">
        <v>20</v>
      </c>
      <c r="M45" s="9"/>
      <c r="N45" s="11" t="s">
        <v>21</v>
      </c>
    </row>
    <row r="46" spans="1:14" ht="31.2" x14ac:dyDescent="0.3">
      <c r="A46" s="12" t="s">
        <v>22</v>
      </c>
      <c r="B46" s="12" t="s">
        <v>23</v>
      </c>
      <c r="C46" s="12" t="s">
        <v>24</v>
      </c>
      <c r="D46" s="12" t="s">
        <v>25</v>
      </c>
      <c r="E46" s="12" t="s">
        <v>26</v>
      </c>
      <c r="F46" s="12" t="s">
        <v>27</v>
      </c>
      <c r="G46" s="12" t="s">
        <v>28</v>
      </c>
      <c r="H46" s="12" t="s">
        <v>29</v>
      </c>
      <c r="I46" s="12" t="s">
        <v>30</v>
      </c>
      <c r="J46" s="12" t="s">
        <v>31</v>
      </c>
      <c r="K46" s="12" t="s">
        <v>32</v>
      </c>
      <c r="L46" s="12" t="s">
        <v>33</v>
      </c>
      <c r="M46" s="12" t="s">
        <v>34</v>
      </c>
      <c r="N46" s="12" t="s">
        <v>35</v>
      </c>
    </row>
    <row r="47" spans="1:14" ht="15.6" x14ac:dyDescent="0.3">
      <c r="A47" s="6">
        <f>A37+1</f>
        <v>29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15.6" x14ac:dyDescent="0.3">
      <c r="A48" s="6">
        <f t="shared" ref="A48:A74" si="30">A47+1</f>
        <v>30</v>
      </c>
      <c r="B48" s="22" t="s">
        <v>40</v>
      </c>
      <c r="C48" s="23">
        <v>41597</v>
      </c>
      <c r="D48" s="23">
        <v>45260</v>
      </c>
      <c r="E48" s="24">
        <v>525000000</v>
      </c>
      <c r="F48" s="25">
        <v>0.99529999999999996</v>
      </c>
      <c r="G48" s="26">
        <f t="shared" ref="G48:G56" si="31">E48*F48</f>
        <v>522532500</v>
      </c>
      <c r="H48" s="27">
        <v>4.2500000000000003E-2</v>
      </c>
      <c r="I48" s="28">
        <f t="shared" ref="I48:I56" si="32">YIELD(C48,D48,H48,F48*100,100,2,0)</f>
        <v>4.3080413890097854E-2</v>
      </c>
      <c r="J48" s="29">
        <v>9.4023931428571436E-4</v>
      </c>
      <c r="K48" s="29">
        <v>0</v>
      </c>
      <c r="L48" s="27">
        <f t="shared" ref="L48:L56" si="33">ROUND(I48+J48+K48,4)</f>
        <v>4.3999999999999997E-2</v>
      </c>
      <c r="M48" s="24">
        <v>525000000</v>
      </c>
      <c r="N48" s="30">
        <f>M48*L48</f>
        <v>23100000</v>
      </c>
    </row>
    <row r="49" spans="1:14" ht="15.6" x14ac:dyDescent="0.3">
      <c r="A49" s="6"/>
      <c r="B49" s="31" t="s">
        <v>41</v>
      </c>
      <c r="C49" s="23">
        <v>44434</v>
      </c>
      <c r="D49" s="23">
        <v>45527</v>
      </c>
      <c r="E49" s="32">
        <v>600000000</v>
      </c>
      <c r="F49" s="25">
        <v>1</v>
      </c>
      <c r="G49" s="26">
        <f t="shared" si="31"/>
        <v>600000000</v>
      </c>
      <c r="H49" s="27">
        <v>1.0370000000000001E-2</v>
      </c>
      <c r="I49" s="28">
        <f>YIELD(C49,D49,H49,F49*100,100,2,0)</f>
        <v>1.0369925279348866E-2</v>
      </c>
      <c r="J49" s="29">
        <v>2.0481889100000001E-3</v>
      </c>
      <c r="K49" s="29">
        <v>0</v>
      </c>
      <c r="L49" s="27">
        <f>ROUND(I49+J49+K49,4)</f>
        <v>1.24E-2</v>
      </c>
      <c r="M49" s="32">
        <f t="shared" ref="M49" si="34">+E49</f>
        <v>600000000</v>
      </c>
      <c r="N49" s="30">
        <f>M49*L49</f>
        <v>7440000</v>
      </c>
    </row>
    <row r="50" spans="1:14" ht="15.6" x14ac:dyDescent="0.3">
      <c r="A50" s="6">
        <f>A48+1</f>
        <v>31</v>
      </c>
      <c r="B50" s="31" t="s">
        <v>42</v>
      </c>
      <c r="C50" s="23">
        <v>42382</v>
      </c>
      <c r="D50" s="23">
        <v>46037</v>
      </c>
      <c r="E50" s="32">
        <v>300000000</v>
      </c>
      <c r="F50" s="25">
        <v>0.99697000000000002</v>
      </c>
      <c r="G50" s="26">
        <f t="shared" si="31"/>
        <v>299091000</v>
      </c>
      <c r="H50" s="27">
        <v>3.95E-2</v>
      </c>
      <c r="I50" s="28">
        <f t="shared" si="32"/>
        <v>3.9869946878568249E-2</v>
      </c>
      <c r="J50" s="29">
        <v>9.5578199999999996E-4</v>
      </c>
      <c r="K50" s="29">
        <v>0</v>
      </c>
      <c r="L50" s="27">
        <f t="shared" si="33"/>
        <v>4.0800000000000003E-2</v>
      </c>
      <c r="M50" s="32">
        <v>300000000</v>
      </c>
      <c r="N50" s="30">
        <f t="shared" ref="N50:N56" si="35">M50*L50</f>
        <v>12240000</v>
      </c>
    </row>
    <row r="51" spans="1:14" ht="15.6" x14ac:dyDescent="0.3">
      <c r="A51" s="6"/>
      <c r="B51" s="31" t="s">
        <v>43</v>
      </c>
      <c r="C51" s="23">
        <v>42601</v>
      </c>
      <c r="D51" s="23">
        <v>46402</v>
      </c>
      <c r="E51" s="32">
        <v>400000000</v>
      </c>
      <c r="F51" s="25">
        <v>0.99948999999999999</v>
      </c>
      <c r="G51" s="26">
        <f>E51*F51</f>
        <v>399796000</v>
      </c>
      <c r="H51" s="27">
        <v>3.15E-2</v>
      </c>
      <c r="I51" s="28">
        <f>YIELD(C51,D51,H51,F51*100,100,2,0)</f>
        <v>3.155574065360886E-2</v>
      </c>
      <c r="J51" s="29">
        <v>7.8739633247484741E-3</v>
      </c>
      <c r="K51" s="29">
        <v>2.0300187E-3</v>
      </c>
      <c r="L51" s="27">
        <f>ROUND(I51+J51+K51,4)</f>
        <v>4.1500000000000002E-2</v>
      </c>
      <c r="M51" s="32">
        <v>400000000</v>
      </c>
      <c r="N51" s="33">
        <f>M51*L51</f>
        <v>16600000</v>
      </c>
    </row>
    <row r="52" spans="1:14" ht="15.6" x14ac:dyDescent="0.3">
      <c r="A52" s="6">
        <f>A50+1</f>
        <v>32</v>
      </c>
      <c r="B52" s="31" t="s">
        <v>44</v>
      </c>
      <c r="C52" s="23">
        <v>43741</v>
      </c>
      <c r="D52" s="23">
        <v>47406</v>
      </c>
      <c r="E52" s="32">
        <v>400000000</v>
      </c>
      <c r="F52" s="25">
        <v>0.99656</v>
      </c>
      <c r="G52" s="26">
        <f>E52*F52</f>
        <v>398624000</v>
      </c>
      <c r="H52" s="27">
        <v>3.0499999999999999E-2</v>
      </c>
      <c r="I52" s="28">
        <f>YIELD(C52,D52,H52,F52*100,100,2,0)</f>
        <v>3.0900518298005258E-2</v>
      </c>
      <c r="J52" s="29">
        <v>9.1077059999999997E-4</v>
      </c>
      <c r="K52" s="29">
        <v>1.5607200000000002E-5</v>
      </c>
      <c r="L52" s="27">
        <f>ROUND(I52+J52+K52,4)</f>
        <v>3.1800000000000002E-2</v>
      </c>
      <c r="M52" s="32">
        <v>400000000</v>
      </c>
      <c r="N52" s="33">
        <f>M52*L52</f>
        <v>12720000</v>
      </c>
    </row>
    <row r="53" spans="1:14" ht="15.6" x14ac:dyDescent="0.3">
      <c r="A53" s="6">
        <f t="shared" si="30"/>
        <v>33</v>
      </c>
      <c r="B53" s="31" t="s">
        <v>45</v>
      </c>
      <c r="C53" s="23">
        <v>43999</v>
      </c>
      <c r="D53" s="23">
        <v>47649</v>
      </c>
      <c r="E53" s="34">
        <v>400000000</v>
      </c>
      <c r="F53" s="35">
        <v>0.99658000000000002</v>
      </c>
      <c r="G53" s="36">
        <f>E53*F53</f>
        <v>398632000</v>
      </c>
      <c r="H53" s="37">
        <v>2.5000000000000001E-2</v>
      </c>
      <c r="I53" s="28">
        <f>YIELD(C53,D53,H53,F53*100,100,2,0)</f>
        <v>2.5389497768447077E-2</v>
      </c>
      <c r="J53" s="29">
        <v>9.3674936991737002E-4</v>
      </c>
      <c r="K53" s="29">
        <v>0</v>
      </c>
      <c r="L53" s="37">
        <f>ROUND(I53+J53+K53,4)</f>
        <v>2.63E-2</v>
      </c>
      <c r="M53" s="34">
        <v>400000000</v>
      </c>
      <c r="N53" s="33">
        <f>M53*L53</f>
        <v>10520000</v>
      </c>
    </row>
    <row r="54" spans="1:14" ht="15.6" x14ac:dyDescent="0.3">
      <c r="A54" s="6">
        <f t="shared" si="30"/>
        <v>34</v>
      </c>
      <c r="B54" s="31" t="s">
        <v>46</v>
      </c>
      <c r="C54" s="23">
        <v>43329</v>
      </c>
      <c r="D54" s="23">
        <v>48700</v>
      </c>
      <c r="E54" s="32">
        <v>400000000</v>
      </c>
      <c r="F54" s="25">
        <v>0.99543000000000004</v>
      </c>
      <c r="G54" s="26">
        <f t="shared" si="31"/>
        <v>398172000</v>
      </c>
      <c r="H54" s="27">
        <v>4.3499999999999997E-2</v>
      </c>
      <c r="I54" s="28">
        <f t="shared" si="32"/>
        <v>4.391981373724866E-2</v>
      </c>
      <c r="J54" s="29">
        <v>8.4427530000000001E-4</v>
      </c>
      <c r="K54" s="29">
        <v>3.6077929561768038E-4</v>
      </c>
      <c r="L54" s="27">
        <f t="shared" si="33"/>
        <v>4.5100000000000001E-2</v>
      </c>
      <c r="M54" s="32">
        <v>400000000</v>
      </c>
      <c r="N54" s="33">
        <f t="shared" si="35"/>
        <v>18040000</v>
      </c>
    </row>
    <row r="55" spans="1:14" ht="15.6" x14ac:dyDescent="0.3">
      <c r="A55" s="6">
        <f t="shared" si="30"/>
        <v>35</v>
      </c>
      <c r="B55" s="31" t="s">
        <v>47</v>
      </c>
      <c r="C55" s="23">
        <v>42601</v>
      </c>
      <c r="D55" s="23">
        <v>53585</v>
      </c>
      <c r="E55" s="32">
        <v>300000000</v>
      </c>
      <c r="F55" s="25">
        <v>0.99455000000000005</v>
      </c>
      <c r="G55" s="26">
        <f>E55*F55</f>
        <v>298365000</v>
      </c>
      <c r="H55" s="27">
        <v>4.2000000000000003E-2</v>
      </c>
      <c r="I55" s="28">
        <f>YIELD(C55,D55,H55,F55*100,100,2,0)</f>
        <v>4.232044430624305E-2</v>
      </c>
      <c r="J55" s="29">
        <v>3.7018941463470351E-4</v>
      </c>
      <c r="K55" s="29">
        <v>1.0321071999999998E-3</v>
      </c>
      <c r="L55" s="27">
        <f>ROUND(I55+J55+K55,4)</f>
        <v>4.3700000000000003E-2</v>
      </c>
      <c r="M55" s="32">
        <v>300000000</v>
      </c>
      <c r="N55" s="33">
        <f>M55*L55</f>
        <v>13110000</v>
      </c>
    </row>
    <row r="56" spans="1:14" ht="15.6" x14ac:dyDescent="0.3">
      <c r="A56" s="6">
        <f t="shared" si="30"/>
        <v>36</v>
      </c>
      <c r="B56" s="31" t="s">
        <v>48</v>
      </c>
      <c r="C56" s="23">
        <v>43741</v>
      </c>
      <c r="D56" s="23">
        <v>54711</v>
      </c>
      <c r="E56" s="34">
        <v>300000000</v>
      </c>
      <c r="F56" s="25">
        <v>0.99804999999999999</v>
      </c>
      <c r="G56" s="26">
        <f t="shared" si="31"/>
        <v>299415000</v>
      </c>
      <c r="H56" s="37">
        <v>3.875E-2</v>
      </c>
      <c r="I56" s="28">
        <f t="shared" si="32"/>
        <v>3.8859927047345075E-2</v>
      </c>
      <c r="J56" s="29">
        <v>3.7276113213616577E-4</v>
      </c>
      <c r="K56" s="29">
        <v>6.1855508037079955E-4</v>
      </c>
      <c r="L56" s="37">
        <f t="shared" si="33"/>
        <v>3.9899999999999998E-2</v>
      </c>
      <c r="M56" s="34">
        <v>300000000</v>
      </c>
      <c r="N56" s="33">
        <f t="shared" si="35"/>
        <v>11970000</v>
      </c>
    </row>
    <row r="57" spans="1:14" ht="15.6" x14ac:dyDescent="0.3">
      <c r="A57" s="6">
        <f t="shared" si="30"/>
        <v>37</v>
      </c>
      <c r="B57" s="31"/>
      <c r="C57" s="23"/>
      <c r="D57" s="23"/>
      <c r="E57" s="34"/>
      <c r="F57" s="35"/>
      <c r="G57" s="34"/>
      <c r="H57" s="38"/>
      <c r="I57" s="39"/>
      <c r="J57" s="29"/>
      <c r="K57" s="29"/>
      <c r="L57" s="37"/>
      <c r="M57" s="40"/>
      <c r="N57" s="41"/>
    </row>
    <row r="58" spans="1:14" ht="16.2" thickBot="1" x14ac:dyDescent="0.35">
      <c r="A58" s="6">
        <f t="shared" si="30"/>
        <v>38</v>
      </c>
      <c r="B58" s="42" t="s">
        <v>49</v>
      </c>
      <c r="C58" s="23"/>
      <c r="D58" s="23"/>
      <c r="E58" s="43">
        <f>ROUND(SUM(E48:E57),-1)</f>
        <v>3625000000</v>
      </c>
      <c r="F58" s="44"/>
      <c r="G58" s="45"/>
      <c r="H58" s="27"/>
      <c r="I58" s="28"/>
      <c r="J58" s="29"/>
      <c r="K58" s="29"/>
      <c r="L58" s="46">
        <f>ROUND(+N58/M58,4)</f>
        <v>3.4700000000000002E-2</v>
      </c>
      <c r="M58" s="47">
        <f>SUM(M48:M57)</f>
        <v>3625000000</v>
      </c>
      <c r="N58" s="47">
        <f>SUM(N48:N57)</f>
        <v>125740000</v>
      </c>
    </row>
    <row r="59" spans="1:14" ht="16.8" thickTop="1" thickBot="1" x14ac:dyDescent="0.35">
      <c r="A59" s="6">
        <f t="shared" si="30"/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ht="16.2" thickBot="1" x14ac:dyDescent="0.35">
      <c r="A60" s="6">
        <f t="shared" si="30"/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8"/>
      <c r="M60" s="48"/>
      <c r="N60" s="48"/>
    </row>
    <row r="61" spans="1:14" ht="15.6" x14ac:dyDescent="0.3">
      <c r="A61" s="6">
        <f t="shared" si="30"/>
        <v>41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ht="15.6" x14ac:dyDescent="0.3">
      <c r="A62" s="6">
        <f t="shared" si="30"/>
        <v>42</v>
      </c>
      <c r="B62" s="53" t="s">
        <v>51</v>
      </c>
      <c r="C62" s="54">
        <v>39406</v>
      </c>
      <c r="D62" s="54">
        <v>50364</v>
      </c>
      <c r="E62" s="55">
        <v>110000000</v>
      </c>
      <c r="F62" s="56">
        <v>1</v>
      </c>
      <c r="G62" s="57">
        <f t="shared" ref="G62:G64" si="36">E62*F62</f>
        <v>110000000</v>
      </c>
      <c r="H62" s="58">
        <f>ROUND(0.0667,4)</f>
        <v>6.6699999999999995E-2</v>
      </c>
      <c r="I62" s="59">
        <f t="shared" ref="I62:I64" si="37">YIELD(C62,D62,H62,F62*100,100,2,0)</f>
        <v>6.6699999999999995E-2</v>
      </c>
      <c r="J62" s="60">
        <v>1.5789981515151514E-3</v>
      </c>
      <c r="K62" s="60">
        <v>-7.1581808522727273E-4</v>
      </c>
      <c r="L62" s="58">
        <f>ROUND(I62+J62+K62,4)</f>
        <v>6.7599999999999993E-2</v>
      </c>
      <c r="M62" s="57">
        <f>+E62</f>
        <v>110000000</v>
      </c>
      <c r="N62" s="61">
        <f>M62*L62</f>
        <v>7435999.9999999991</v>
      </c>
    </row>
    <row r="63" spans="1:14" ht="15.6" x14ac:dyDescent="0.3">
      <c r="A63" s="6">
        <f t="shared" si="30"/>
        <v>43</v>
      </c>
      <c r="B63" s="53" t="s">
        <v>52</v>
      </c>
      <c r="C63" s="54">
        <v>40059</v>
      </c>
      <c r="D63" s="54">
        <v>46447</v>
      </c>
      <c r="E63" s="55">
        <v>10000000</v>
      </c>
      <c r="F63" s="56">
        <v>1</v>
      </c>
      <c r="G63" s="57">
        <f t="shared" si="36"/>
        <v>10000000</v>
      </c>
      <c r="H63" s="58">
        <v>3.6799999999999999E-2</v>
      </c>
      <c r="I63" s="59">
        <v>3.6799999999999999E-2</v>
      </c>
      <c r="J63" s="60">
        <v>1.3595488841269841E-2</v>
      </c>
      <c r="K63" s="60">
        <v>1.1724915877437329E-3</v>
      </c>
      <c r="L63" s="58">
        <f t="shared" ref="L63" si="38">ROUND(I63+J63+K63,4)</f>
        <v>5.16E-2</v>
      </c>
      <c r="M63" s="57">
        <f>+E63</f>
        <v>10000000</v>
      </c>
      <c r="N63" s="61">
        <f>M63*L63</f>
        <v>516000</v>
      </c>
    </row>
    <row r="64" spans="1:14" ht="15.6" x14ac:dyDescent="0.3">
      <c r="A64" s="6">
        <f t="shared" si="30"/>
        <v>44</v>
      </c>
      <c r="B64" s="53" t="s">
        <v>54</v>
      </c>
      <c r="C64" s="54">
        <v>41913</v>
      </c>
      <c r="D64" s="54">
        <v>52890</v>
      </c>
      <c r="E64" s="64">
        <v>75000000</v>
      </c>
      <c r="F64" s="65">
        <v>1</v>
      </c>
      <c r="G64" s="64">
        <f t="shared" si="36"/>
        <v>75000000</v>
      </c>
      <c r="H64" s="66">
        <f>ROUND(0.0453,4)</f>
        <v>4.53E-2</v>
      </c>
      <c r="I64" s="67">
        <f t="shared" si="37"/>
        <v>4.5298529282714994E-2</v>
      </c>
      <c r="J64" s="68">
        <v>2.9999999999999997E-4</v>
      </c>
      <c r="K64" s="68">
        <v>0</v>
      </c>
      <c r="L64" s="66">
        <f t="shared" ref="L64" si="39">ROUND(I64+J64,4)</f>
        <v>4.5600000000000002E-2</v>
      </c>
      <c r="M64" s="64">
        <f>+E64</f>
        <v>75000000</v>
      </c>
      <c r="N64" s="69">
        <f>M64*L64</f>
        <v>3420000</v>
      </c>
    </row>
    <row r="65" spans="1:14" ht="16.2" thickBot="1" x14ac:dyDescent="0.35">
      <c r="A65" s="6">
        <f t="shared" si="30"/>
        <v>45</v>
      </c>
      <c r="B65" s="71" t="s">
        <v>56</v>
      </c>
      <c r="C65" s="54"/>
      <c r="D65" s="54"/>
      <c r="E65" s="55">
        <f>SUM(E62:E64)</f>
        <v>195000000</v>
      </c>
      <c r="F65" s="56"/>
      <c r="G65" s="55">
        <f>SUM(G62:G64)</f>
        <v>195000000</v>
      </c>
      <c r="H65" s="58"/>
      <c r="I65" s="59"/>
      <c r="J65" s="60"/>
      <c r="K65" s="60"/>
      <c r="L65" s="72">
        <f>N65/M65</f>
        <v>5.8317948717948716E-2</v>
      </c>
      <c r="M65" s="73">
        <f>SUM(M62:M64)</f>
        <v>195000000</v>
      </c>
      <c r="N65" s="73">
        <f>SUM(N62:N64)</f>
        <v>11372000</v>
      </c>
    </row>
    <row r="66" spans="1:14" ht="16.8" thickTop="1" thickBot="1" x14ac:dyDescent="0.35">
      <c r="A66" s="6">
        <f t="shared" si="30"/>
        <v>46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5"/>
      <c r="M66" s="75"/>
      <c r="N66" s="75"/>
    </row>
    <row r="67" spans="1:14" ht="15.6" x14ac:dyDescent="0.3">
      <c r="A67" s="6">
        <f t="shared" si="30"/>
        <v>47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.6" x14ac:dyDescent="0.3">
      <c r="A68" s="6">
        <f t="shared" si="30"/>
        <v>48</v>
      </c>
      <c r="B68" s="53" t="s">
        <v>57</v>
      </c>
      <c r="C68" s="54">
        <v>41913</v>
      </c>
      <c r="D68" s="54">
        <v>52890</v>
      </c>
      <c r="E68" s="77">
        <v>85000000</v>
      </c>
      <c r="F68" s="78">
        <v>1</v>
      </c>
      <c r="G68" s="57">
        <f t="shared" ref="G68:G70" si="40">E68*F68</f>
        <v>85000000</v>
      </c>
      <c r="H68" s="79">
        <v>4.4299999999999999E-2</v>
      </c>
      <c r="I68" s="59">
        <f t="shared" ref="I68:I70" si="41">YIELD(C68,D68,H68,F68*100,100,2,0)</f>
        <v>4.4298609706961332E-2</v>
      </c>
      <c r="J68" s="60">
        <v>2.8110917647058823E-4</v>
      </c>
      <c r="K68" s="58" t="s">
        <v>58</v>
      </c>
      <c r="L68" s="58">
        <f>ROUND(I68+J68,4)</f>
        <v>4.4600000000000001E-2</v>
      </c>
      <c r="M68" s="57">
        <f>+E68</f>
        <v>85000000</v>
      </c>
      <c r="N68" s="80">
        <f>M68*L68</f>
        <v>3791000</v>
      </c>
    </row>
    <row r="69" spans="1:14" ht="15.6" x14ac:dyDescent="0.3">
      <c r="A69" s="6">
        <f t="shared" si="30"/>
        <v>49</v>
      </c>
      <c r="B69" s="53" t="s">
        <v>59</v>
      </c>
      <c r="C69" s="54">
        <v>37481</v>
      </c>
      <c r="D69" s="54">
        <v>48441</v>
      </c>
      <c r="E69" s="77">
        <v>75000000</v>
      </c>
      <c r="F69" s="78">
        <v>1</v>
      </c>
      <c r="G69" s="57">
        <f t="shared" si="40"/>
        <v>75000000</v>
      </c>
      <c r="H69" s="79">
        <v>7.2300000000000003E-2</v>
      </c>
      <c r="I69" s="59">
        <f t="shared" si="41"/>
        <v>7.2299418061953308E-2</v>
      </c>
      <c r="J69" s="60">
        <v>1.2988416E-3</v>
      </c>
      <c r="K69" s="58" t="s">
        <v>58</v>
      </c>
      <c r="L69" s="58">
        <f t="shared" ref="L69:L70" si="42">ROUND(I69+J69,4)</f>
        <v>7.3599999999999999E-2</v>
      </c>
      <c r="M69" s="57">
        <f>+E69</f>
        <v>75000000</v>
      </c>
      <c r="N69" s="61">
        <f>M69*L69</f>
        <v>5520000</v>
      </c>
    </row>
    <row r="70" spans="1:14" ht="15.6" x14ac:dyDescent="0.3">
      <c r="A70" s="6">
        <f t="shared" si="30"/>
        <v>50</v>
      </c>
      <c r="B70" s="53" t="s">
        <v>60</v>
      </c>
      <c r="C70" s="54">
        <v>40113</v>
      </c>
      <c r="D70" s="54">
        <v>51075</v>
      </c>
      <c r="E70" s="81">
        <v>180000000</v>
      </c>
      <c r="F70" s="82">
        <v>1</v>
      </c>
      <c r="G70" s="64">
        <f t="shared" si="40"/>
        <v>180000000</v>
      </c>
      <c r="H70" s="83">
        <v>6.1249999999999999E-2</v>
      </c>
      <c r="I70" s="67">
        <f t="shared" si="41"/>
        <v>6.1249261538018018E-2</v>
      </c>
      <c r="J70" s="68">
        <v>4.2175399999999999E-4</v>
      </c>
      <c r="K70" s="66" t="s">
        <v>58</v>
      </c>
      <c r="L70" s="66">
        <f t="shared" si="42"/>
        <v>6.1699999999999998E-2</v>
      </c>
      <c r="M70" s="64">
        <f>+E70</f>
        <v>180000000</v>
      </c>
      <c r="N70" s="69">
        <f>M70*L70</f>
        <v>11106000</v>
      </c>
    </row>
    <row r="71" spans="1:14" ht="16.2" thickBot="1" x14ac:dyDescent="0.35">
      <c r="A71" s="6">
        <f t="shared" si="30"/>
        <v>51</v>
      </c>
      <c r="B71" s="71" t="s">
        <v>61</v>
      </c>
      <c r="C71" s="54"/>
      <c r="D71" s="54"/>
      <c r="E71" s="55">
        <f>SUM(E68:E70)</f>
        <v>340000000</v>
      </c>
      <c r="F71" s="56"/>
      <c r="G71" s="55">
        <f>SUM(G68:G70)</f>
        <v>340000000</v>
      </c>
      <c r="H71" s="58"/>
      <c r="I71" s="59"/>
      <c r="J71" s="60"/>
      <c r="K71" s="60"/>
      <c r="L71" s="72">
        <f>N71/M71</f>
        <v>6.0049999999999999E-2</v>
      </c>
      <c r="M71" s="73">
        <f>SUM(M68:M70)</f>
        <v>340000000</v>
      </c>
      <c r="N71" s="73">
        <f>SUM(N68:N70)</f>
        <v>20417000</v>
      </c>
    </row>
    <row r="72" spans="1:14" ht="16.8" thickTop="1" thickBot="1" x14ac:dyDescent="0.35">
      <c r="A72" s="6">
        <f t="shared" si="30"/>
        <v>52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5"/>
      <c r="M72" s="75"/>
      <c r="N72" s="75"/>
    </row>
    <row r="73" spans="1:14" ht="15.6" x14ac:dyDescent="0.3">
      <c r="A73" s="6">
        <f t="shared" si="30"/>
        <v>53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</row>
    <row r="74" spans="1:14" ht="16.2" thickBot="1" x14ac:dyDescent="0.35">
      <c r="A74" s="6">
        <f t="shared" si="30"/>
        <v>54</v>
      </c>
      <c r="B74" s="53" t="s">
        <v>62</v>
      </c>
      <c r="C74" s="84"/>
      <c r="D74" s="84"/>
      <c r="E74" s="84"/>
      <c r="F74" s="84"/>
      <c r="G74" s="84"/>
      <c r="H74" s="84"/>
      <c r="I74" s="84"/>
      <c r="J74" s="84"/>
      <c r="K74" s="84"/>
      <c r="L74" s="72">
        <f>N74/M74</f>
        <v>3.786754807692308E-2</v>
      </c>
      <c r="M74" s="73">
        <f>+M58+M65+M71</f>
        <v>4160000000</v>
      </c>
      <c r="N74" s="73">
        <f>+N58+N65+N71</f>
        <v>157529000</v>
      </c>
    </row>
    <row r="75" spans="1:14" ht="16.2" thickTop="1" x14ac:dyDescent="0.3">
      <c r="A75" s="6"/>
      <c r="M75" s="6" t="s">
        <v>6</v>
      </c>
    </row>
    <row r="76" spans="1:14" ht="15.6" x14ac:dyDescent="0.3">
      <c r="A76" s="6" t="s">
        <v>53</v>
      </c>
    </row>
    <row r="77" spans="1:14" ht="18.600000000000001" x14ac:dyDescent="0.3">
      <c r="A77" s="6" t="s">
        <v>6</v>
      </c>
      <c r="B77" s="85" t="s">
        <v>63</v>
      </c>
    </row>
    <row r="78" spans="1:14" ht="15.6" x14ac:dyDescent="0.3">
      <c r="A78" s="6"/>
      <c r="B78" s="50"/>
    </row>
  </sheetData>
  <mergeCells count="2">
    <mergeCell ref="P7:U8"/>
    <mergeCell ref="Q27:U29"/>
  </mergeCells>
  <conditionalFormatting sqref="B9:D34 B46:D71">
    <cfRule type="uniqueValues" dxfId="0" priority="1"/>
  </conditionalFormatting>
  <pageMargins left="0.7" right="0.7" top="0.75" bottom="0.75" header="0.2" footer="0.3"/>
  <pageSetup orientation="portrait" verticalDpi="1200" r:id="rId1"/>
  <headerFooter>
    <oddHeader>&amp;C&amp;"Times New Roman,Regular"&amp;KFF0000CUI//PRIV&amp;K01+000
FOR SETTLEMENT PURPOSES ONLY 
SUBJECT TO RULES 602 AND 606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Long Term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2023-09-22T19:10:13Z</dcterms:created>
  <dcterms:modified xsi:type="dcterms:W3CDTF">2023-09-22T19:10:47Z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