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3 CUS Filing (2024 rate)\Files to OASIS\"/>
    </mc:Choice>
  </mc:AlternateContent>
  <xr:revisionPtr revIDLastSave="0" documentId="13_ncr:1_{B4F0D4FE-96A1-4DCD-A46A-A59DB76172B7}" xr6:coauthVersionLast="47" xr6:coauthVersionMax="47" xr10:uidLastSave="{00000000-0000-0000-0000-000000000000}"/>
  <bookViews>
    <workbookView xWindow="-120" yWindow="-120" windowWidth="29040" windowHeight="15720" tabRatio="926" xr2:uid="{CE7513F4-AB71-4C1A-8027-7D556BEBB2BC}"/>
  </bookViews>
  <sheets>
    <sheet name="Cost of Service References" sheetId="13" r:id="rId1"/>
    <sheet name="BHP WP1 A&amp;G" sheetId="1" r:id="rId2"/>
    <sheet name="BHP WP4 Transmission Assets" sheetId="2" r:id="rId3"/>
    <sheet name="BHP WP8 Adj to Rate Base" sheetId="9" r:id="rId4"/>
    <sheet name="BHP WP9 Accum Depr" sheetId="6" r:id="rId5"/>
    <sheet name="BHP WP10 Plant in Service" sheetId="10" r:id="rId6"/>
    <sheet name="BHP WP11 Property Tax Expense" sheetId="11" r:id="rId7"/>
    <sheet name="BHP WP12 ADIT" sheetId="12" r:id="rId8"/>
    <sheet name="BHP WP13 Accumulated Reserve " sheetId="14" r:id="rId9"/>
  </sheets>
  <definedNames>
    <definedName name="_xlnm.Print_Area" localSheetId="1">'BHP WP1 A&amp;G'!$A$1:$D$36</definedName>
    <definedName name="_xlnm.Print_Area" localSheetId="5">'BHP WP10 Plant in Service'!$A$1:$K$28</definedName>
    <definedName name="_xlnm.Print_Area" localSheetId="2">'BHP WP4 Transmission Assets'!$A$1:$G$51</definedName>
    <definedName name="_xlnm.Print_Area" localSheetId="4">'BHP WP9 Accum Depr'!$A$1:$I$28</definedName>
    <definedName name="_xlnm.Print_Area" localSheetId="0">'Cost of Service References'!$A$1:$F$193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1" i="14" l="1"/>
  <c r="O41" i="14"/>
  <c r="N41" i="14"/>
  <c r="J41" i="14"/>
  <c r="S41" i="14" s="1"/>
  <c r="I41" i="14"/>
  <c r="R41" i="14" s="1"/>
  <c r="H41" i="14"/>
  <c r="Q41" i="14" s="1"/>
  <c r="S40" i="14"/>
  <c r="R40" i="14"/>
  <c r="P40" i="14"/>
  <c r="O40" i="14"/>
  <c r="N40" i="14"/>
  <c r="Q40" i="14" s="1"/>
  <c r="J40" i="14"/>
  <c r="I40" i="14"/>
  <c r="H40" i="14"/>
  <c r="S39" i="14"/>
  <c r="P39" i="14"/>
  <c r="O39" i="14"/>
  <c r="N39" i="14"/>
  <c r="J39" i="14"/>
  <c r="I39" i="14"/>
  <c r="R39" i="14" s="1"/>
  <c r="H39" i="14"/>
  <c r="Q39" i="14" s="1"/>
  <c r="Q38" i="14"/>
  <c r="P38" i="14"/>
  <c r="O38" i="14"/>
  <c r="N38" i="14"/>
  <c r="J38" i="14"/>
  <c r="S38" i="14" s="1"/>
  <c r="I38" i="14"/>
  <c r="R38" i="14" s="1"/>
  <c r="H38" i="14"/>
  <c r="R37" i="14"/>
  <c r="Q37" i="14"/>
  <c r="P37" i="14"/>
  <c r="S37" i="14" s="1"/>
  <c r="O37" i="14"/>
  <c r="N37" i="14"/>
  <c r="J37" i="14"/>
  <c r="I37" i="14"/>
  <c r="H37" i="14"/>
  <c r="P36" i="14"/>
  <c r="O36" i="14"/>
  <c r="N36" i="14"/>
  <c r="J36" i="14"/>
  <c r="S36" i="14" s="1"/>
  <c r="I36" i="14"/>
  <c r="R36" i="14" s="1"/>
  <c r="H36" i="14"/>
  <c r="Q36" i="14" s="1"/>
  <c r="S35" i="14"/>
  <c r="P35" i="14"/>
  <c r="O35" i="14"/>
  <c r="R35" i="14" s="1"/>
  <c r="N35" i="14"/>
  <c r="Q35" i="14" s="1"/>
  <c r="J35" i="14"/>
  <c r="I35" i="14"/>
  <c r="H35" i="14"/>
  <c r="P34" i="14"/>
  <c r="O34" i="14"/>
  <c r="N34" i="14"/>
  <c r="J34" i="14"/>
  <c r="S34" i="14" s="1"/>
  <c r="I34" i="14"/>
  <c r="R34" i="14" s="1"/>
  <c r="H34" i="14"/>
  <c r="Q34" i="14" s="1"/>
  <c r="R33" i="14"/>
  <c r="Q33" i="14"/>
  <c r="P33" i="14"/>
  <c r="O33" i="14"/>
  <c r="N33" i="14"/>
  <c r="J33" i="14"/>
  <c r="S33" i="14" s="1"/>
  <c r="I33" i="14"/>
  <c r="H33" i="14"/>
  <c r="S32" i="14"/>
  <c r="R32" i="14"/>
  <c r="P32" i="14"/>
  <c r="O32" i="14"/>
  <c r="N32" i="14"/>
  <c r="J32" i="14"/>
  <c r="I32" i="14"/>
  <c r="H32" i="14"/>
  <c r="Q32" i="14" s="1"/>
  <c r="P31" i="14"/>
  <c r="O31" i="14"/>
  <c r="N31" i="14"/>
  <c r="J31" i="14"/>
  <c r="S31" i="14" s="1"/>
  <c r="I31" i="14"/>
  <c r="R31" i="14" s="1"/>
  <c r="H31" i="14"/>
  <c r="Q31" i="14" s="1"/>
  <c r="Q30" i="14"/>
  <c r="P30" i="14"/>
  <c r="S30" i="14" s="1"/>
  <c r="O30" i="14"/>
  <c r="R30" i="14" s="1"/>
  <c r="N30" i="14"/>
  <c r="J30" i="14"/>
  <c r="I30" i="14"/>
  <c r="H30" i="14"/>
  <c r="P29" i="14"/>
  <c r="O29" i="14"/>
  <c r="N29" i="14"/>
  <c r="J29" i="14"/>
  <c r="S29" i="14" s="1"/>
  <c r="I29" i="14"/>
  <c r="R29" i="14" s="1"/>
  <c r="H29" i="14"/>
  <c r="Q29" i="14" s="1"/>
  <c r="S28" i="14"/>
  <c r="R28" i="14"/>
  <c r="P28" i="14"/>
  <c r="O28" i="14"/>
  <c r="N28" i="14"/>
  <c r="Q28" i="14" s="1"/>
  <c r="J28" i="14"/>
  <c r="I28" i="14"/>
  <c r="H28" i="14"/>
  <c r="S27" i="14"/>
  <c r="P27" i="14"/>
  <c r="O27" i="14"/>
  <c r="N27" i="14"/>
  <c r="J27" i="14"/>
  <c r="I27" i="14"/>
  <c r="R27" i="14" s="1"/>
  <c r="H27" i="14"/>
  <c r="Q27" i="14" s="1"/>
  <c r="Q26" i="14"/>
  <c r="P26" i="14"/>
  <c r="O26" i="14"/>
  <c r="N26" i="14"/>
  <c r="J26" i="14"/>
  <c r="S26" i="14" s="1"/>
  <c r="I26" i="14"/>
  <c r="R26" i="14" s="1"/>
  <c r="H26" i="14"/>
  <c r="R25" i="14"/>
  <c r="Q25" i="14"/>
  <c r="P25" i="14"/>
  <c r="S25" i="14" s="1"/>
  <c r="O25" i="14"/>
  <c r="N25" i="14"/>
  <c r="J25" i="14"/>
  <c r="I25" i="14"/>
  <c r="H25" i="14"/>
  <c r="P24" i="14"/>
  <c r="O24" i="14"/>
  <c r="N24" i="14"/>
  <c r="J24" i="14"/>
  <c r="S24" i="14" s="1"/>
  <c r="I24" i="14"/>
  <c r="R24" i="14" s="1"/>
  <c r="H24" i="14"/>
  <c r="Q24" i="14" s="1"/>
  <c r="S23" i="14"/>
  <c r="P23" i="14"/>
  <c r="O23" i="14"/>
  <c r="R23" i="14" s="1"/>
  <c r="N23" i="14"/>
  <c r="Q23" i="14" s="1"/>
  <c r="J23" i="14"/>
  <c r="I23" i="14"/>
  <c r="H23" i="14"/>
  <c r="P22" i="14"/>
  <c r="O22" i="14"/>
  <c r="N22" i="14"/>
  <c r="J22" i="14"/>
  <c r="S22" i="14" s="1"/>
  <c r="I22" i="14"/>
  <c r="R22" i="14" s="1"/>
  <c r="H22" i="14"/>
  <c r="Q22" i="14" s="1"/>
  <c r="R21" i="14"/>
  <c r="Q21" i="14"/>
  <c r="P21" i="14"/>
  <c r="O21" i="14"/>
  <c r="N21" i="14"/>
  <c r="J21" i="14"/>
  <c r="S21" i="14" s="1"/>
  <c r="I21" i="14"/>
  <c r="H21" i="14"/>
  <c r="S20" i="14"/>
  <c r="R20" i="14"/>
  <c r="P20" i="14"/>
  <c r="O20" i="14"/>
  <c r="N20" i="14"/>
  <c r="J20" i="14"/>
  <c r="I20" i="14"/>
  <c r="H20" i="14"/>
  <c r="Q20" i="14" s="1"/>
  <c r="P19" i="14"/>
  <c r="O19" i="14"/>
  <c r="N19" i="14"/>
  <c r="J19" i="14"/>
  <c r="S19" i="14" s="1"/>
  <c r="I19" i="14"/>
  <c r="R19" i="14" s="1"/>
  <c r="H19" i="14"/>
  <c r="Q19" i="14" s="1"/>
  <c r="Q18" i="14"/>
  <c r="P18" i="14"/>
  <c r="S18" i="14" s="1"/>
  <c r="O18" i="14"/>
  <c r="R18" i="14" s="1"/>
  <c r="N18" i="14"/>
  <c r="J18" i="14"/>
  <c r="I18" i="14"/>
  <c r="H18" i="14"/>
  <c r="AH17" i="14"/>
  <c r="AI17" i="14" s="1"/>
  <c r="AG17" i="14"/>
  <c r="P17" i="14"/>
  <c r="O17" i="14"/>
  <c r="N17" i="14"/>
  <c r="J17" i="14"/>
  <c r="S17" i="14" s="1"/>
  <c r="I17" i="14"/>
  <c r="R17" i="14" s="1"/>
  <c r="H17" i="14"/>
  <c r="Q17" i="14" s="1"/>
  <c r="AH16" i="14"/>
  <c r="AI16" i="14" s="1"/>
  <c r="AG16" i="14"/>
  <c r="S16" i="14"/>
  <c r="R16" i="14"/>
  <c r="P16" i="14"/>
  <c r="O16" i="14"/>
  <c r="N16" i="14"/>
  <c r="Q16" i="14" s="1"/>
  <c r="J16" i="14"/>
  <c r="I16" i="14"/>
  <c r="H16" i="14"/>
  <c r="AH15" i="14"/>
  <c r="AI15" i="14" s="1"/>
  <c r="AG15" i="14"/>
  <c r="S15" i="14"/>
  <c r="P15" i="14"/>
  <c r="O15" i="14"/>
  <c r="N15" i="14"/>
  <c r="J15" i="14"/>
  <c r="I15" i="14"/>
  <c r="R15" i="14" s="1"/>
  <c r="H15" i="14"/>
  <c r="Q15" i="14" s="1"/>
  <c r="AI14" i="14"/>
  <c r="AH14" i="14"/>
  <c r="AG14" i="14"/>
  <c r="Q14" i="14"/>
  <c r="P14" i="14"/>
  <c r="O14" i="14"/>
  <c r="N14" i="14"/>
  <c r="J14" i="14"/>
  <c r="S14" i="14" s="1"/>
  <c r="I14" i="14"/>
  <c r="R14" i="14" s="1"/>
  <c r="H14" i="14"/>
  <c r="AH13" i="14"/>
  <c r="AI13" i="14" s="1"/>
  <c r="AG13" i="14"/>
  <c r="R13" i="14"/>
  <c r="Q13" i="14"/>
  <c r="P13" i="14"/>
  <c r="S13" i="14" s="1"/>
  <c r="O13" i="14"/>
  <c r="N13" i="14"/>
  <c r="J13" i="14"/>
  <c r="I13" i="14"/>
  <c r="H13" i="14"/>
  <c r="AI12" i="14"/>
  <c r="AH12" i="14"/>
  <c r="AG12" i="14"/>
  <c r="P12" i="14"/>
  <c r="O12" i="14"/>
  <c r="N12" i="14"/>
  <c r="J12" i="14"/>
  <c r="S12" i="14" s="1"/>
  <c r="I12" i="14"/>
  <c r="R12" i="14" s="1"/>
  <c r="H12" i="14"/>
  <c r="Q12" i="14" s="1"/>
  <c r="AI11" i="14"/>
  <c r="AH11" i="14"/>
  <c r="AG11" i="14"/>
  <c r="S11" i="14"/>
  <c r="P11" i="14"/>
  <c r="O11" i="14"/>
  <c r="R11" i="14" s="1"/>
  <c r="N11" i="14"/>
  <c r="Q11" i="14" s="1"/>
  <c r="J11" i="14"/>
  <c r="I11" i="14"/>
  <c r="H11" i="14"/>
  <c r="AH10" i="14"/>
  <c r="AI10" i="14" s="1"/>
  <c r="AG10" i="14"/>
  <c r="P10" i="14"/>
  <c r="O10" i="14"/>
  <c r="N10" i="14"/>
  <c r="J10" i="14"/>
  <c r="S10" i="14" s="1"/>
  <c r="I10" i="14"/>
  <c r="R10" i="14" s="1"/>
  <c r="H10" i="14"/>
  <c r="Q10" i="14" s="1"/>
  <c r="AH9" i="14"/>
  <c r="AI9" i="14" s="1"/>
  <c r="AG9" i="14"/>
  <c r="R9" i="14"/>
  <c r="Q9" i="14"/>
  <c r="P9" i="14"/>
  <c r="O9" i="14"/>
  <c r="N9" i="14"/>
  <c r="J9" i="14"/>
  <c r="S9" i="14" s="1"/>
  <c r="I9" i="14"/>
  <c r="H9" i="14"/>
  <c r="AH8" i="14"/>
  <c r="AG8" i="14"/>
  <c r="AI8" i="14" s="1"/>
  <c r="Y8" i="14"/>
  <c r="Y9" i="14" s="1"/>
  <c r="Y10" i="14" s="1"/>
  <c r="Y11" i="14" s="1"/>
  <c r="Y12" i="14" s="1"/>
  <c r="Y13" i="14" s="1"/>
  <c r="Y14" i="14" s="1"/>
  <c r="Y15" i="14" s="1"/>
  <c r="Y16" i="14" s="1"/>
  <c r="Y17" i="14" s="1"/>
  <c r="Y18" i="14" s="1"/>
  <c r="Y19" i="14" s="1"/>
  <c r="Y20" i="14" s="1"/>
  <c r="Y21" i="14" s="1"/>
  <c r="Y22" i="14" s="1"/>
  <c r="Y23" i="14" s="1"/>
  <c r="Y24" i="14" s="1"/>
  <c r="Y25" i="14" s="1"/>
  <c r="Y26" i="14" s="1"/>
  <c r="Y27" i="14" s="1"/>
  <c r="Y28" i="14" s="1"/>
  <c r="Y29" i="14" s="1"/>
  <c r="Y30" i="14" s="1"/>
  <c r="Y31" i="14" s="1"/>
  <c r="Y32" i="14" s="1"/>
  <c r="Y33" i="14" s="1"/>
  <c r="Y34" i="14" s="1"/>
  <c r="Y35" i="14" s="1"/>
  <c r="Y36" i="14" s="1"/>
  <c r="Y37" i="14" s="1"/>
  <c r="Y38" i="14" s="1"/>
  <c r="Y39" i="14" s="1"/>
  <c r="Y40" i="14" s="1"/>
  <c r="Y41" i="14" s="1"/>
  <c r="S8" i="14"/>
  <c r="R8" i="14"/>
  <c r="P8" i="14"/>
  <c r="O8" i="14"/>
  <c r="N8" i="14"/>
  <c r="J8" i="14"/>
  <c r="I8" i="14"/>
  <c r="H8" i="14"/>
  <c r="Q8" i="14" s="1"/>
  <c r="AI7" i="14"/>
  <c r="AH7" i="14"/>
  <c r="AG7" i="14"/>
  <c r="Y7" i="14"/>
  <c r="P7" i="14"/>
  <c r="O7" i="14"/>
  <c r="N7" i="14"/>
  <c r="J7" i="14"/>
  <c r="S7" i="14" s="1"/>
  <c r="I7" i="14"/>
  <c r="R7" i="14" s="1"/>
  <c r="H7" i="14"/>
  <c r="Q7" i="14" s="1"/>
  <c r="AI6" i="14"/>
  <c r="AH6" i="14"/>
  <c r="AG6" i="14"/>
  <c r="Y6" i="14"/>
  <c r="T6" i="14"/>
  <c r="T7" i="14" s="1"/>
  <c r="Q6" i="14"/>
  <c r="P6" i="14"/>
  <c r="S6" i="14" s="1"/>
  <c r="V6" i="14" s="1"/>
  <c r="O6" i="14"/>
  <c r="R6" i="14" s="1"/>
  <c r="U6" i="14" s="1"/>
  <c r="N6" i="14"/>
  <c r="J6" i="14"/>
  <c r="I6" i="14"/>
  <c r="H6" i="14"/>
  <c r="AH5" i="14"/>
  <c r="AI5" i="14" s="1"/>
  <c r="AG5" i="14"/>
  <c r="Q5" i="14"/>
  <c r="P5" i="14"/>
  <c r="S5" i="14" s="1"/>
  <c r="O5" i="14"/>
  <c r="R5" i="14" s="1"/>
  <c r="N5" i="14"/>
  <c r="J5" i="14"/>
  <c r="I5" i="14"/>
  <c r="H5" i="14"/>
  <c r="T8" i="14" l="1"/>
  <c r="U7" i="14"/>
  <c r="U8" i="14" s="1"/>
  <c r="U9" i="14" s="1"/>
  <c r="U10" i="14" s="1"/>
  <c r="U11" i="14" s="1"/>
  <c r="U12" i="14" s="1"/>
  <c r="U13" i="14" s="1"/>
  <c r="U14" i="14" s="1"/>
  <c r="U15" i="14" s="1"/>
  <c r="U16" i="14" s="1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U40" i="14" s="1"/>
  <c r="U41" i="14" s="1"/>
  <c r="V7" i="14"/>
  <c r="V8" i="14" s="1"/>
  <c r="V9" i="14" s="1"/>
  <c r="V10" i="14" s="1"/>
  <c r="V11" i="14" s="1"/>
  <c r="V12" i="14" s="1"/>
  <c r="V13" i="14" s="1"/>
  <c r="V14" i="14" s="1"/>
  <c r="V15" i="14" s="1"/>
  <c r="V16" i="14" s="1"/>
  <c r="V17" i="14" s="1"/>
  <c r="V18" i="14" s="1"/>
  <c r="V19" i="14" s="1"/>
  <c r="V20" i="14" s="1"/>
  <c r="V21" i="14" s="1"/>
  <c r="V22" i="14" s="1"/>
  <c r="V23" i="14" s="1"/>
  <c r="V24" i="14" s="1"/>
  <c r="V25" i="14" s="1"/>
  <c r="V26" i="14" s="1"/>
  <c r="V27" i="14" s="1"/>
  <c r="V28" i="14" s="1"/>
  <c r="V29" i="14" s="1"/>
  <c r="V30" i="14" s="1"/>
  <c r="V31" i="14" s="1"/>
  <c r="V32" i="14" s="1"/>
  <c r="V33" i="14" s="1"/>
  <c r="V34" i="14" s="1"/>
  <c r="V35" i="14" s="1"/>
  <c r="V36" i="14" s="1"/>
  <c r="V37" i="14" s="1"/>
  <c r="V38" i="14" s="1"/>
  <c r="V39" i="14" s="1"/>
  <c r="V40" i="14" s="1"/>
  <c r="V41" i="14" s="1"/>
  <c r="X6" i="14"/>
  <c r="X7" i="14" l="1"/>
  <c r="T9" i="14"/>
  <c r="X8" i="14"/>
  <c r="T10" i="14" l="1"/>
  <c r="X9" i="14"/>
  <c r="X10" i="14" l="1"/>
  <c r="T11" i="14"/>
  <c r="T12" i="14" l="1"/>
  <c r="X11" i="14"/>
  <c r="T13" i="14" l="1"/>
  <c r="X12" i="14"/>
  <c r="X13" i="14" l="1"/>
  <c r="T14" i="14"/>
  <c r="T15" i="14" l="1"/>
  <c r="X14" i="14"/>
  <c r="X15" i="14" l="1"/>
  <c r="T16" i="14"/>
  <c r="T17" i="14" l="1"/>
  <c r="X16" i="14"/>
  <c r="T18" i="14" l="1"/>
  <c r="X17" i="14"/>
  <c r="T19" i="14" l="1"/>
  <c r="X18" i="14"/>
  <c r="AD18" i="14" s="1"/>
  <c r="AH18" i="14" s="1"/>
  <c r="AI18" i="14" s="1"/>
  <c r="X19" i="14" l="1"/>
  <c r="AD19" i="14" s="1"/>
  <c r="AH19" i="14" s="1"/>
  <c r="AI19" i="14" s="1"/>
  <c r="T20" i="14"/>
  <c r="T21" i="14" l="1"/>
  <c r="X20" i="14"/>
  <c r="AD20" i="14" s="1"/>
  <c r="AH20" i="14" s="1"/>
  <c r="AI20" i="14" s="1"/>
  <c r="T22" i="14" l="1"/>
  <c r="X21" i="14"/>
  <c r="AD21" i="14" s="1"/>
  <c r="AH21" i="14" s="1"/>
  <c r="AI21" i="14" s="1"/>
  <c r="X22" i="14" l="1"/>
  <c r="AD22" i="14" s="1"/>
  <c r="AH22" i="14" s="1"/>
  <c r="AI22" i="14" s="1"/>
  <c r="T23" i="14"/>
  <c r="T24" i="14" l="1"/>
  <c r="X23" i="14"/>
  <c r="AD23" i="14" s="1"/>
  <c r="AH23" i="14" s="1"/>
  <c r="AI23" i="14" s="1"/>
  <c r="T25" i="14" l="1"/>
  <c r="X24" i="14"/>
  <c r="AD24" i="14" s="1"/>
  <c r="AH24" i="14" s="1"/>
  <c r="AI24" i="14" s="1"/>
  <c r="T26" i="14" l="1"/>
  <c r="X25" i="14"/>
  <c r="AD25" i="14" s="1"/>
  <c r="AH25" i="14" s="1"/>
  <c r="AI25" i="14" s="1"/>
  <c r="T27" i="14" l="1"/>
  <c r="X26" i="14"/>
  <c r="AD26" i="14" s="1"/>
  <c r="AH26" i="14" s="1"/>
  <c r="AI26" i="14" s="1"/>
  <c r="X27" i="14" l="1"/>
  <c r="AD27" i="14" s="1"/>
  <c r="AH27" i="14" s="1"/>
  <c r="AI27" i="14" s="1"/>
  <c r="T28" i="14"/>
  <c r="T29" i="14" l="1"/>
  <c r="X28" i="14"/>
  <c r="AD28" i="14" s="1"/>
  <c r="AH28" i="14" s="1"/>
  <c r="AI28" i="14" s="1"/>
  <c r="T30" i="14" l="1"/>
  <c r="X29" i="14"/>
  <c r="AD29" i="14" s="1"/>
  <c r="AH29" i="14" s="1"/>
  <c r="AI29" i="14" s="1"/>
  <c r="T31" i="14" l="1"/>
  <c r="X30" i="14"/>
  <c r="AD30" i="14" s="1"/>
  <c r="AH30" i="14" s="1"/>
  <c r="AI30" i="14" s="1"/>
  <c r="T32" i="14" l="1"/>
  <c r="X31" i="14"/>
  <c r="AD31" i="14" s="1"/>
  <c r="AH31" i="14" s="1"/>
  <c r="AI31" i="14" s="1"/>
  <c r="X32" i="14" l="1"/>
  <c r="AD32" i="14" s="1"/>
  <c r="AH32" i="14" s="1"/>
  <c r="AI32" i="14" s="1"/>
  <c r="T33" i="14"/>
  <c r="T34" i="14" l="1"/>
  <c r="X33" i="14"/>
  <c r="AD33" i="14" s="1"/>
  <c r="AH33" i="14" s="1"/>
  <c r="AI33" i="14" s="1"/>
  <c r="T35" i="14" l="1"/>
  <c r="X34" i="14"/>
  <c r="AD34" i="14" s="1"/>
  <c r="AH34" i="14" s="1"/>
  <c r="AI34" i="14" s="1"/>
  <c r="T36" i="14" l="1"/>
  <c r="X35" i="14"/>
  <c r="AD35" i="14" s="1"/>
  <c r="AH35" i="14" s="1"/>
  <c r="AI35" i="14" s="1"/>
  <c r="T37" i="14" l="1"/>
  <c r="X36" i="14"/>
  <c r="AD36" i="14" s="1"/>
  <c r="AH36" i="14" s="1"/>
  <c r="AI36" i="14" s="1"/>
  <c r="T38" i="14" l="1"/>
  <c r="X37" i="14"/>
  <c r="AD37" i="14" s="1"/>
  <c r="AH37" i="14" s="1"/>
  <c r="AI37" i="14" s="1"/>
  <c r="T39" i="14" l="1"/>
  <c r="X38" i="14"/>
  <c r="AD38" i="14" s="1"/>
  <c r="AH38" i="14" s="1"/>
  <c r="AI38" i="14" s="1"/>
  <c r="X39" i="14" l="1"/>
  <c r="AD39" i="14" s="1"/>
  <c r="AH39" i="14" s="1"/>
  <c r="AI39" i="14" s="1"/>
  <c r="T40" i="14"/>
  <c r="T41" i="14" l="1"/>
  <c r="X41" i="14" s="1"/>
  <c r="AD41" i="14" s="1"/>
  <c r="AH41" i="14" s="1"/>
  <c r="X40" i="14"/>
  <c r="AD40" i="14" s="1"/>
  <c r="AH40" i="14" s="1"/>
  <c r="AI40" i="14" s="1"/>
  <c r="AI41" i="14" l="1"/>
  <c r="AJ41" i="14" s="1"/>
  <c r="G42" i="2" l="1"/>
  <c r="M11" i="6" l="1"/>
  <c r="A13" i="13" l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D14" i="13"/>
  <c r="D26" i="13"/>
  <c r="C37" i="13"/>
  <c r="D87" i="13"/>
  <c r="A124" i="13"/>
  <c r="A125" i="13"/>
  <c r="A126" i="13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H23" i="12" l="1"/>
  <c r="A23" i="12"/>
  <c r="A24" i="12" s="1"/>
  <c r="A25" i="12" s="1"/>
  <c r="G15" i="12"/>
  <c r="F15" i="12"/>
  <c r="H14" i="12"/>
  <c r="M12" i="6" l="1"/>
  <c r="M13" i="6"/>
  <c r="M14" i="6"/>
  <c r="M15" i="6"/>
  <c r="M16" i="6"/>
  <c r="M17" i="6"/>
  <c r="M18" i="6"/>
  <c r="M19" i="6"/>
  <c r="M20" i="6"/>
  <c r="M21" i="6"/>
  <c r="M22" i="6"/>
  <c r="M23" i="6"/>
  <c r="K24" i="6"/>
  <c r="G45" i="2"/>
  <c r="M24" i="6" l="1"/>
  <c r="F26" i="9"/>
  <c r="F25" i="9"/>
  <c r="F24" i="9"/>
  <c r="F23" i="9"/>
  <c r="F22" i="9"/>
  <c r="F21" i="9"/>
  <c r="F20" i="9"/>
  <c r="F19" i="9"/>
  <c r="F18" i="9"/>
  <c r="F17" i="9"/>
  <c r="F16" i="9"/>
  <c r="F15" i="9"/>
  <c r="E16" i="9"/>
  <c r="E15" i="9"/>
  <c r="I24" i="6" l="1"/>
  <c r="G24" i="6"/>
  <c r="E24" i="6"/>
  <c r="K11" i="10" l="1"/>
  <c r="H24" i="12"/>
  <c r="H22" i="12"/>
  <c r="G21" i="12"/>
  <c r="G25" i="12" s="1"/>
  <c r="F21" i="12"/>
  <c r="F25" i="12" s="1"/>
  <c r="H19" i="12"/>
  <c r="H13" i="12"/>
  <c r="H11" i="12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G16" i="11"/>
  <c r="A11" i="11"/>
  <c r="A12" i="11" s="1"/>
  <c r="A13" i="11" s="1"/>
  <c r="A14" i="11" s="1"/>
  <c r="A15" i="11" s="1"/>
  <c r="A16" i="11" s="1"/>
  <c r="I24" i="10"/>
  <c r="G24" i="10"/>
  <c r="E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H15" i="12" l="1"/>
  <c r="K24" i="10"/>
  <c r="H21" i="12"/>
  <c r="H25" i="12" s="1"/>
  <c r="E17" i="9"/>
  <c r="G33" i="9" l="1"/>
  <c r="G36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D30" i="1" l="1"/>
  <c r="D22" i="1"/>
  <c r="D24" i="1" s="1"/>
  <c r="D13" i="1"/>
  <c r="F114" i="2"/>
  <c r="F115" i="2" s="1"/>
  <c r="E42" i="2"/>
  <c r="E31" i="2"/>
  <c r="G20" i="2"/>
  <c r="E16" i="2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12" i="6"/>
  <c r="G25" i="2" l="1"/>
  <c r="E45" i="2"/>
  <c r="E20" i="2"/>
  <c r="E18" i="9"/>
  <c r="G33" i="2" l="1"/>
  <c r="E25" i="2"/>
  <c r="E19" i="9"/>
  <c r="H117" i="1"/>
  <c r="H118" i="1" s="1"/>
  <c r="G37" i="2" l="1"/>
  <c r="G47" i="2"/>
  <c r="E33" i="2"/>
  <c r="E20" i="9"/>
  <c r="E37" i="2" l="1"/>
  <c r="E47" i="2"/>
  <c r="E21" i="9"/>
  <c r="E22" i="9" l="1"/>
  <c r="E23" i="9" l="1"/>
  <c r="E24" i="9" l="1"/>
  <c r="E25" i="9" l="1"/>
  <c r="E26" i="9" l="1"/>
  <c r="G38" i="9" l="1"/>
  <c r="D13" i="9" l="1"/>
  <c r="G13" i="9" s="1"/>
  <c r="D15" i="9" l="1"/>
  <c r="G15" i="9" s="1"/>
  <c r="D16" i="9" l="1"/>
  <c r="G16" i="9" s="1"/>
  <c r="D17" i="9" l="1"/>
  <c r="G17" i="9" s="1"/>
  <c r="D18" i="9" l="1"/>
  <c r="G18" i="9" s="1"/>
  <c r="D19" i="9" l="1"/>
  <c r="G19" i="9" s="1"/>
  <c r="D20" i="9" l="1"/>
  <c r="G20" i="9" s="1"/>
  <c r="D21" i="9" l="1"/>
  <c r="G21" i="9" s="1"/>
  <c r="D22" i="9" l="1"/>
  <c r="G22" i="9" s="1"/>
  <c r="D23" i="9" l="1"/>
  <c r="G23" i="9" s="1"/>
  <c r="D24" i="9" l="1"/>
  <c r="G24" i="9" s="1"/>
  <c r="D26" i="9" l="1"/>
  <c r="G26" i="9" s="1"/>
  <c r="D25" i="9"/>
  <c r="G25" i="9" s="1"/>
  <c r="G27" i="9" l="1"/>
</calcChain>
</file>

<file path=xl/sharedStrings.xml><?xml version="1.0" encoding="utf-8"?>
<sst xmlns="http://schemas.openxmlformats.org/spreadsheetml/2006/main" count="636" uniqueCount="412">
  <si>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</si>
  <si>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</si>
  <si>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</si>
  <si>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</si>
  <si>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</si>
  <si>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</si>
  <si>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</si>
  <si>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</si>
  <si>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</si>
  <si>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</si>
  <si>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</si>
  <si>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</si>
  <si>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</si>
  <si>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</si>
  <si>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</si>
  <si>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</si>
  <si>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</si>
  <si>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</si>
  <si>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</si>
  <si>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</si>
  <si>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</si>
  <si>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</si>
  <si>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</si>
  <si>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</si>
  <si>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</si>
  <si>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</si>
  <si>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</si>
  <si>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</si>
  <si>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</si>
  <si>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</si>
  <si>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</si>
  <si>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</si>
  <si>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</si>
  <si>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</si>
  <si>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</si>
  <si>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</si>
  <si>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</si>
  <si>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</si>
  <si>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</si>
  <si>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</si>
  <si>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</si>
  <si>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</si>
  <si>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</si>
  <si>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</si>
  <si>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</si>
  <si>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</si>
  <si>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</si>
  <si>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</si>
  <si>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</si>
  <si>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</si>
  <si>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</si>
  <si>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</si>
  <si>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</si>
  <si>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</si>
  <si>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</si>
  <si>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</si>
  <si>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</si>
  <si>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</si>
  <si>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</si>
  <si>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</si>
  <si>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</si>
  <si>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</si>
  <si>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</si>
  <si>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</si>
  <si>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Form 1 Reference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</si>
  <si>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</si>
  <si>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</si>
  <si>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</si>
  <si>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</si>
  <si>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</si>
  <si>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</si>
  <si>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</si>
  <si>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</si>
  <si>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</si>
  <si>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 xml:space="preserve">  Transmission</t>
  </si>
  <si>
    <t>207.58.g</t>
  </si>
  <si>
    <t xml:space="preserve">  Distribution</t>
  </si>
  <si>
    <t>207.75.g</t>
  </si>
  <si>
    <t xml:space="preserve">  General &amp; Intangible</t>
  </si>
  <si>
    <t xml:space="preserve">  Allocated Plant</t>
  </si>
  <si>
    <t xml:space="preserve">  Communication System</t>
  </si>
  <si>
    <t xml:space="preserve">  Common</t>
  </si>
  <si>
    <t>356.1</t>
  </si>
  <si>
    <t>TOTAL GROSS PLANT</t>
  </si>
  <si>
    <t>ACCUMULATED DEPRECIATION</t>
  </si>
  <si>
    <t>219.20-24.c</t>
  </si>
  <si>
    <t>219.25.c</t>
  </si>
  <si>
    <t>219.26.c</t>
  </si>
  <si>
    <t xml:space="preserve">TOTAL ACCUM. DEPRECIATION </t>
  </si>
  <si>
    <t xml:space="preserve"> </t>
  </si>
  <si>
    <t>NET PLANT IN SERVICE</t>
  </si>
  <si>
    <t xml:space="preserve">  Distribution </t>
  </si>
  <si>
    <t xml:space="preserve">TOTAL NET PLANT </t>
  </si>
  <si>
    <t xml:space="preserve">ADJUSTMENTS TO RATE BASE      </t>
  </si>
  <si>
    <t xml:space="preserve">  Account No. 281 (enter negative)</t>
  </si>
  <si>
    <t>273.8.k</t>
  </si>
  <si>
    <t xml:space="preserve">  Account No. 282 (enter negative)</t>
  </si>
  <si>
    <t>275.2.k</t>
  </si>
  <si>
    <t xml:space="preserve">  Account No. 283 (enter negative)</t>
  </si>
  <si>
    <t>277.9.k</t>
  </si>
  <si>
    <t xml:space="preserve">  Account No. 190 </t>
  </si>
  <si>
    <t>234.8.c</t>
  </si>
  <si>
    <t xml:space="preserve">  Account No. 255 (enter negative)</t>
  </si>
  <si>
    <t>267.8.h</t>
  </si>
  <si>
    <t xml:space="preserve">  FAS 109 Adjustment</t>
  </si>
  <si>
    <t>(232.1.f - 278.1.f - 278.3.f)*.35</t>
  </si>
  <si>
    <t>TOTAL ADJUSTMENTS</t>
  </si>
  <si>
    <t xml:space="preserve">LAND HELD FOR FUTURE USE </t>
  </si>
  <si>
    <t>214.x.d  (Notes B &amp; H)</t>
  </si>
  <si>
    <t>WORKING CAPITAL  (Notes C &amp; H)</t>
  </si>
  <si>
    <t xml:space="preserve">  CWC  </t>
  </si>
  <si>
    <t xml:space="preserve">  Materials &amp; Supplies</t>
  </si>
  <si>
    <t>227.5.c</t>
  </si>
  <si>
    <t>227.8.c</t>
  </si>
  <si>
    <t xml:space="preserve">  Prepayments (Account 165)</t>
  </si>
  <si>
    <t xml:space="preserve">TOTAL WORKING CAPITAL </t>
  </si>
  <si>
    <t xml:space="preserve">TRANSMISSION RATE BASE 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</si>
  <si>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</si>
  <si>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</si>
  <si>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</si>
  <si>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</si>
  <si>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</si>
  <si>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>321.85-92.b &amp; 96.b</t>
  </si>
  <si>
    <t xml:space="preserve">  A&amp;G</t>
  </si>
  <si>
    <t>323.194.b</t>
  </si>
  <si>
    <t xml:space="preserve">    Less FERC Annual Fees  (Note D)</t>
  </si>
  <si>
    <t>350.1.b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</si>
  <si>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</si>
  <si>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</si>
  <si>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</si>
  <si>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</si>
  <si>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 xml:space="preserve">    Less: EPRI &amp; Reg. Comm. Exp. &amp; Non-safety  Ad. (Note E)</t>
  </si>
  <si>
    <t xml:space="preserve">    Plus Transmission Related Reg. Comm.  Exp. (Note E)</t>
  </si>
  <si>
    <t>DEPRECIATION EXPENSE  (Note I)</t>
  </si>
  <si>
    <t>336.7.b</t>
  </si>
  <si>
    <t xml:space="preserve">  General &amp; intangible</t>
  </si>
  <si>
    <t>336.10.b &amp; 336.1.d&amp;e</t>
  </si>
  <si>
    <t>336.11.b</t>
  </si>
  <si>
    <t>TAXES OTHER THAN INCOME TAXES  (Note F)</t>
  </si>
  <si>
    <t xml:space="preserve">  LABOR RELATED</t>
  </si>
  <si>
    <t xml:space="preserve">          Payroll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</si>
  <si>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</si>
  <si>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</si>
  <si>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</si>
  <si>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</si>
  <si>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</si>
  <si>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 xml:space="preserve">         Gross Receipts</t>
  </si>
  <si>
    <t xml:space="preserve">         Other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</si>
  <si>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</si>
  <si>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</si>
  <si>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</si>
  <si>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</si>
  <si>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and FIT, SIT &amp; p are as given in footnote G.</t>
  </si>
  <si>
    <t>Total Income Taxes</t>
  </si>
  <si>
    <t xml:space="preserve">RETURN </t>
  </si>
  <si>
    <t>SUPPORTING CALCULATIONS AND NOTES</t>
  </si>
  <si>
    <t>TRANSMISSION PLANT INCLUDED IN JOINT TARIFF RATES</t>
  </si>
  <si>
    <t xml:space="preserve">Total transmission plant </t>
  </si>
  <si>
    <t xml:space="preserve">Less transmission plant excluded from Common Use Facilities </t>
  </si>
  <si>
    <t xml:space="preserve">Less transmission plant included in Ancillary Services </t>
  </si>
  <si>
    <t>See note 1 below</t>
  </si>
  <si>
    <t>DISTRIBUTION PLANT INCLUDED IN JOINT TARIFF RATES</t>
  </si>
  <si>
    <t xml:space="preserve">Total distribution plant    </t>
  </si>
  <si>
    <t xml:space="preserve">Less distribution plant excluded from Common Use Facilities </t>
  </si>
  <si>
    <t xml:space="preserve">Less distribution plant included in Ancillary Services </t>
  </si>
  <si>
    <t>Total Transmission Accumulated Depreciation</t>
  </si>
  <si>
    <t>Total Distribution Accumulated Depreciation</t>
  </si>
  <si>
    <t>Less distribution accumulated depreciation excluded from Common Use Facilities (Company Records)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</si>
  <si>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</si>
  <si>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</si>
  <si>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</si>
  <si>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</si>
  <si>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</si>
  <si>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</si>
  <si>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>TRANSMISSION &amp; DISTRIBUTION ALLOCATOR (T&amp;D)</t>
  </si>
  <si>
    <t>Transmission Net Plant</t>
  </si>
  <si>
    <t>Distribution Net Plant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</si>
  <si>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</si>
  <si>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</si>
  <si>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</si>
  <si>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</si>
  <si>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</si>
  <si>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</si>
  <si>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</si>
  <si>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</si>
  <si>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</si>
  <si>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</si>
  <si>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</si>
  <si>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</si>
  <si>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</si>
  <si>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</si>
  <si>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</si>
  <si>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Long Term Debt</t>
  </si>
  <si>
    <t xml:space="preserve">112.24.c </t>
  </si>
  <si>
    <t xml:space="preserve">  Preferred Stock </t>
  </si>
  <si>
    <t xml:space="preserve">  Adjusted Common Stock</t>
  </si>
  <si>
    <t>NOTES:</t>
  </si>
  <si>
    <t>1 - There are no transmission and distribution plant included in the OATT ancillary services rates which needs to be removed from Common Use Facilities.</t>
  </si>
  <si>
    <t>3 - Items in the Updated Reference column highlighted in gray did not change from the Tariff and As Filed column.</t>
  </si>
  <si>
    <t>Cost of Service Formula Reference Changes</t>
  </si>
  <si>
    <t>2 - Communication System - Plant Accounts 397</t>
  </si>
  <si>
    <t>1 - General Plant Electric - Plant Accounts 389,390,391,392,393,394</t>
  </si>
  <si>
    <t>13 month average</t>
  </si>
  <si>
    <t>Account No. 180</t>
  </si>
  <si>
    <t>Intangible Plant</t>
  </si>
  <si>
    <t>System</t>
  </si>
  <si>
    <t>Electric</t>
  </si>
  <si>
    <t>Date</t>
  </si>
  <si>
    <t xml:space="preserve">Total General and  </t>
  </si>
  <si>
    <t>Communication</t>
  </si>
  <si>
    <t xml:space="preserve">General Plant  </t>
  </si>
  <si>
    <t>(b) + (c)</t>
  </si>
  <si>
    <r>
      <t>(c)</t>
    </r>
    <r>
      <rPr>
        <sz val="12"/>
        <rFont val="Calibri"/>
        <family val="2"/>
      </rPr>
      <t>₂</t>
    </r>
  </si>
  <si>
    <r>
      <t>(b)</t>
    </r>
    <r>
      <rPr>
        <sz val="12"/>
        <rFont val="Calibri"/>
        <family val="2"/>
      </rPr>
      <t>₁</t>
    </r>
  </si>
  <si>
    <t>General Plant Accumulated Depreciation by Plant Account</t>
  </si>
  <si>
    <t>WORKPAPER 9</t>
  </si>
  <si>
    <t>321.84-92.b &amp; 96.b</t>
  </si>
  <si>
    <t>263.3i, 263.4i, 263.12i</t>
  </si>
  <si>
    <r>
      <t>(e)</t>
    </r>
    <r>
      <rPr>
        <vertAlign val="subscript"/>
        <sz val="10"/>
        <rFont val="Arial"/>
        <family val="2"/>
      </rPr>
      <t>4</t>
    </r>
  </si>
  <si>
    <r>
      <t>(d)</t>
    </r>
    <r>
      <rPr>
        <vertAlign val="subscript"/>
        <sz val="10"/>
        <rFont val="Arial"/>
        <family val="2"/>
      </rPr>
      <t>3</t>
    </r>
  </si>
  <si>
    <t>Horizon Point</t>
  </si>
  <si>
    <t>3 - Horizon Point Building - From Company Records</t>
  </si>
  <si>
    <t>4 - Total General Intangible Plant - FERC Form 1 219.28c</t>
  </si>
  <si>
    <t>WORKPAPER 8</t>
  </si>
  <si>
    <t>Accumulated Deferred Income Taxes</t>
  </si>
  <si>
    <t>(c)</t>
  </si>
  <si>
    <t>(d)</t>
  </si>
  <si>
    <t>(e)</t>
  </si>
  <si>
    <t>(f)</t>
  </si>
  <si>
    <t>Transmission</t>
  </si>
  <si>
    <t>Remaining</t>
  </si>
  <si>
    <t>(c ) * (e )</t>
  </si>
  <si>
    <t xml:space="preserve">Year </t>
  </si>
  <si>
    <t xml:space="preserve">Activity </t>
  </si>
  <si>
    <t>Activity</t>
  </si>
  <si>
    <t>Days</t>
  </si>
  <si>
    <t>Ratio</t>
  </si>
  <si>
    <t xml:space="preserve">Pro-rata ADIT Activity </t>
  </si>
  <si>
    <t>Account No. 282</t>
  </si>
  <si>
    <t>Balance</t>
  </si>
  <si>
    <t>Total Transmission Acct 282 (to be entered on ATRR, line 37 column (5))</t>
  </si>
  <si>
    <t>Account No. 190</t>
  </si>
  <si>
    <t>Total Acct 190</t>
  </si>
  <si>
    <t>Estimated Service Year ATRR, line 39, column (4)</t>
  </si>
  <si>
    <t>Total Transmission Acct 190 (to be entered on ATRR, line 39 column (5))</t>
  </si>
  <si>
    <t>1 - Line 1 represents the beginning balance of transmission portion of Account 282. It is total company Account 282 balance on Schedule BHP-11, line 32 column (b) times Net Plant allocator on Estimated Service Year ATRR, line 37 column (4).</t>
  </si>
  <si>
    <t>2 - Column (b) is current month change in ADIT balance.</t>
  </si>
  <si>
    <t>3 - Column (c) is transmission portion of current monthly activity.</t>
  </si>
  <si>
    <t>4 - Column (d) is number of days remaining in year as of and including the last day of the month.</t>
  </si>
  <si>
    <t>Tab: Estimate Cell E51 * H51</t>
  </si>
  <si>
    <t>Tab: Estimate Cell H29 is the additonal transmission activity depr allocator</t>
  </si>
  <si>
    <t>6 - Line 21 represents the beginning balance of Account 190 from WP 6, line 34 column (b).</t>
  </si>
  <si>
    <t>WORKPAPER 10</t>
  </si>
  <si>
    <t>General Plant Plant In Service by Plant Account</t>
  </si>
  <si>
    <t>WORKPAPER 11</t>
  </si>
  <si>
    <t>Property Tax Adjustment for Horizon Point</t>
  </si>
  <si>
    <t>( c)</t>
  </si>
  <si>
    <t>Reference</t>
  </si>
  <si>
    <t>Amount</t>
  </si>
  <si>
    <t>Accrued Utility SD</t>
  </si>
  <si>
    <t>Property Tax Expense Total</t>
  </si>
  <si>
    <t>Less: Horizon Point Op Unit 801117 (enter negative)</t>
  </si>
  <si>
    <t>Property Tax Expense less Horizon Point</t>
  </si>
  <si>
    <t>Sum Lines 1 to 5</t>
  </si>
  <si>
    <t>WORKPAPER 12</t>
  </si>
  <si>
    <t>ADIT Adjustment for Horizon Point</t>
  </si>
  <si>
    <t>Beginning Balance</t>
  </si>
  <si>
    <t>Ending Balance</t>
  </si>
  <si>
    <t>Average Balance</t>
  </si>
  <si>
    <t>Account No. 282 (enter negative)</t>
  </si>
  <si>
    <t>113.63.c</t>
  </si>
  <si>
    <t xml:space="preserve">  Less:</t>
  </si>
  <si>
    <t>Net Account No. 282</t>
  </si>
  <si>
    <t>Line 1 - Line 3</t>
  </si>
  <si>
    <t>AFUDC FAS 109</t>
  </si>
  <si>
    <t>232.1.f</t>
  </si>
  <si>
    <t>Tax Rate</t>
  </si>
  <si>
    <t>278.2.b,f</t>
  </si>
  <si>
    <t>Line 11 + Line 12 - Line 13</t>
  </si>
  <si>
    <t>lines 25, 26 &amp; 27</t>
  </si>
  <si>
    <t>line 28</t>
  </si>
  <si>
    <t>112.24.c</t>
  </si>
  <si>
    <t>5 - Column (e ) is Column (d) divided by 366 days (366 days if leap year).</t>
  </si>
  <si>
    <t xml:space="preserve">Adjusted to reflect 366 leap year days </t>
  </si>
  <si>
    <t>323.189.b - 350.1.h</t>
  </si>
  <si>
    <t>changed E15 from 366 to 365, and E16 to -28 from -29</t>
  </si>
  <si>
    <t>changed column F formulas from 366 to 365</t>
  </si>
  <si>
    <t>Depreciation</t>
  </si>
  <si>
    <t>Adjustment</t>
  </si>
  <si>
    <t>(b) + (c) + (d) - (e)</t>
  </si>
  <si>
    <r>
      <t>(f)</t>
    </r>
    <r>
      <rPr>
        <vertAlign val="subscript"/>
        <sz val="10"/>
        <rFont val="Arial"/>
        <family val="2"/>
      </rPr>
      <t>5</t>
    </r>
  </si>
  <si>
    <t>SC Calc</t>
  </si>
  <si>
    <t>Depreciation Expense Correction</t>
  </si>
  <si>
    <t>5 - Account 254015, which records Excess Deferred Federal Income Tax,  resulting from the change in corporate tax rate from 35% to 21%, is included in the FAS 109.</t>
  </si>
  <si>
    <t xml:space="preserve">4 - Horizon Point is removed from General &amp; Intangible Gross Plant in Service and Accumulated Depreciation. </t>
  </si>
  <si>
    <t>2 - Line 57 column (4) allocator reference should be DA, as the FERC annual charges for the year are assessed directly under this tariff.</t>
  </si>
  <si>
    <t>Total  (sum lines 156-158)</t>
  </si>
  <si>
    <t>(see above line 153)</t>
  </si>
  <si>
    <t>(sum lines 149-152)</t>
  </si>
  <si>
    <t xml:space="preserve">  Total  (sum lines 139 - 140)</t>
  </si>
  <si>
    <t xml:space="preserve">  Adjusted Total  (sum lines 134-135)</t>
  </si>
  <si>
    <t>Percentage of distribution plant accumulated depreciation included in Common Use Facilities (line 127 divided by line 125)</t>
  </si>
  <si>
    <t>Supplemental Schedule, Workpaper 4, line 32(b)</t>
  </si>
  <si>
    <t>Common Use AC Facilities (line 125 less line 126)</t>
  </si>
  <si>
    <t>Supplemental Schedule, Workpaper 4, line 35(b)</t>
  </si>
  <si>
    <t>Percentage of transmission plant accumulated depreciation included in Common Use Facilities (line 119 divided by line 120)</t>
  </si>
  <si>
    <t>Total CUS Accumulated Depreciation (line 115 plus line 118)</t>
  </si>
  <si>
    <t>Total Accumulated Depreciation for the CUS System (line 117 plus line 118)</t>
  </si>
  <si>
    <t>Plus Common Use AC Facilities Accumulated Depreciation (line 127)</t>
  </si>
  <si>
    <t>Total Transmission Accumulated Depreciation included in Common Use Facilities (line 115 - line 113)</t>
  </si>
  <si>
    <t>Supplemental Schedule, Workpaper 4, line 27(b)</t>
  </si>
  <si>
    <t>Column (3) lines 14 - 15</t>
  </si>
  <si>
    <t>Percentage of distribution plant included in Common Use Facilities (line 107 divided by line 110)</t>
  </si>
  <si>
    <t>Supplemental Schedule, Workpaper 4, line 32(a)</t>
  </si>
  <si>
    <t>Common Use AC Facilities (line 107 less lines 108 &amp; 109)</t>
  </si>
  <si>
    <t>Supplemental Schedule, Workpaper 4, line 35(a)</t>
  </si>
  <si>
    <t>Column (3) line 5</t>
  </si>
  <si>
    <t>Percentage of transmission plant included in Common Use Facilities (line 101 divided by line 102)</t>
  </si>
  <si>
    <t>Total CUS Plant (line 96 plus line 110)</t>
  </si>
  <si>
    <t>Total Gross Plant for the CUS System (line 99 plus line 100)</t>
  </si>
  <si>
    <t>Plus Common Use AC Facilities (line 110)</t>
  </si>
  <si>
    <t>Transmission plant included in Common Use Facilities  (line 96 less lines 97 and 98)</t>
  </si>
  <si>
    <t>Supplemental Schedule, Workpaper 4, line 27(a)</t>
  </si>
  <si>
    <t>Column (3) lines 2 - 4</t>
  </si>
  <si>
    <t>ESTIMATED REVENUE REQUIREMENT  (sum lines 63, 71, 81, 90, 93)</t>
  </si>
  <si>
    <t xml:space="preserve">  [ Rate Base (line 53) * R (line 159)]</t>
  </si>
  <si>
    <t>(line 86 * line 93)</t>
  </si>
  <si>
    <t xml:space="preserve">       where WCLTD=(line 156) and R= (line 159)</t>
  </si>
  <si>
    <t>TOTAL OTHER TAXES  (sum lines 75 - 80)</t>
  </si>
  <si>
    <t>TOTAL DEPRECIATION (Sum lines 66 - 70)</t>
  </si>
  <si>
    <t>(line 4 + line 6) x (BHP-11 Pg.8. Workpaper 5 (line 25))</t>
  </si>
  <si>
    <t>BHP-11 Pg.7. Workpaper 3 (line 23)</t>
  </si>
  <si>
    <t>See Workpaper 3 (line 16)</t>
  </si>
  <si>
    <t xml:space="preserve">  New Construction CUS Assets</t>
  </si>
  <si>
    <t>BHP-11 Pg. 6. Workpaper 2 (line 17)</t>
  </si>
  <si>
    <t>line 2 (207.58.g) x BHP-11 Pg. 8. Workpaper 5 (line 11)</t>
  </si>
  <si>
    <t>TOTAL O&amp;M   (sum lines 54, 56, 58, 61, 62 less lines 55, 57, 59 , 60)</t>
  </si>
  <si>
    <t>Supplemental Schedule, Workpaper 1, line 16</t>
  </si>
  <si>
    <t>(Workpaper 1 line 11)</t>
  </si>
  <si>
    <t>Supplemental Schedule, Workpaper 1, line 5</t>
  </si>
  <si>
    <t>Supplemental Schedule, Workpaper 1, line 22</t>
  </si>
  <si>
    <t>350.1.b, W/S Allocator, see note 2 below</t>
  </si>
  <si>
    <t>(sum lines 33, 42, 44, &amp; 51)</t>
  </si>
  <si>
    <t>(sum lines 47 - 50)</t>
  </si>
  <si>
    <t>111.57.c</t>
  </si>
  <si>
    <t>(1/8 * line 63)</t>
  </si>
  <si>
    <t>214.x.d  (Notes B)</t>
  </si>
  <si>
    <t>(sum lines 36 - 41)</t>
  </si>
  <si>
    <t>(232.1.f - 278.3.f)*.21 (See Note 5 Below)</t>
  </si>
  <si>
    <t>113.57 c</t>
  </si>
  <si>
    <t>111.82 c, Supplemental Schedule, Workpaper 8, line 28(f)</t>
  </si>
  <si>
    <t>113.64 c</t>
  </si>
  <si>
    <t>113.63.c, Supplemental Schedule, Workpaper 8, line 17(f)</t>
  </si>
  <si>
    <t>113.62 c</t>
  </si>
  <si>
    <t>(Note A)</t>
  </si>
  <si>
    <t>(sum lines 24 - 32)</t>
  </si>
  <si>
    <t>(line 9 - line 20)</t>
  </si>
  <si>
    <t>(line 8 - line 19)</t>
  </si>
  <si>
    <t>(line 7 - line 18)</t>
  </si>
  <si>
    <t>(line 6 - line 17)</t>
  </si>
  <si>
    <t>(line 5 - line 16)</t>
  </si>
  <si>
    <t>(line 4)</t>
  </si>
  <si>
    <t>(line 3 - line 15)</t>
  </si>
  <si>
    <t>(line 2 - line 14)</t>
  </si>
  <si>
    <t>(line 1 - line 13)</t>
  </si>
  <si>
    <t>(sum lines 13 - 20)</t>
  </si>
  <si>
    <t>See Workpaper 4 (line 22 col 2)</t>
  </si>
  <si>
    <t>See Workpaper 5 (line 11)</t>
  </si>
  <si>
    <t>See Workpaper 4 (line 24 col 1)</t>
  </si>
  <si>
    <t>BHP-11 Pg.6. Workpaper 2 (line 52)</t>
  </si>
  <si>
    <t xml:space="preserve">  Additional Transmission Depr</t>
  </si>
  <si>
    <t>(sum lines 1 - 9)</t>
  </si>
  <si>
    <t>207.94g</t>
  </si>
  <si>
    <t>See Workpaper 5 (line 5)</t>
  </si>
  <si>
    <t>See Workpaper 4 (line 5 col 1)</t>
  </si>
  <si>
    <t>See Workpaper 3 (line 19 col D)</t>
  </si>
  <si>
    <t>BHP-11 Pg. 6. Workpaper 2 (line 15)</t>
  </si>
  <si>
    <t>BHP-11 Pg. 7. Workpaper 3 (line 19 col D)</t>
  </si>
  <si>
    <t>BHP-11 Pg. 9. Workpaper 6 (line 4, col m) (207.99.g - 207.94.g) (See Note 4 Below)</t>
  </si>
  <si>
    <t>BHP-11 Pg. 9. Workpaper 6 (line 5, col m) (201.13.e + 201.13.f)</t>
  </si>
  <si>
    <t>Supplemental Schedule, Workpaper 9 (line 13, col b) (See Note 4 Below)</t>
  </si>
  <si>
    <t>BHP-11 Pg. 9. Workpaper 6 (line 15, col m) (201.14.e + 201.14.f)</t>
  </si>
  <si>
    <t>Supplemental Schedule, Workpaper 9 (line 13, col c)</t>
  </si>
  <si>
    <t>263.19i</t>
  </si>
  <si>
    <t>Supplemental Schedule, Workpaper 11, line 6</t>
  </si>
  <si>
    <t>263.1l, 263.2l, 263.6l</t>
  </si>
  <si>
    <t>263.l</t>
  </si>
  <si>
    <t>Transmission Assets as of 12/31/2022</t>
  </si>
  <si>
    <t>Cell G11: 2023 projection file, Estimate tab, model line 37 cell E51 * H51  (Cell H51 there is cell G37 on this tab.)</t>
  </si>
  <si>
    <t>Plant in Service Balance</t>
  </si>
  <si>
    <t>Depr Rate (FERC)</t>
  </si>
  <si>
    <t>Depr Expense (FERC)</t>
  </si>
  <si>
    <t>Depr Rate (Book)</t>
  </si>
  <si>
    <t>Depr Expense (Book)</t>
  </si>
  <si>
    <t>Variance</t>
  </si>
  <si>
    <t>Accumulated Depreciation Variance</t>
  </si>
  <si>
    <t>Allocators</t>
  </si>
  <si>
    <t>Month</t>
  </si>
  <si>
    <t>FIT Rate</t>
  </si>
  <si>
    <t>ADIT Impact</t>
  </si>
  <si>
    <t>EDFIT Impact</t>
  </si>
  <si>
    <t>W/S</t>
  </si>
  <si>
    <t>T&amp;D</t>
  </si>
  <si>
    <t>TPA</t>
  </si>
  <si>
    <t>NP</t>
  </si>
  <si>
    <t>Total Rate Base Impact</t>
  </si>
  <si>
    <t>Return on Rate Base</t>
  </si>
  <si>
    <t>Weighted LT Debt</t>
  </si>
  <si>
    <t>Tax Factor</t>
  </si>
  <si>
    <t>Return</t>
  </si>
  <si>
    <t>Taxes</t>
  </si>
  <si>
    <t>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</si>
</sst>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%"/>
    <numFmt numFmtId="186" formatCode="#,##0.0000"/>
    <numFmt numFmtId="187" formatCode="[$-409]mmm\-yy;@"/>
    <numFmt numFmtId="188" formatCode="0.000000"/>
    <numFmt numFmtId="189" formatCode="_(* #,##0.00000_);_(* \(#,##0.00000\);_(* &quot;-&quot;??_);_(@_)"/>
  </numFmts>
  <fonts count="84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 MT"/>
    </font>
    <font>
      <sz val="12"/>
      <name val="Calibri"/>
      <family val="2"/>
    </font>
    <font>
      <vertAlign val="subscript"/>
      <sz val="10"/>
      <name val="Arial"/>
      <family val="2"/>
    </font>
    <font>
      <u/>
      <sz val="12"/>
      <color theme="10"/>
      <name val="Arial MT"/>
    </font>
    <font>
      <b/>
      <sz val="10"/>
      <color rgb="FFCC00FF"/>
      <name val="Arial"/>
      <family val="2"/>
    </font>
    <font>
      <sz val="10"/>
      <color rgb="FFCC00FF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name val="Arial MT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9">
    <xf numFmtId="164" fontId="0" fillId="0" borderId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38" fontId="10" fillId="0" borderId="0" applyBorder="0" applyAlignment="0"/>
    <xf numFmtId="167" fontId="11" fillId="21" borderId="4">
      <alignment horizontal="center" vertical="center"/>
    </xf>
    <xf numFmtId="168" fontId="4" fillId="0" borderId="5">
      <alignment horizontal="left"/>
    </xf>
    <xf numFmtId="0" fontId="12" fillId="0" borderId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169" fontId="15" fillId="0" borderId="6" applyNumberFormat="0" applyFill="0" applyAlignment="0" applyProtection="0">
      <alignment horizontal="center"/>
    </xf>
    <xf numFmtId="170" fontId="15" fillId="0" borderId="1" applyFill="0" applyAlignment="0" applyProtection="0">
      <alignment horizontal="center"/>
    </xf>
    <xf numFmtId="38" fontId="4" fillId="0" borderId="0">
      <alignment horizontal="right"/>
    </xf>
    <xf numFmtId="37" fontId="16" fillId="0" borderId="0" applyFill="0">
      <alignment horizontal="right"/>
    </xf>
    <xf numFmtId="37" fontId="16" fillId="0" borderId="0">
      <alignment horizontal="right"/>
    </xf>
    <xf numFmtId="0" fontId="16" fillId="0" borderId="0" applyFill="0">
      <alignment horizontal="center"/>
    </xf>
    <xf numFmtId="37" fontId="16" fillId="0" borderId="7" applyFill="0">
      <alignment horizontal="right"/>
    </xf>
    <xf numFmtId="37" fontId="16" fillId="0" borderId="0">
      <alignment horizontal="right"/>
    </xf>
    <xf numFmtId="0" fontId="17" fillId="0" borderId="0" applyFill="0">
      <alignment vertical="top"/>
    </xf>
    <xf numFmtId="0" fontId="18" fillId="0" borderId="0" applyFill="0">
      <alignment horizontal="left" vertical="top"/>
    </xf>
    <xf numFmtId="37" fontId="16" fillId="0" borderId="3" applyFill="0">
      <alignment horizontal="right"/>
    </xf>
    <xf numFmtId="0" fontId="4" fillId="0" borderId="0" applyNumberFormat="0" applyFont="0" applyAlignment="0"/>
    <xf numFmtId="0" fontId="17" fillId="0" borderId="0" applyFill="0">
      <alignment wrapText="1"/>
    </xf>
    <xf numFmtId="0" fontId="18" fillId="0" borderId="0" applyFill="0">
      <alignment horizontal="left" vertical="top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0" fillId="0" borderId="0" applyFill="0">
      <alignment vertical="top" wrapText="1"/>
    </xf>
    <xf numFmtId="0" fontId="21" fillId="0" borderId="0" applyFill="0">
      <alignment horizontal="left" vertical="top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2" fillId="0" borderId="0" applyFill="0">
      <alignment vertical="center" wrapText="1"/>
    </xf>
    <xf numFmtId="0" fontId="23" fillId="0" borderId="0">
      <alignment horizontal="left" vertical="center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4" fillId="0" borderId="0" applyFill="0">
      <alignment horizontal="center" vertical="center" wrapText="1"/>
    </xf>
    <xf numFmtId="0" fontId="4" fillId="0" borderId="0" applyFill="0">
      <alignment horizontal="center" vertical="center" wrapText="1"/>
    </xf>
    <xf numFmtId="37" fontId="25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6" fillId="0" borderId="0" applyFill="0">
      <alignment horizontal="center" vertical="center" wrapText="1"/>
    </xf>
    <xf numFmtId="0" fontId="27" fillId="0" borderId="0" applyFill="0">
      <alignment horizontal="center" vertical="center" wrapText="1"/>
    </xf>
    <xf numFmtId="37" fontId="25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8" fillId="0" borderId="0">
      <alignment horizontal="center" wrapText="1"/>
    </xf>
    <xf numFmtId="0" fontId="29" fillId="0" borderId="0" applyFill="0">
      <alignment horizontal="center" wrapText="1"/>
    </xf>
    <xf numFmtId="0" fontId="30" fillId="22" borderId="8" applyNumberFormat="0" applyAlignment="0" applyProtection="0"/>
    <xf numFmtId="0" fontId="31" fillId="23" borderId="9" applyNumberFormat="0" applyAlignment="0" applyProtection="0"/>
    <xf numFmtId="171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5">
      <alignment horizontal="center"/>
    </xf>
    <xf numFmtId="173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4" fontId="4" fillId="0" borderId="0">
      <protection locked="0"/>
    </xf>
    <xf numFmtId="0" fontId="36" fillId="0" borderId="0"/>
    <xf numFmtId="0" fontId="37" fillId="0" borderId="0"/>
    <xf numFmtId="0" fontId="38" fillId="0" borderId="0"/>
    <xf numFmtId="0" fontId="39" fillId="5" borderId="0" applyNumberFormat="0" applyBorder="0" applyAlignment="0" applyProtection="0"/>
    <xf numFmtId="38" fontId="16" fillId="24" borderId="0" applyNumberFormat="0" applyBorder="0" applyAlignment="0" applyProtection="0"/>
    <xf numFmtId="0" fontId="40" fillId="0" borderId="0" applyNumberFormat="0" applyFill="0" applyBorder="0" applyAlignment="0" applyProtection="0"/>
    <xf numFmtId="0" fontId="21" fillId="0" borderId="10" applyNumberFormat="0" applyAlignment="0" applyProtection="0">
      <alignment horizontal="left" vertical="center"/>
    </xf>
    <xf numFmtId="0" fontId="21" fillId="0" borderId="11">
      <alignment horizontal="left" vertical="center"/>
    </xf>
    <xf numFmtId="0" fontId="41" fillId="0" borderId="0">
      <alignment horizontal="center"/>
    </xf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175" fontId="4" fillId="0" borderId="0">
      <protection locked="0"/>
    </xf>
    <xf numFmtId="175" fontId="4" fillId="0" borderId="0">
      <protection locked="0"/>
    </xf>
    <xf numFmtId="0" fontId="45" fillId="0" borderId="15" applyNumberFormat="0" applyFill="0" applyAlignment="0" applyProtection="0"/>
    <xf numFmtId="10" fontId="16" fillId="25" borderId="5" applyNumberFormat="0" applyBorder="0" applyAlignment="0" applyProtection="0"/>
    <xf numFmtId="0" fontId="46" fillId="8" borderId="8" applyNumberFormat="0" applyAlignment="0" applyProtection="0"/>
    <xf numFmtId="0" fontId="16" fillId="24" borderId="0"/>
    <xf numFmtId="0" fontId="47" fillId="0" borderId="16" applyNumberFormat="0" applyFill="0" applyAlignment="0" applyProtection="0"/>
    <xf numFmtId="176" fontId="4" fillId="0" borderId="5">
      <alignment horizontal="center"/>
    </xf>
    <xf numFmtId="177" fontId="48" fillId="0" borderId="0"/>
    <xf numFmtId="17" fontId="49" fillId="0" borderId="0">
      <alignment horizontal="center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0" fillId="26" borderId="0" applyNumberFormat="0" applyBorder="0" applyAlignment="0" applyProtection="0"/>
    <xf numFmtId="43" fontId="51" fillId="0" borderId="0" applyNumberFormat="0" applyFill="0" applyBorder="0" applyAlignment="0" applyProtection="0"/>
    <xf numFmtId="0" fontId="15" fillId="0" borderId="0" applyNumberFormat="0" applyFill="0" applyAlignment="0" applyProtection="0"/>
    <xf numFmtId="37" fontId="52" fillId="0" borderId="0"/>
    <xf numFmtId="180" fontId="53" fillId="0" borderId="0"/>
    <xf numFmtId="164" fontId="6" fillId="0" borderId="0" applyProtection="0"/>
    <xf numFmtId="0" fontId="4" fillId="0" borderId="0"/>
    <xf numFmtId="0" fontId="3" fillId="0" borderId="0"/>
    <xf numFmtId="0" fontId="32" fillId="0" borderId="0"/>
    <xf numFmtId="0" fontId="4" fillId="0" borderId="0"/>
    <xf numFmtId="0" fontId="4" fillId="0" borderId="5">
      <alignment horizontal="center" wrapText="1"/>
    </xf>
    <xf numFmtId="2" fontId="4" fillId="0" borderId="5">
      <alignment horizontal="center"/>
    </xf>
    <xf numFmtId="181" fontId="5" fillId="0" borderId="5" applyFont="0">
      <alignment horizontal="center"/>
    </xf>
    <xf numFmtId="0" fontId="4" fillId="27" borderId="17" applyNumberFormat="0" applyFont="0" applyAlignment="0" applyProtection="0"/>
    <xf numFmtId="1" fontId="4" fillId="0" borderId="5">
      <alignment horizontal="center"/>
    </xf>
    <xf numFmtId="0" fontId="54" fillId="22" borderId="18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55" fillId="0" borderId="6">
      <alignment horizontal="center"/>
    </xf>
    <xf numFmtId="3" fontId="7" fillId="0" borderId="0" applyFont="0" applyFill="0" applyBorder="0" applyAlignment="0" applyProtection="0"/>
    <xf numFmtId="0" fontId="7" fillId="28" borderId="0" applyNumberFormat="0" applyFont="0" applyBorder="0" applyAlignment="0" applyProtection="0"/>
    <xf numFmtId="37" fontId="16" fillId="24" borderId="0" applyFill="0">
      <alignment horizontal="right"/>
    </xf>
    <xf numFmtId="0" fontId="25" fillId="0" borderId="0">
      <alignment horizontal="left"/>
    </xf>
    <xf numFmtId="0" fontId="16" fillId="0" borderId="0" applyFill="0">
      <alignment horizontal="left"/>
    </xf>
    <xf numFmtId="37" fontId="16" fillId="0" borderId="1" applyFill="0">
      <alignment horizontal="right"/>
    </xf>
    <xf numFmtId="0" fontId="5" fillId="0" borderId="5" applyNumberFormat="0" applyFont="0" applyBorder="0">
      <alignment horizontal="right"/>
    </xf>
    <xf numFmtId="0" fontId="56" fillId="0" borderId="0" applyFill="0"/>
    <xf numFmtId="0" fontId="16" fillId="0" borderId="0" applyFill="0">
      <alignment horizontal="left"/>
    </xf>
    <xf numFmtId="182" fontId="16" fillId="0" borderId="1" applyFill="0">
      <alignment horizontal="right"/>
    </xf>
    <xf numFmtId="0" fontId="4" fillId="0" borderId="0" applyNumberFormat="0" applyFont="0" applyBorder="0" applyAlignment="0"/>
    <xf numFmtId="0" fontId="20" fillId="0" borderId="0" applyFill="0">
      <alignment horizontal="left" indent="1"/>
    </xf>
    <xf numFmtId="0" fontId="25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Fill="0" applyBorder="0" applyAlignment="0"/>
    <xf numFmtId="0" fontId="20" fillId="0" borderId="0" applyFill="0">
      <alignment horizontal="left" indent="2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Border="0" applyAlignment="0"/>
    <xf numFmtId="0" fontId="57" fillId="0" borderId="0">
      <alignment horizontal="left" indent="3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Border="0" applyAlignment="0"/>
    <xf numFmtId="0" fontId="24" fillId="0" borderId="0">
      <alignment horizontal="left" indent="4"/>
    </xf>
    <xf numFmtId="0" fontId="16" fillId="0" borderId="0" applyFill="0">
      <alignment horizontal="left"/>
    </xf>
    <xf numFmtId="37" fontId="25" fillId="0" borderId="0" applyFill="0">
      <alignment horizontal="right"/>
    </xf>
    <xf numFmtId="0" fontId="4" fillId="0" borderId="0" applyNumberFormat="0" applyFont="0" applyBorder="0" applyAlignment="0"/>
    <xf numFmtId="0" fontId="26" fillId="0" borderId="0">
      <alignment horizontal="left" indent="5"/>
    </xf>
    <xf numFmtId="0" fontId="25" fillId="0" borderId="0" applyFill="0">
      <alignment horizontal="left"/>
    </xf>
    <xf numFmtId="37" fontId="25" fillId="0" borderId="0" applyFill="0">
      <alignment horizontal="right"/>
    </xf>
    <xf numFmtId="0" fontId="4" fillId="0" borderId="0" applyNumberFormat="0" applyFont="0" applyFill="0" applyBorder="0" applyAlignment="0"/>
    <xf numFmtId="0" fontId="28" fillId="0" borderId="0" applyFill="0">
      <alignment horizontal="left" indent="6"/>
    </xf>
    <xf numFmtId="0" fontId="25" fillId="0" borderId="0" applyFill="0">
      <alignment horizontal="left"/>
    </xf>
    <xf numFmtId="38" fontId="58" fillId="29" borderId="1">
      <alignment horizontal="right"/>
    </xf>
    <xf numFmtId="38" fontId="4" fillId="30" borderId="0" applyNumberFormat="0" applyFont="0" applyBorder="0" applyAlignment="0" applyProtection="0"/>
    <xf numFmtId="0" fontId="59" fillId="0" borderId="0" applyNumberFormat="0" applyAlignment="0">
      <alignment horizontal="centerContinuous"/>
    </xf>
    <xf numFmtId="0" fontId="15" fillId="0" borderId="1" applyNumberFormat="0" applyFill="0" applyAlignment="0" applyProtection="0"/>
    <xf numFmtId="37" fontId="60" fillId="0" borderId="0" applyNumberFormat="0">
      <alignment horizontal="left"/>
    </xf>
    <xf numFmtId="183" fontId="4" fillId="0" borderId="5">
      <alignment horizontal="center" wrapText="1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4" fillId="0" borderId="0" applyNumberFormat="0" applyFill="0" applyBorder="0" applyProtection="0">
      <alignment horizontal="right" wrapText="1"/>
    </xf>
    <xf numFmtId="184" fontId="4" fillId="0" borderId="0" applyFill="0" applyBorder="0" applyAlignment="0" applyProtection="0">
      <alignment wrapText="1"/>
    </xf>
    <xf numFmtId="37" fontId="61" fillId="0" borderId="0" applyNumberFormat="0">
      <alignment horizontal="left"/>
    </xf>
    <xf numFmtId="37" fontId="62" fillId="0" borderId="0" applyNumberFormat="0">
      <alignment horizontal="left"/>
    </xf>
    <xf numFmtId="37" fontId="63" fillId="0" borderId="0" applyNumberFormat="0">
      <alignment horizontal="left"/>
    </xf>
    <xf numFmtId="177" fontId="64" fillId="0" borderId="0"/>
    <xf numFmtId="40" fontId="65" fillId="0" borderId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37" fontId="16" fillId="29" borderId="0" applyNumberFormat="0" applyBorder="0" applyAlignment="0" applyProtection="0"/>
    <xf numFmtId="37" fontId="16" fillId="0" borderId="0"/>
    <xf numFmtId="3" fontId="68" fillId="0" borderId="15" applyProtection="0"/>
    <xf numFmtId="0" fontId="69" fillId="0" borderId="0" applyNumberFormat="0" applyFill="0" applyBorder="0" applyAlignment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78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1">
    <xf numFmtId="164" fontId="0" fillId="0" borderId="0" xfId="0"/>
    <xf numFmtId="0" fontId="4" fillId="0" borderId="0" xfId="3"/>
    <xf numFmtId="49" fontId="5" fillId="0" borderId="0" xfId="3" applyNumberFormat="1" applyFont="1" applyAlignment="1">
      <alignment horizontal="right"/>
    </xf>
    <xf numFmtId="0" fontId="5" fillId="0" borderId="0" xfId="3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1" xfId="3" applyBorder="1" applyAlignment="1">
      <alignment horizontal="center"/>
    </xf>
    <xf numFmtId="164" fontId="4" fillId="0" borderId="0" xfId="0" applyFont="1" applyAlignment="1">
      <alignment horizontal="center"/>
    </xf>
    <xf numFmtId="165" fontId="4" fillId="0" borderId="0" xfId="1" applyNumberFormat="1" applyFill="1"/>
    <xf numFmtId="0" fontId="4" fillId="2" borderId="0" xfId="0" applyNumberFormat="1" applyFont="1" applyFill="1"/>
    <xf numFmtId="166" fontId="4" fillId="0" borderId="2" xfId="2" applyNumberFormat="1" applyFont="1" applyFill="1" applyBorder="1"/>
    <xf numFmtId="0" fontId="5" fillId="0" borderId="0" xfId="3" applyFont="1"/>
    <xf numFmtId="165" fontId="4" fillId="0" borderId="3" xfId="1" applyNumberFormat="1" applyFill="1" applyBorder="1"/>
    <xf numFmtId="165" fontId="5" fillId="0" borderId="0" xfId="1" applyNumberFormat="1" applyFont="1" applyFill="1"/>
    <xf numFmtId="165" fontId="4" fillId="0" borderId="0" xfId="1" quotePrefix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4" fillId="0" borderId="3" xfId="3" applyBorder="1"/>
    <xf numFmtId="0" fontId="4" fillId="0" borderId="0" xfId="127"/>
    <xf numFmtId="0" fontId="4" fillId="0" borderId="0" xfId="127" applyAlignment="1">
      <alignment horizontal="center"/>
    </xf>
    <xf numFmtId="0" fontId="70" fillId="0" borderId="0" xfId="127" applyFont="1" applyAlignment="1">
      <alignment horizontal="center"/>
    </xf>
    <xf numFmtId="37" fontId="4" fillId="0" borderId="0" xfId="127" applyNumberFormat="1"/>
    <xf numFmtId="0" fontId="4" fillId="0" borderId="0" xfId="127" quotePrefix="1"/>
    <xf numFmtId="37" fontId="4" fillId="0" borderId="3" xfId="127" applyNumberFormat="1" applyBorder="1"/>
    <xf numFmtId="0" fontId="5" fillId="0" borderId="0" xfId="127" applyFont="1"/>
    <xf numFmtId="37" fontId="4" fillId="0" borderId="1" xfId="127" applyNumberFormat="1" applyBorder="1"/>
    <xf numFmtId="37" fontId="4" fillId="0" borderId="2" xfId="127" applyNumberFormat="1" applyBorder="1"/>
    <xf numFmtId="166" fontId="4" fillId="0" borderId="20" xfId="88" applyNumberFormat="1" applyFont="1" applyFill="1" applyBorder="1"/>
    <xf numFmtId="44" fontId="4" fillId="0" borderId="0" xfId="3" applyNumberFormat="1"/>
    <xf numFmtId="37" fontId="4" fillId="0" borderId="20" xfId="127" applyNumberFormat="1" applyBorder="1"/>
    <xf numFmtId="166" fontId="4" fillId="0" borderId="0" xfId="2" applyNumberFormat="1" applyFont="1" applyFill="1" applyBorder="1"/>
    <xf numFmtId="0" fontId="4" fillId="2" borderId="0" xfId="0" applyNumberFormat="1" applyFont="1" applyFill="1" applyProtection="1">
      <protection locked="0"/>
    </xf>
    <xf numFmtId="164" fontId="4" fillId="0" borderId="0" xfId="0" applyFont="1"/>
    <xf numFmtId="164" fontId="74" fillId="0" borderId="0" xfId="0" applyFont="1"/>
    <xf numFmtId="164" fontId="73" fillId="0" borderId="1" xfId="0" applyFont="1" applyBorder="1" applyAlignment="1">
      <alignment horizontal="center"/>
    </xf>
    <xf numFmtId="0" fontId="23" fillId="2" borderId="0" xfId="0" applyNumberFormat="1" applyFont="1" applyFill="1" applyAlignment="1">
      <alignment horizontal="center"/>
    </xf>
    <xf numFmtId="3" fontId="21" fillId="2" borderId="0" xfId="0" applyNumberFormat="1" applyFont="1" applyFill="1" applyAlignment="1">
      <alignment horizontal="center"/>
    </xf>
    <xf numFmtId="0" fontId="23" fillId="2" borderId="0" xfId="0" applyNumberFormat="1" applyFont="1" applyFill="1" applyAlignment="1" applyProtection="1">
      <alignment horizontal="center"/>
      <protection locked="0"/>
    </xf>
    <xf numFmtId="164" fontId="21" fillId="2" borderId="0" xfId="0" applyFont="1" applyFill="1" applyAlignment="1">
      <alignment horizontal="center"/>
    </xf>
    <xf numFmtId="0" fontId="23" fillId="2" borderId="6" xfId="0" applyNumberFormat="1" applyFont="1" applyFill="1" applyBorder="1" applyAlignment="1" applyProtection="1">
      <alignment horizontal="center"/>
      <protection locked="0"/>
    </xf>
    <xf numFmtId="0" fontId="23" fillId="2" borderId="0" xfId="0" applyNumberFormat="1" applyFont="1" applyFill="1" applyProtection="1">
      <protection locked="0"/>
    </xf>
    <xf numFmtId="185" fontId="23" fillId="2" borderId="0" xfId="0" applyNumberFormat="1" applyFont="1" applyFill="1" applyAlignment="1">
      <alignment horizontal="left"/>
    </xf>
    <xf numFmtId="185" fontId="23" fillId="2" borderId="0" xfId="0" applyNumberFormat="1" applyFont="1" applyFill="1" applyAlignment="1" applyProtection="1">
      <alignment horizontal="left"/>
      <protection locked="0"/>
    </xf>
    <xf numFmtId="185" fontId="23" fillId="2" borderId="0" xfId="0" applyNumberFormat="1" applyFont="1" applyFill="1" applyAlignment="1">
      <alignment horizontal="center"/>
    </xf>
    <xf numFmtId="0" fontId="23" fillId="2" borderId="0" xfId="195" applyNumberFormat="1" applyFont="1" applyFill="1" applyAlignment="1" applyProtection="1">
      <alignment horizontal="center"/>
      <protection locked="0"/>
    </xf>
    <xf numFmtId="0" fontId="23" fillId="2" borderId="6" xfId="195" applyNumberFormat="1" applyFont="1" applyFill="1" applyBorder="1" applyAlignment="1" applyProtection="1">
      <alignment horizontal="center"/>
      <protection locked="0"/>
    </xf>
    <xf numFmtId="0" fontId="23" fillId="2" borderId="0" xfId="195" applyNumberFormat="1" applyFont="1" applyFill="1"/>
    <xf numFmtId="0" fontId="23" fillId="2" borderId="0" xfId="195" applyNumberFormat="1" applyFont="1" applyFill="1" applyProtection="1">
      <protection locked="0"/>
    </xf>
    <xf numFmtId="0" fontId="23" fillId="2" borderId="6" xfId="195" applyNumberFormat="1" applyFont="1" applyFill="1" applyBorder="1" applyProtection="1">
      <protection locked="0"/>
    </xf>
    <xf numFmtId="0" fontId="23" fillId="2" borderId="3" xfId="195" applyNumberFormat="1" applyFont="1" applyFill="1" applyBorder="1" applyProtection="1">
      <protection locked="0"/>
    </xf>
    <xf numFmtId="0" fontId="11" fillId="2" borderId="0" xfId="195" applyNumberFormat="1" applyFont="1" applyFill="1"/>
    <xf numFmtId="0" fontId="23" fillId="2" borderId="0" xfId="195" quotePrefix="1" applyNumberFormat="1" applyFont="1" applyFill="1"/>
    <xf numFmtId="0" fontId="23" fillId="31" borderId="0" xfId="195" applyNumberFormat="1" applyFont="1" applyFill="1"/>
    <xf numFmtId="164" fontId="23" fillId="31" borderId="0" xfId="201" applyFont="1" applyFill="1" applyAlignment="1">
      <alignment horizontal="left"/>
    </xf>
    <xf numFmtId="164" fontId="74" fillId="31" borderId="0" xfId="0" applyFont="1" applyFill="1"/>
    <xf numFmtId="0" fontId="4" fillId="0" borderId="0" xfId="3" applyAlignment="1">
      <alignment horizontal="right"/>
    </xf>
    <xf numFmtId="165" fontId="4" fillId="0" borderId="0" xfId="3" applyNumberFormat="1"/>
    <xf numFmtId="3" fontId="4" fillId="0" borderId="0" xfId="3" applyNumberFormat="1"/>
    <xf numFmtId="165" fontId="4" fillId="0" borderId="0" xfId="1" applyNumberFormat="1" applyFont="1" applyFill="1" applyBorder="1" applyAlignment="1"/>
    <xf numFmtId="0" fontId="4" fillId="0" borderId="0" xfId="3" applyAlignment="1">
      <alignment horizontal="center"/>
    </xf>
    <xf numFmtId="0" fontId="4" fillId="0" borderId="0" xfId="0" applyNumberFormat="1" applyFont="1"/>
    <xf numFmtId="43" fontId="4" fillId="0" borderId="0" xfId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4" fillId="0" borderId="0" xfId="3" applyAlignment="1">
      <alignment horizontal="center" vertical="center"/>
    </xf>
    <xf numFmtId="164" fontId="75" fillId="0" borderId="0" xfId="0" applyFont="1"/>
    <xf numFmtId="187" fontId="4" fillId="0" borderId="0" xfId="0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Alignment="1">
      <alignment horizontal="left"/>
    </xf>
    <xf numFmtId="164" fontId="0" fillId="0" borderId="0" xfId="0" applyAlignment="1">
      <alignment horizontal="righ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164" fontId="5" fillId="0" borderId="0" xfId="0" applyFont="1" applyAlignment="1">
      <alignment horizontal="right"/>
    </xf>
    <xf numFmtId="164" fontId="5" fillId="0" borderId="0" xfId="0" applyFont="1" applyAlignment="1">
      <alignment horizontal="left"/>
    </xf>
    <xf numFmtId="164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0" xfId="1" applyFill="1"/>
    <xf numFmtId="165" fontId="4" fillId="0" borderId="0" xfId="1" applyNumberFormat="1" applyFont="1" applyFill="1" applyAlignment="1"/>
    <xf numFmtId="49" fontId="5" fillId="0" borderId="0" xfId="3" applyNumberFormat="1" applyFont="1" applyAlignment="1">
      <alignment horizontal="center"/>
    </xf>
    <xf numFmtId="187" fontId="4" fillId="0" borderId="0" xfId="0" applyNumberFormat="1" applyFont="1" applyAlignment="1">
      <alignment horizontal="right"/>
    </xf>
    <xf numFmtId="165" fontId="23" fillId="0" borderId="0" xfId="1" applyNumberFormat="1" applyFont="1" applyFill="1" applyAlignment="1"/>
    <xf numFmtId="165" fontId="4" fillId="0" borderId="0" xfId="1" applyNumberFormat="1" applyFont="1" applyFill="1" applyAlignment="1">
      <alignment horizontal="right" wrapText="1"/>
    </xf>
    <xf numFmtId="164" fontId="5" fillId="0" borderId="0" xfId="0" applyFont="1"/>
    <xf numFmtId="165" fontId="4" fillId="0" borderId="0" xfId="1" applyNumberFormat="1" applyFill="1" applyAlignment="1">
      <alignment horizontal="right"/>
    </xf>
    <xf numFmtId="188" fontId="4" fillId="0" borderId="0" xfId="0" applyNumberFormat="1" applyFont="1"/>
    <xf numFmtId="9" fontId="4" fillId="0" borderId="0" xfId="207" applyFont="1"/>
    <xf numFmtId="164" fontId="4" fillId="0" borderId="0" xfId="0" applyFont="1" applyAlignment="1">
      <alignment wrapText="1"/>
    </xf>
    <xf numFmtId="165" fontId="5" fillId="0" borderId="3" xfId="1" applyNumberFormat="1" applyFont="1" applyFill="1" applyBorder="1"/>
    <xf numFmtId="164" fontId="4" fillId="0" borderId="0" xfId="0" applyFont="1" applyAlignment="1">
      <alignment horizontal="right"/>
    </xf>
    <xf numFmtId="165" fontId="4" fillId="0" borderId="3" xfId="1" applyNumberFormat="1" applyFont="1" applyBorder="1"/>
    <xf numFmtId="165" fontId="5" fillId="0" borderId="3" xfId="1" applyNumberFormat="1" applyFont="1" applyBorder="1"/>
    <xf numFmtId="164" fontId="4" fillId="0" borderId="0" xfId="0" applyFont="1" applyAlignment="1">
      <alignment vertical="center"/>
    </xf>
    <xf numFmtId="164" fontId="4" fillId="0" borderId="0" xfId="0" applyFont="1" applyAlignment="1">
      <alignment horizontal="left" wrapText="1"/>
    </xf>
    <xf numFmtId="165" fontId="4" fillId="0" borderId="3" xfId="1" applyNumberFormat="1" applyFont="1" applyFill="1" applyBorder="1" applyAlignment="1"/>
    <xf numFmtId="187" fontId="4" fillId="0" borderId="0" xfId="0" applyNumberFormat="1" applyFont="1" applyAlignment="1">
      <alignment horizontal="left"/>
    </xf>
    <xf numFmtId="165" fontId="4" fillId="0" borderId="0" xfId="1" applyNumberFormat="1" applyFont="1"/>
    <xf numFmtId="3" fontId="23" fillId="31" borderId="0" xfId="195" applyNumberFormat="1" applyFont="1" applyFill="1" applyAlignment="1">
      <alignment horizontal="left"/>
    </xf>
    <xf numFmtId="164" fontId="4" fillId="0" borderId="0" xfId="0" applyFont="1" applyAlignment="1">
      <alignment vertical="center" wrapText="1"/>
    </xf>
    <xf numFmtId="188" fontId="4" fillId="34" borderId="0" xfId="0" applyNumberFormat="1" applyFont="1" applyFill="1"/>
    <xf numFmtId="0" fontId="4" fillId="34" borderId="0" xfId="0" applyNumberFormat="1" applyFont="1" applyFill="1"/>
    <xf numFmtId="164" fontId="4" fillId="34" borderId="0" xfId="0" applyFont="1" applyFill="1"/>
    <xf numFmtId="0" fontId="79" fillId="0" borderId="0" xfId="3" applyFont="1"/>
    <xf numFmtId="0" fontId="80" fillId="0" borderId="0" xfId="3" applyFont="1"/>
    <xf numFmtId="37" fontId="4" fillId="0" borderId="0" xfId="3" applyNumberFormat="1"/>
    <xf numFmtId="164" fontId="81" fillId="0" borderId="0" xfId="0" applyFont="1"/>
    <xf numFmtId="164" fontId="24" fillId="0" borderId="0" xfId="0" applyFont="1"/>
    <xf numFmtId="165" fontId="4" fillId="33" borderId="0" xfId="1" applyNumberFormat="1" applyFont="1" applyFill="1"/>
    <xf numFmtId="165" fontId="4" fillId="0" borderId="0" xfId="1" applyNumberFormat="1" applyFont="1" applyFill="1"/>
    <xf numFmtId="188" fontId="4" fillId="33" borderId="0" xfId="0" applyNumberFormat="1" applyFont="1" applyFill="1"/>
    <xf numFmtId="189" fontId="4" fillId="33" borderId="0" xfId="1" applyNumberFormat="1" applyFont="1" applyFill="1" applyBorder="1"/>
    <xf numFmtId="0" fontId="21" fillId="2" borderId="0" xfId="194" applyNumberFormat="1" applyFont="1" applyFill="1" applyAlignment="1">
      <alignment horizontal="center"/>
    </xf>
    <xf numFmtId="187" fontId="4" fillId="0" borderId="0" xfId="125" applyNumberFormat="1" applyFont="1" applyAlignment="1">
      <alignment horizontal="right"/>
    </xf>
    <xf numFmtId="0" fontId="23" fillId="2" borderId="0" xfId="202" applyNumberFormat="1" applyFont="1" applyFill="1" applyProtection="1">
      <protection locked="0"/>
    </xf>
    <xf numFmtId="164" fontId="23" fillId="0" borderId="0" xfId="195" applyFont="1"/>
    <xf numFmtId="164" fontId="23" fillId="2" borderId="0" xfId="195" applyFont="1" applyFill="1"/>
    <xf numFmtId="164" fontId="23" fillId="31" borderId="0" xfId="195" applyFont="1" applyFill="1" applyAlignment="1">
      <alignment horizontal="left"/>
    </xf>
    <xf numFmtId="164" fontId="23" fillId="0" borderId="0" xfId="195" applyFont="1" applyAlignment="1">
      <alignment horizontal="left"/>
    </xf>
    <xf numFmtId="0" fontId="23" fillId="0" borderId="0" xfId="3" applyFont="1" applyAlignment="1">
      <alignment horizontal="left"/>
    </xf>
    <xf numFmtId="3" fontId="23" fillId="0" borderId="6" xfId="201" applyNumberFormat="1" applyFont="1" applyBorder="1"/>
    <xf numFmtId="3" fontId="23" fillId="0" borderId="6" xfId="195" applyNumberFormat="1" applyFont="1" applyBorder="1"/>
    <xf numFmtId="3" fontId="23" fillId="2" borderId="0" xfId="201" applyNumberFormat="1" applyFont="1" applyFill="1"/>
    <xf numFmtId="3" fontId="23" fillId="2" borderId="0" xfId="195" applyNumberFormat="1" applyFont="1" applyFill="1"/>
    <xf numFmtId="3" fontId="23" fillId="0" borderId="0" xfId="195" applyNumberFormat="1" applyFont="1"/>
    <xf numFmtId="0" fontId="23" fillId="0" borderId="0" xfId="195" applyNumberFormat="1" applyFont="1"/>
    <xf numFmtId="3" fontId="23" fillId="31" borderId="0" xfId="201" applyNumberFormat="1" applyFont="1" applyFill="1"/>
    <xf numFmtId="3" fontId="23" fillId="2" borderId="1" xfId="201" applyNumberFormat="1" applyFont="1" applyFill="1" applyBorder="1"/>
    <xf numFmtId="3" fontId="23" fillId="0" borderId="1" xfId="195" applyNumberFormat="1" applyFont="1" applyBorder="1"/>
    <xf numFmtId="0" fontId="23" fillId="2" borderId="1" xfId="195" applyNumberFormat="1" applyFont="1" applyFill="1" applyBorder="1"/>
    <xf numFmtId="164" fontId="11" fillId="2" borderId="0" xfId="195" applyFont="1" applyFill="1"/>
    <xf numFmtId="3" fontId="23" fillId="0" borderId="0" xfId="195" applyNumberFormat="1" applyFont="1" applyAlignment="1">
      <alignment horizontal="left"/>
    </xf>
    <xf numFmtId="3" fontId="23" fillId="31" borderId="0" xfId="195" applyNumberFormat="1" applyFont="1" applyFill="1"/>
    <xf numFmtId="3" fontId="23" fillId="2" borderId="6" xfId="195" applyNumberFormat="1" applyFont="1" applyFill="1" applyBorder="1"/>
    <xf numFmtId="164" fontId="23" fillId="2" borderId="0" xfId="197" applyFont="1" applyFill="1"/>
    <xf numFmtId="3" fontId="23" fillId="2" borderId="3" xfId="195" applyNumberFormat="1" applyFont="1" applyFill="1" applyBorder="1"/>
    <xf numFmtId="0" fontId="23" fillId="0" borderId="3" xfId="195" applyNumberFormat="1" applyFont="1" applyBorder="1"/>
    <xf numFmtId="3" fontId="23" fillId="2" borderId="6" xfId="200" applyNumberFormat="1" applyFont="1" applyFill="1" applyBorder="1"/>
    <xf numFmtId="164" fontId="23" fillId="2" borderId="3" xfId="195" applyFont="1" applyFill="1" applyBorder="1"/>
    <xf numFmtId="49" fontId="23" fillId="2" borderId="0" xfId="195" applyNumberFormat="1" applyFont="1" applyFill="1"/>
    <xf numFmtId="3" fontId="23" fillId="2" borderId="6" xfId="199" applyNumberFormat="1" applyFont="1" applyFill="1" applyBorder="1"/>
    <xf numFmtId="49" fontId="23" fillId="0" borderId="0" xfId="195" applyNumberFormat="1" applyFont="1"/>
    <xf numFmtId="3" fontId="23" fillId="2" borderId="6" xfId="198" applyNumberFormat="1" applyFont="1" applyFill="1" applyBorder="1"/>
    <xf numFmtId="3" fontId="23" fillId="2" borderId="6" xfId="196" applyNumberFormat="1" applyFont="1" applyFill="1" applyBorder="1"/>
    <xf numFmtId="0" fontId="21" fillId="2" borderId="0" xfId="195" applyNumberFormat="1" applyFont="1" applyFill="1"/>
    <xf numFmtId="3" fontId="23" fillId="2" borderId="0" xfId="0" applyNumberFormat="1" applyFont="1" applyFill="1"/>
    <xf numFmtId="0" fontId="23" fillId="2" borderId="0" xfId="0" applyNumberFormat="1" applyFont="1" applyFill="1"/>
    <xf numFmtId="164" fontId="23" fillId="2" borderId="0" xfId="0" applyFont="1" applyFill="1"/>
    <xf numFmtId="186" fontId="23" fillId="2" borderId="0" xfId="0" applyNumberFormat="1" applyFont="1" applyFill="1"/>
    <xf numFmtId="164" fontId="23" fillId="2" borderId="0" xfId="0" quotePrefix="1" applyFont="1" applyFill="1"/>
    <xf numFmtId="164" fontId="23" fillId="31" borderId="0" xfId="0" applyFont="1" applyFill="1"/>
    <xf numFmtId="3" fontId="23" fillId="31" borderId="0" xfId="0" applyNumberFormat="1" applyFont="1" applyFill="1"/>
    <xf numFmtId="3" fontId="23" fillId="0" borderId="0" xfId="0" applyNumberFormat="1" applyFont="1"/>
    <xf numFmtId="164" fontId="23" fillId="0" borderId="0" xfId="0" applyFont="1"/>
    <xf numFmtId="0" fontId="23" fillId="0" borderId="0" xfId="0" applyNumberFormat="1" applyFont="1"/>
    <xf numFmtId="3" fontId="23" fillId="31" borderId="0" xfId="127" applyNumberFormat="1" applyFont="1" applyFill="1"/>
    <xf numFmtId="3" fontId="23" fillId="0" borderId="0" xfId="127" applyNumberFormat="1" applyFont="1"/>
    <xf numFmtId="3" fontId="23" fillId="31" borderId="0" xfId="123" applyNumberFormat="1" applyFont="1" applyFill="1"/>
    <xf numFmtId="3" fontId="23" fillId="0" borderId="0" xfId="123" applyNumberFormat="1" applyFont="1"/>
    <xf numFmtId="164" fontId="23" fillId="2" borderId="0" xfId="0" applyFont="1" applyFill="1" applyProtection="1">
      <protection locked="0"/>
    </xf>
    <xf numFmtId="164" fontId="23" fillId="0" borderId="0" xfId="123" applyFont="1"/>
    <xf numFmtId="0" fontId="21" fillId="2" borderId="0" xfId="0" applyNumberFormat="1" applyFont="1" applyFill="1"/>
    <xf numFmtId="164" fontId="78" fillId="0" borderId="0" xfId="206" applyFill="1"/>
    <xf numFmtId="3" fontId="4" fillId="0" borderId="0" xfId="0" applyNumberFormat="1" applyFont="1"/>
    <xf numFmtId="0" fontId="4" fillId="0" borderId="0" xfId="0" applyNumberFormat="1" applyFont="1" applyAlignment="1" applyProtection="1">
      <alignment horizontal="center"/>
      <protection locked="0"/>
    </xf>
    <xf numFmtId="37" fontId="71" fillId="0" borderId="0" xfId="127" applyNumberFormat="1" applyFont="1"/>
    <xf numFmtId="37" fontId="71" fillId="0" borderId="3" xfId="127" applyNumberFormat="1" applyFont="1" applyBorder="1"/>
    <xf numFmtId="37" fontId="71" fillId="0" borderId="1" xfId="127" applyNumberFormat="1" applyFont="1" applyBorder="1"/>
    <xf numFmtId="37" fontId="45" fillId="0" borderId="1" xfId="127" applyNumberFormat="1" applyFont="1" applyBorder="1"/>
    <xf numFmtId="37" fontId="45" fillId="0" borderId="0" xfId="127" applyNumberFormat="1" applyFont="1"/>
    <xf numFmtId="17" fontId="4" fillId="0" borderId="0" xfId="3" applyNumberFormat="1"/>
    <xf numFmtId="165" fontId="4" fillId="0" borderId="3" xfId="1" applyNumberFormat="1" applyFont="1" applyFill="1" applyBorder="1"/>
    <xf numFmtId="9" fontId="4" fillId="0" borderId="0" xfId="208" applyFont="1" applyFill="1"/>
    <xf numFmtId="43" fontId="4" fillId="0" borderId="3" xfId="1" applyFont="1" applyFill="1" applyBorder="1"/>
    <xf numFmtId="164" fontId="0" fillId="0" borderId="21" xfId="0" applyBorder="1"/>
    <xf numFmtId="164" fontId="0" fillId="0" borderId="21" xfId="0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4" fontId="0" fillId="0" borderId="23" xfId="0" applyBorder="1"/>
    <xf numFmtId="164" fontId="0" fillId="0" borderId="3" xfId="0" applyBorder="1"/>
    <xf numFmtId="164" fontId="0" fillId="0" borderId="24" xfId="0" applyBorder="1" applyAlignment="1">
      <alignment horizontal="center"/>
    </xf>
    <xf numFmtId="0" fontId="4" fillId="0" borderId="25" xfId="0" applyNumberFormat="1" applyFont="1" applyBorder="1" applyAlignment="1">
      <alignment horizontal="center"/>
    </xf>
    <xf numFmtId="0" fontId="4" fillId="0" borderId="26" xfId="0" applyNumberFormat="1" applyFont="1" applyBorder="1" applyAlignment="1">
      <alignment horizontal="center"/>
    </xf>
    <xf numFmtId="165" fontId="4" fillId="0" borderId="25" xfId="1" applyNumberForma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164" fontId="0" fillId="0" borderId="25" xfId="0" applyBorder="1" applyAlignment="1">
      <alignment horizontal="center"/>
    </xf>
    <xf numFmtId="164" fontId="0" fillId="0" borderId="27" xfId="0" applyBorder="1" applyAlignment="1">
      <alignment horizontal="center"/>
    </xf>
    <xf numFmtId="0" fontId="4" fillId="0" borderId="27" xfId="0" applyNumberFormat="1" applyFont="1" applyBorder="1" applyAlignment="1">
      <alignment horizontal="center"/>
    </xf>
    <xf numFmtId="0" fontId="4" fillId="0" borderId="28" xfId="0" applyNumberFormat="1" applyFont="1" applyBorder="1" applyAlignment="1">
      <alignment horizontal="center"/>
    </xf>
    <xf numFmtId="165" fontId="4" fillId="0" borderId="27" xfId="1" applyNumberFormat="1" applyBorder="1" applyAlignment="1">
      <alignment horizontal="center"/>
    </xf>
    <xf numFmtId="0" fontId="4" fillId="0" borderId="29" xfId="0" applyNumberFormat="1" applyFont="1" applyBorder="1" applyAlignment="1">
      <alignment horizontal="center"/>
    </xf>
    <xf numFmtId="164" fontId="0" fillId="0" borderId="29" xfId="0" applyBorder="1" applyAlignment="1">
      <alignment horizontal="center"/>
    </xf>
    <xf numFmtId="17" fontId="0" fillId="0" borderId="0" xfId="0" applyNumberFormat="1"/>
    <xf numFmtId="165" fontId="82" fillId="0" borderId="5" xfId="1" applyNumberFormat="1" applyFont="1" applyBorder="1"/>
    <xf numFmtId="165" fontId="83" fillId="0" borderId="5" xfId="1" applyNumberFormat="1" applyFont="1" applyBorder="1"/>
    <xf numFmtId="10" fontId="83" fillId="0" borderId="5" xfId="208" applyNumberFormat="1" applyFont="1" applyBorder="1"/>
    <xf numFmtId="165" fontId="83" fillId="0" borderId="5" xfId="1" applyNumberFormat="1" applyFont="1" applyFill="1" applyBorder="1"/>
    <xf numFmtId="9" fontId="83" fillId="0" borderId="5" xfId="0" applyNumberFormat="1" applyFont="1" applyBorder="1"/>
    <xf numFmtId="43" fontId="83" fillId="0" borderId="5" xfId="1" applyFont="1" applyFill="1" applyBorder="1"/>
    <xf numFmtId="189" fontId="83" fillId="0" borderId="5" xfId="1" applyNumberFormat="1" applyFont="1" applyBorder="1"/>
    <xf numFmtId="43" fontId="83" fillId="0" borderId="5" xfId="0" applyNumberFormat="1" applyFont="1" applyBorder="1"/>
    <xf numFmtId="165" fontId="83" fillId="0" borderId="5" xfId="0" applyNumberFormat="1" applyFont="1" applyBorder="1"/>
    <xf numFmtId="43" fontId="83" fillId="0" borderId="5" xfId="1" applyFont="1" applyBorder="1"/>
    <xf numFmtId="189" fontId="83" fillId="0" borderId="5" xfId="1" applyNumberFormat="1" applyFont="1" applyFill="1" applyBorder="1"/>
    <xf numFmtId="10" fontId="83" fillId="0" borderId="5" xfId="208" applyNumberFormat="1" applyFont="1" applyFill="1" applyBorder="1"/>
    <xf numFmtId="165" fontId="83" fillId="35" borderId="5" xfId="1" applyNumberFormat="1" applyFont="1" applyFill="1" applyBorder="1"/>
    <xf numFmtId="0" fontId="21" fillId="2" borderId="0" xfId="194" applyNumberFormat="1" applyFont="1" applyFill="1" applyAlignment="1">
      <alignment horizontal="center"/>
    </xf>
    <xf numFmtId="164" fontId="73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Alignment="1">
      <alignment horizontal="center"/>
    </xf>
    <xf numFmtId="49" fontId="5" fillId="0" borderId="0" xfId="3" applyNumberFormat="1" applyFont="1" applyAlignment="1">
      <alignment horizontal="center"/>
    </xf>
    <xf numFmtId="0" fontId="5" fillId="32" borderId="0" xfId="3" applyFont="1" applyFill="1" applyAlignment="1">
      <alignment horizontal="center"/>
    </xf>
    <xf numFmtId="164" fontId="4" fillId="0" borderId="0" xfId="0" applyFont="1" applyAlignment="1">
      <alignment horizontal="left" wrapText="1"/>
    </xf>
    <xf numFmtId="164" fontId="0" fillId="0" borderId="21" xfId="0" applyBorder="1" applyAlignment="1">
      <alignment horizontal="center"/>
    </xf>
    <xf numFmtId="164" fontId="0" fillId="0" borderId="3" xfId="0" applyBorder="1" applyAlignment="1">
      <alignment horizontal="center"/>
    </xf>
    <xf numFmtId="164" fontId="0" fillId="0" borderId="22" xfId="0" applyBorder="1" applyAlignment="1">
      <alignment horizontal="center"/>
    </xf>
  </cellXfs>
  <cellStyles count="209">
    <cellStyle name="%" xfId="4" xr:uid="{00000000-0005-0000-0000-000000000000}"/>
    <cellStyle name="_033103 13 week CF1" xfId="5" xr:uid="{00000000-0005-0000-0000-000001000000}"/>
    <cellStyle name="_181000-189000" xfId="6" xr:uid="{00000000-0005-0000-0000-000002000000}"/>
    <cellStyle name="_2002  What- No Cap X Morgan" xfId="7" xr:uid="{00000000-0005-0000-0000-000003000000}"/>
    <cellStyle name="_Baseline Rollforward Support 050817" xfId="8" xr:uid="{00000000-0005-0000-0000-000004000000}"/>
    <cellStyle name="_EGTG_2003_YTD_Cash_Flow" xfId="9" xr:uid="{00000000-0005-0000-0000-000005000000}"/>
    <cellStyle name="_Everest_Board_Book_2003_FINAL" xfId="10" xr:uid="{00000000-0005-0000-0000-000006000000}"/>
    <cellStyle name="_Oct03_Everest_Board_Financial_Operating_Report" xfId="11" xr:uid="{00000000-0005-0000-0000-000007000000}"/>
    <cellStyle name="_SpreadSM" xfId="12" xr:uid="{00000000-0005-0000-0000-000008000000}"/>
    <cellStyle name="_Vacation Hours 7-14-08 (2)" xfId="13" xr:uid="{00000000-0005-0000-0000-000009000000}"/>
    <cellStyle name="=C:\WINNT35\SYSTEM32\COMMAND.COM" xfId="14" xr:uid="{00000000-0005-0000-0000-00000A000000}"/>
    <cellStyle name="20% - Accent1 2" xfId="15" xr:uid="{00000000-0005-0000-0000-00000B000000}"/>
    <cellStyle name="20% - Accent2 2" xfId="16" xr:uid="{00000000-0005-0000-0000-00000C000000}"/>
    <cellStyle name="20% - Accent3 2" xfId="17" xr:uid="{00000000-0005-0000-0000-00000D000000}"/>
    <cellStyle name="20% - Accent4 2" xfId="18" xr:uid="{00000000-0005-0000-0000-00000E000000}"/>
    <cellStyle name="20% - Accent5 2" xfId="19" xr:uid="{00000000-0005-0000-0000-00000F000000}"/>
    <cellStyle name="20% - Accent6 2" xfId="20" xr:uid="{00000000-0005-0000-0000-000010000000}"/>
    <cellStyle name="40% - Accent1 2" xfId="21" xr:uid="{00000000-0005-0000-0000-000011000000}"/>
    <cellStyle name="40% - Accent2 2" xfId="22" xr:uid="{00000000-0005-0000-0000-000012000000}"/>
    <cellStyle name="40% - Accent3 2" xfId="23" xr:uid="{00000000-0005-0000-0000-000013000000}"/>
    <cellStyle name="40% - Accent4 2" xfId="24" xr:uid="{00000000-0005-0000-0000-000014000000}"/>
    <cellStyle name="40% - Accent5 2" xfId="25" xr:uid="{00000000-0005-0000-0000-000015000000}"/>
    <cellStyle name="40% - Accent6 2" xfId="26" xr:uid="{00000000-0005-0000-0000-000016000000}"/>
    <cellStyle name="60% - Accent1 2" xfId="27" xr:uid="{00000000-0005-0000-0000-000017000000}"/>
    <cellStyle name="60% - Accent2 2" xfId="28" xr:uid="{00000000-0005-0000-0000-000018000000}"/>
    <cellStyle name="60% - Accent3 2" xfId="29" xr:uid="{00000000-0005-0000-0000-000019000000}"/>
    <cellStyle name="60% - Accent4 2" xfId="30" xr:uid="{00000000-0005-0000-0000-00001A000000}"/>
    <cellStyle name="60% - Accent5 2" xfId="31" xr:uid="{00000000-0005-0000-0000-00001B000000}"/>
    <cellStyle name="60% - Accent6 2" xfId="32" xr:uid="{00000000-0005-0000-0000-00001C000000}"/>
    <cellStyle name="Accent1 2" xfId="33" xr:uid="{00000000-0005-0000-0000-00001D000000}"/>
    <cellStyle name="Accent2 2" xfId="34" xr:uid="{00000000-0005-0000-0000-00001E000000}"/>
    <cellStyle name="Accent3 2" xfId="35" xr:uid="{00000000-0005-0000-0000-00001F000000}"/>
    <cellStyle name="Accent4 2" xfId="36" xr:uid="{00000000-0005-0000-0000-000020000000}"/>
    <cellStyle name="Accent5 2" xfId="37" xr:uid="{00000000-0005-0000-0000-000021000000}"/>
    <cellStyle name="Accent6 2" xfId="38" xr:uid="{00000000-0005-0000-0000-000022000000}"/>
    <cellStyle name="Accounting" xfId="39" xr:uid="{00000000-0005-0000-0000-000023000000}"/>
    <cellStyle name="Actual Date" xfId="40" xr:uid="{00000000-0005-0000-0000-000024000000}"/>
    <cellStyle name="ADDR" xfId="41" xr:uid="{00000000-0005-0000-0000-000025000000}"/>
    <cellStyle name="Agara" xfId="42" xr:uid="{00000000-0005-0000-0000-000026000000}"/>
    <cellStyle name="Bad 2" xfId="43" xr:uid="{00000000-0005-0000-0000-000027000000}"/>
    <cellStyle name="Body" xfId="44" xr:uid="{00000000-0005-0000-0000-000028000000}"/>
    <cellStyle name="Bottom bold border" xfId="45" xr:uid="{00000000-0005-0000-0000-000029000000}"/>
    <cellStyle name="Bottom single border" xfId="46" xr:uid="{00000000-0005-0000-0000-00002A000000}"/>
    <cellStyle name="Business Unit" xfId="47" xr:uid="{00000000-0005-0000-0000-00002B000000}"/>
    <cellStyle name="C00A" xfId="48" xr:uid="{00000000-0005-0000-0000-00002C000000}"/>
    <cellStyle name="C00B" xfId="49" xr:uid="{00000000-0005-0000-0000-00002D000000}"/>
    <cellStyle name="C00L" xfId="50" xr:uid="{00000000-0005-0000-0000-00002E000000}"/>
    <cellStyle name="C01A" xfId="51" xr:uid="{00000000-0005-0000-0000-00002F000000}"/>
    <cellStyle name="C01B" xfId="52" xr:uid="{00000000-0005-0000-0000-000030000000}"/>
    <cellStyle name="C01H" xfId="53" xr:uid="{00000000-0005-0000-0000-000031000000}"/>
    <cellStyle name="C01L" xfId="54" xr:uid="{00000000-0005-0000-0000-000032000000}"/>
    <cellStyle name="C02A" xfId="55" xr:uid="{00000000-0005-0000-0000-000033000000}"/>
    <cellStyle name="C02B" xfId="56" xr:uid="{00000000-0005-0000-0000-000034000000}"/>
    <cellStyle name="C02H" xfId="57" xr:uid="{00000000-0005-0000-0000-000035000000}"/>
    <cellStyle name="C02L" xfId="58" xr:uid="{00000000-0005-0000-0000-000036000000}"/>
    <cellStyle name="C03A" xfId="59" xr:uid="{00000000-0005-0000-0000-000037000000}"/>
    <cellStyle name="C03B" xfId="60" xr:uid="{00000000-0005-0000-0000-000038000000}"/>
    <cellStyle name="C03H" xfId="61" xr:uid="{00000000-0005-0000-0000-000039000000}"/>
    <cellStyle name="C03L" xfId="62" xr:uid="{00000000-0005-0000-0000-00003A000000}"/>
    <cellStyle name="C04A" xfId="63" xr:uid="{00000000-0005-0000-0000-00003B000000}"/>
    <cellStyle name="C04B" xfId="64" xr:uid="{00000000-0005-0000-0000-00003C000000}"/>
    <cellStyle name="C04H" xfId="65" xr:uid="{00000000-0005-0000-0000-00003D000000}"/>
    <cellStyle name="C04L" xfId="66" xr:uid="{00000000-0005-0000-0000-00003E000000}"/>
    <cellStyle name="C05A" xfId="67" xr:uid="{00000000-0005-0000-0000-00003F000000}"/>
    <cellStyle name="C05B" xfId="68" xr:uid="{00000000-0005-0000-0000-000040000000}"/>
    <cellStyle name="C05H" xfId="69" xr:uid="{00000000-0005-0000-0000-000041000000}"/>
    <cellStyle name="C05L" xfId="70" xr:uid="{00000000-0005-0000-0000-000042000000}"/>
    <cellStyle name="C06A" xfId="71" xr:uid="{00000000-0005-0000-0000-000043000000}"/>
    <cellStyle name="C06B" xfId="72" xr:uid="{00000000-0005-0000-0000-000044000000}"/>
    <cellStyle name="C06H" xfId="73" xr:uid="{00000000-0005-0000-0000-000045000000}"/>
    <cellStyle name="C06L" xfId="74" xr:uid="{00000000-0005-0000-0000-000046000000}"/>
    <cellStyle name="C07A" xfId="75" xr:uid="{00000000-0005-0000-0000-000047000000}"/>
    <cellStyle name="C07B" xfId="76" xr:uid="{00000000-0005-0000-0000-000048000000}"/>
    <cellStyle name="C07H" xfId="77" xr:uid="{00000000-0005-0000-0000-000049000000}"/>
    <cellStyle name="C07L" xfId="78" xr:uid="{00000000-0005-0000-0000-00004A000000}"/>
    <cellStyle name="Calculation 2" xfId="79" xr:uid="{00000000-0005-0000-0000-00004B000000}"/>
    <cellStyle name="Check Cell 2" xfId="80" xr:uid="{00000000-0005-0000-0000-00004C000000}"/>
    <cellStyle name="Comma" xfId="1" builtinId="3"/>
    <cellStyle name="Comma 0" xfId="81" xr:uid="{00000000-0005-0000-0000-00004E000000}"/>
    <cellStyle name="Comma 2" xfId="82" xr:uid="{00000000-0005-0000-0000-00004F000000}"/>
    <cellStyle name="Comma 3" xfId="83" xr:uid="{00000000-0005-0000-0000-000050000000}"/>
    <cellStyle name="Comma 4" xfId="84" xr:uid="{00000000-0005-0000-0000-000051000000}"/>
    <cellStyle name="Comma 5" xfId="85" xr:uid="{00000000-0005-0000-0000-000052000000}"/>
    <cellStyle name="Comma0 - Style1" xfId="86" xr:uid="{00000000-0005-0000-0000-000053000000}"/>
    <cellStyle name="Currency" xfId="2" builtinId="4"/>
    <cellStyle name="Currency 2" xfId="87" xr:uid="{00000000-0005-0000-0000-000055000000}"/>
    <cellStyle name="Currency 3" xfId="88" xr:uid="{00000000-0005-0000-0000-000056000000}"/>
    <cellStyle name="Date" xfId="89" xr:uid="{00000000-0005-0000-0000-000057000000}"/>
    <cellStyle name="Euro" xfId="90" xr:uid="{00000000-0005-0000-0000-000058000000}"/>
    <cellStyle name="Explanatory Text 2" xfId="91" xr:uid="{00000000-0005-0000-0000-000059000000}"/>
    <cellStyle name="Fixed" xfId="92" xr:uid="{00000000-0005-0000-0000-00005A000000}"/>
    <cellStyle name="Fixed1 - Style1" xfId="93" xr:uid="{00000000-0005-0000-0000-00005B000000}"/>
    <cellStyle name="Gilsans" xfId="94" xr:uid="{00000000-0005-0000-0000-00005C000000}"/>
    <cellStyle name="Gilsansl" xfId="95" xr:uid="{00000000-0005-0000-0000-00005D000000}"/>
    <cellStyle name="Good 2" xfId="96" xr:uid="{00000000-0005-0000-0000-00005E000000}"/>
    <cellStyle name="Grey" xfId="97" xr:uid="{00000000-0005-0000-0000-00005F000000}"/>
    <cellStyle name="HEADER" xfId="98" xr:uid="{00000000-0005-0000-0000-000060000000}"/>
    <cellStyle name="Header1" xfId="99" xr:uid="{00000000-0005-0000-0000-000061000000}"/>
    <cellStyle name="Header2" xfId="100" xr:uid="{00000000-0005-0000-0000-000062000000}"/>
    <cellStyle name="Heading" xfId="101" xr:uid="{00000000-0005-0000-0000-000063000000}"/>
    <cellStyle name="Heading 1 2" xfId="102" xr:uid="{00000000-0005-0000-0000-000064000000}"/>
    <cellStyle name="Heading 2 2" xfId="103" xr:uid="{00000000-0005-0000-0000-000065000000}"/>
    <cellStyle name="Heading 3 2" xfId="104" xr:uid="{00000000-0005-0000-0000-000066000000}"/>
    <cellStyle name="Heading 4 2" xfId="105" xr:uid="{00000000-0005-0000-0000-000067000000}"/>
    <cellStyle name="Heading1" xfId="106" xr:uid="{00000000-0005-0000-0000-000068000000}"/>
    <cellStyle name="Heading2" xfId="107" xr:uid="{00000000-0005-0000-0000-000069000000}"/>
    <cellStyle name="HIGHLIGHT" xfId="108" xr:uid="{00000000-0005-0000-0000-00006A000000}"/>
    <cellStyle name="Hyperlink" xfId="206" builtinId="8"/>
    <cellStyle name="Input [yellow]" xfId="109" xr:uid="{00000000-0005-0000-0000-00006C000000}"/>
    <cellStyle name="Input 2" xfId="110" xr:uid="{00000000-0005-0000-0000-00006D000000}"/>
    <cellStyle name="Lines" xfId="111" xr:uid="{00000000-0005-0000-0000-00006E000000}"/>
    <cellStyle name="Linked Cell 2" xfId="112" xr:uid="{00000000-0005-0000-0000-00006F000000}"/>
    <cellStyle name="MEM SSN" xfId="113" xr:uid="{00000000-0005-0000-0000-000070000000}"/>
    <cellStyle name="Mine" xfId="114" xr:uid="{00000000-0005-0000-0000-000071000000}"/>
    <cellStyle name="mmm-yy" xfId="115" xr:uid="{00000000-0005-0000-0000-000072000000}"/>
    <cellStyle name="Monétaire [0]_pldt" xfId="116" xr:uid="{00000000-0005-0000-0000-000073000000}"/>
    <cellStyle name="Monétaire_pldt" xfId="117" xr:uid="{00000000-0005-0000-0000-000074000000}"/>
    <cellStyle name="Neutral 2" xfId="118" xr:uid="{00000000-0005-0000-0000-000075000000}"/>
    <cellStyle name="New" xfId="119" xr:uid="{00000000-0005-0000-0000-000076000000}"/>
    <cellStyle name="No Border" xfId="120" xr:uid="{00000000-0005-0000-0000-000077000000}"/>
    <cellStyle name="no dec" xfId="121" xr:uid="{00000000-0005-0000-0000-000078000000}"/>
    <cellStyle name="Normal" xfId="0" builtinId="0"/>
    <cellStyle name="Normal - Style1" xfId="122" xr:uid="{00000000-0005-0000-0000-00007A000000}"/>
    <cellStyle name="Normal 10" xfId="198" xr:uid="{00000000-0005-0000-0000-00007B000000}"/>
    <cellStyle name="Normal 11" xfId="199" xr:uid="{00000000-0005-0000-0000-00007C000000}"/>
    <cellStyle name="Normal 12" xfId="200" xr:uid="{00000000-0005-0000-0000-00007D000000}"/>
    <cellStyle name="Normal 14" xfId="201" xr:uid="{00000000-0005-0000-0000-00007E000000}"/>
    <cellStyle name="Normal 15" xfId="203" xr:uid="{00000000-0005-0000-0000-00007F000000}"/>
    <cellStyle name="Normal 18" xfId="197" xr:uid="{00000000-0005-0000-0000-000080000000}"/>
    <cellStyle name="Normal 2" xfId="123" xr:uid="{00000000-0005-0000-0000-000081000000}"/>
    <cellStyle name="Normal 2 2" xfId="124" xr:uid="{00000000-0005-0000-0000-000082000000}"/>
    <cellStyle name="Normal 22" xfId="202" xr:uid="{00000000-0005-0000-0000-000083000000}"/>
    <cellStyle name="Normal 3" xfId="125" xr:uid="{00000000-0005-0000-0000-000084000000}"/>
    <cellStyle name="Normal 3 2" xfId="126" xr:uid="{00000000-0005-0000-0000-000085000000}"/>
    <cellStyle name="Normal 4" xfId="127" xr:uid="{00000000-0005-0000-0000-000086000000}"/>
    <cellStyle name="Normal 5" xfId="194" xr:uid="{00000000-0005-0000-0000-000087000000}"/>
    <cellStyle name="Normal 8" xfId="195" xr:uid="{00000000-0005-0000-0000-000088000000}"/>
    <cellStyle name="Normal 9" xfId="196" xr:uid="{00000000-0005-0000-0000-000089000000}"/>
    <cellStyle name="Normal CEN" xfId="128" xr:uid="{00000000-0005-0000-0000-00008A000000}"/>
    <cellStyle name="Normal Centered" xfId="129" xr:uid="{00000000-0005-0000-0000-00008B000000}"/>
    <cellStyle name="NORMAL CTR" xfId="130" xr:uid="{00000000-0005-0000-0000-00008C000000}"/>
    <cellStyle name="Normal_PRECorp2002HeintzResponse 8-21-03" xfId="3" xr:uid="{00000000-0005-0000-0000-00008D000000}"/>
    <cellStyle name="Note 2" xfId="131" xr:uid="{00000000-0005-0000-0000-00008E000000}"/>
    <cellStyle name="nUMBER" xfId="132" xr:uid="{00000000-0005-0000-0000-00008F000000}"/>
    <cellStyle name="Output 2" xfId="133" xr:uid="{00000000-0005-0000-0000-000090000000}"/>
    <cellStyle name="Percent" xfId="208" builtinId="5"/>
    <cellStyle name="Percent [2]" xfId="134" xr:uid="{00000000-0005-0000-0000-000092000000}"/>
    <cellStyle name="Percent 14" xfId="204" xr:uid="{00000000-0005-0000-0000-000093000000}"/>
    <cellStyle name="Percent 2" xfId="135" xr:uid="{00000000-0005-0000-0000-000094000000}"/>
    <cellStyle name="Percent 60 2" xfId="205" xr:uid="{00000000-0005-0000-0000-000095000000}"/>
    <cellStyle name="Percent 60 2 2" xfId="207" xr:uid="{00000000-0005-0000-0000-000096000000}"/>
    <cellStyle name="PSChar" xfId="136" xr:uid="{00000000-0005-0000-0000-000097000000}"/>
    <cellStyle name="PSDate" xfId="137" xr:uid="{00000000-0005-0000-0000-000098000000}"/>
    <cellStyle name="PSDec" xfId="138" xr:uid="{00000000-0005-0000-0000-000099000000}"/>
    <cellStyle name="PSHeading" xfId="139" xr:uid="{00000000-0005-0000-0000-00009A000000}"/>
    <cellStyle name="PSInt" xfId="140" xr:uid="{00000000-0005-0000-0000-00009B000000}"/>
    <cellStyle name="PSSpacer" xfId="141" xr:uid="{00000000-0005-0000-0000-00009C000000}"/>
    <cellStyle name="R00A" xfId="142" xr:uid="{00000000-0005-0000-0000-00009D000000}"/>
    <cellStyle name="R00B" xfId="143" xr:uid="{00000000-0005-0000-0000-00009E000000}"/>
    <cellStyle name="R00L" xfId="144" xr:uid="{00000000-0005-0000-0000-00009F000000}"/>
    <cellStyle name="R01A" xfId="145" xr:uid="{00000000-0005-0000-0000-0000A0000000}"/>
    <cellStyle name="R01B" xfId="146" xr:uid="{00000000-0005-0000-0000-0000A1000000}"/>
    <cellStyle name="R01H" xfId="147" xr:uid="{00000000-0005-0000-0000-0000A2000000}"/>
    <cellStyle name="R01L" xfId="148" xr:uid="{00000000-0005-0000-0000-0000A3000000}"/>
    <cellStyle name="R02A" xfId="149" xr:uid="{00000000-0005-0000-0000-0000A4000000}"/>
    <cellStyle name="R02B" xfId="150" xr:uid="{00000000-0005-0000-0000-0000A5000000}"/>
    <cellStyle name="R02H" xfId="151" xr:uid="{00000000-0005-0000-0000-0000A6000000}"/>
    <cellStyle name="R02L" xfId="152" xr:uid="{00000000-0005-0000-0000-0000A7000000}"/>
    <cellStyle name="R03A" xfId="153" xr:uid="{00000000-0005-0000-0000-0000A8000000}"/>
    <cellStyle name="R03B" xfId="154" xr:uid="{00000000-0005-0000-0000-0000A9000000}"/>
    <cellStyle name="R03H" xfId="155" xr:uid="{00000000-0005-0000-0000-0000AA000000}"/>
    <cellStyle name="R03L" xfId="156" xr:uid="{00000000-0005-0000-0000-0000AB000000}"/>
    <cellStyle name="R04A" xfId="157" xr:uid="{00000000-0005-0000-0000-0000AC000000}"/>
    <cellStyle name="R04B" xfId="158" xr:uid="{00000000-0005-0000-0000-0000AD000000}"/>
    <cellStyle name="R04H" xfId="159" xr:uid="{00000000-0005-0000-0000-0000AE000000}"/>
    <cellStyle name="R04L" xfId="160" xr:uid="{00000000-0005-0000-0000-0000AF000000}"/>
    <cellStyle name="R05A" xfId="161" xr:uid="{00000000-0005-0000-0000-0000B0000000}"/>
    <cellStyle name="R05B" xfId="162" xr:uid="{00000000-0005-0000-0000-0000B1000000}"/>
    <cellStyle name="R05H" xfId="163" xr:uid="{00000000-0005-0000-0000-0000B2000000}"/>
    <cellStyle name="R05L" xfId="164" xr:uid="{00000000-0005-0000-0000-0000B3000000}"/>
    <cellStyle name="R06A" xfId="165" xr:uid="{00000000-0005-0000-0000-0000B4000000}"/>
    <cellStyle name="R06B" xfId="166" xr:uid="{00000000-0005-0000-0000-0000B5000000}"/>
    <cellStyle name="R06H" xfId="167" xr:uid="{00000000-0005-0000-0000-0000B6000000}"/>
    <cellStyle name="R06L" xfId="168" xr:uid="{00000000-0005-0000-0000-0000B7000000}"/>
    <cellStyle name="R07A" xfId="169" xr:uid="{00000000-0005-0000-0000-0000B8000000}"/>
    <cellStyle name="R07B" xfId="170" xr:uid="{00000000-0005-0000-0000-0000B9000000}"/>
    <cellStyle name="R07H" xfId="171" xr:uid="{00000000-0005-0000-0000-0000BA000000}"/>
    <cellStyle name="R07L" xfId="172" xr:uid="{00000000-0005-0000-0000-0000BB000000}"/>
    <cellStyle name="Resource Detail" xfId="173" xr:uid="{00000000-0005-0000-0000-0000BC000000}"/>
    <cellStyle name="Shade" xfId="174" xr:uid="{00000000-0005-0000-0000-0000BD000000}"/>
    <cellStyle name="single acct" xfId="175" xr:uid="{00000000-0005-0000-0000-0000BE000000}"/>
    <cellStyle name="Single Border" xfId="176" xr:uid="{00000000-0005-0000-0000-0000BF000000}"/>
    <cellStyle name="Small Page Heading" xfId="177" xr:uid="{00000000-0005-0000-0000-0000C0000000}"/>
    <cellStyle name="ssn" xfId="178" xr:uid="{00000000-0005-0000-0000-0000C1000000}"/>
    <cellStyle name="Style 1" xfId="179" xr:uid="{00000000-0005-0000-0000-0000C2000000}"/>
    <cellStyle name="Style 2" xfId="180" xr:uid="{00000000-0005-0000-0000-0000C3000000}"/>
    <cellStyle name="Style 27" xfId="181" xr:uid="{00000000-0005-0000-0000-0000C4000000}"/>
    <cellStyle name="Style 28" xfId="182" xr:uid="{00000000-0005-0000-0000-0000C5000000}"/>
    <cellStyle name="Table Sub Heading" xfId="183" xr:uid="{00000000-0005-0000-0000-0000C6000000}"/>
    <cellStyle name="Table Title" xfId="184" xr:uid="{00000000-0005-0000-0000-0000C7000000}"/>
    <cellStyle name="Table Units" xfId="185" xr:uid="{00000000-0005-0000-0000-0000C8000000}"/>
    <cellStyle name="Theirs" xfId="186" xr:uid="{00000000-0005-0000-0000-0000C9000000}"/>
    <cellStyle name="Times New Roman" xfId="187" xr:uid="{00000000-0005-0000-0000-0000CA000000}"/>
    <cellStyle name="Title 2" xfId="188" xr:uid="{00000000-0005-0000-0000-0000CB000000}"/>
    <cellStyle name="Total 2" xfId="189" xr:uid="{00000000-0005-0000-0000-0000CC000000}"/>
    <cellStyle name="Unprot" xfId="190" xr:uid="{00000000-0005-0000-0000-0000CD000000}"/>
    <cellStyle name="Unprot$" xfId="191" xr:uid="{00000000-0005-0000-0000-0000CE000000}"/>
    <cellStyle name="Unprotect" xfId="192" xr:uid="{00000000-0005-0000-0000-0000CF000000}"/>
    <cellStyle name="Warning Text 2" xfId="193" xr:uid="{00000000-0005-0000-0000-0000D0000000}"/>
  </cellStyles>
  <dxfs count="0"/>
  <tableStyles count="0" defaultTableStyle="TableStyleMedium2" defaultPivotStyle="PivotStyleLight16"/>
  <colors>
    <mruColors>
      <color rgb="FF00FFFF"/>
      <color rgb="FFCC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5640E-CD2C-4693-9C8B-023E65C7C119}">
  <sheetPr>
    <tabColor rgb="FF92D050"/>
  </sheetPr>
  <dimension ref="A1:G197"/>
  <sheetViews>
    <sheetView tabSelected="1" zoomScale="80" zoomScaleNormal="80" workbookViewId="0">
      <selection activeCell="C4" sqref="C4"/>
    </sheetView>
  </sheetViews>
  <sheetFormatPr defaultRowHeight="15"/>
  <cols>
    <col min="1" max="1" width="5.33203125" customWidth="1"/>
    <col min="2" max="2" width="1.77734375" customWidth="1"/>
    <col min="3" max="3" width="49.44140625" customWidth="1"/>
    <col min="4" max="4" width="32.88671875" customWidth="1"/>
    <col min="5" max="5" width="2.5546875" customWidth="1"/>
    <col min="6" max="6" width="76.5546875" bestFit="1" customWidth="1"/>
    <col min="8" max="8" width="14.44140625" bestFit="1" customWidth="1"/>
  </cols>
  <sheetData>
    <row r="1" spans="1:6" ht="15.75">
      <c r="A1" s="202" t="s">
        <v>2</v>
      </c>
      <c r="B1" s="202"/>
      <c r="C1" s="202"/>
      <c r="D1" s="202"/>
      <c r="E1" s="202"/>
      <c r="F1" s="202"/>
    </row>
    <row r="2" spans="1:6" ht="15.75">
      <c r="A2" s="202" t="s">
        <v>199</v>
      </c>
      <c r="B2" s="202"/>
      <c r="C2" s="202"/>
      <c r="D2" s="202"/>
      <c r="E2" s="202"/>
      <c r="F2" s="202"/>
    </row>
    <row r="3" spans="1:6">
      <c r="A3" s="31"/>
      <c r="B3" s="31"/>
      <c r="C3" s="31"/>
      <c r="D3" s="31"/>
      <c r="E3" s="31"/>
      <c r="F3" s="31"/>
    </row>
    <row r="4" spans="1:6">
      <c r="A4" s="31"/>
      <c r="B4" s="31"/>
      <c r="C4" s="31"/>
      <c r="D4" s="31"/>
      <c r="E4" s="31"/>
      <c r="F4" s="31"/>
    </row>
    <row r="5" spans="1:6" ht="15.75">
      <c r="A5" s="31"/>
      <c r="B5" s="31"/>
      <c r="C5" s="31"/>
      <c r="D5" s="32" t="s">
        <v>65</v>
      </c>
      <c r="E5" s="31"/>
      <c r="F5" s="32" t="s">
        <v>66</v>
      </c>
    </row>
    <row r="6" spans="1:6">
      <c r="A6" s="143"/>
      <c r="B6" s="143"/>
      <c r="C6" s="33" t="s">
        <v>67</v>
      </c>
      <c r="D6" s="33" t="s">
        <v>68</v>
      </c>
      <c r="E6" s="31"/>
      <c r="F6" s="33" t="s">
        <v>68</v>
      </c>
    </row>
    <row r="7" spans="1:6" ht="15.75">
      <c r="A7" s="143"/>
      <c r="B7" s="143"/>
      <c r="C7" s="142"/>
      <c r="D7" s="34" t="s">
        <v>4</v>
      </c>
      <c r="E7" s="31"/>
      <c r="F7" s="34" t="s">
        <v>4</v>
      </c>
    </row>
    <row r="8" spans="1:6" ht="15.75">
      <c r="A8" s="35" t="s">
        <v>3</v>
      </c>
      <c r="B8" s="143"/>
      <c r="C8" s="142"/>
      <c r="D8" s="36" t="s">
        <v>6</v>
      </c>
      <c r="E8" s="31"/>
      <c r="F8" s="36" t="s">
        <v>6</v>
      </c>
    </row>
    <row r="9" spans="1:6" ht="16.5" thickBot="1">
      <c r="A9" s="37" t="s">
        <v>5</v>
      </c>
      <c r="B9" s="143"/>
      <c r="C9" s="157" t="s">
        <v>69</v>
      </c>
      <c r="D9" s="141"/>
      <c r="E9" s="31"/>
      <c r="F9" s="141"/>
    </row>
    <row r="10" spans="1:6">
      <c r="A10" s="35"/>
      <c r="B10" s="143"/>
      <c r="C10" s="142"/>
      <c r="D10" s="148"/>
      <c r="E10" s="31"/>
      <c r="F10" s="141"/>
    </row>
    <row r="11" spans="1:6">
      <c r="A11" s="35"/>
      <c r="B11" s="143"/>
      <c r="C11" s="143" t="s">
        <v>70</v>
      </c>
      <c r="D11" s="154" t="s">
        <v>71</v>
      </c>
      <c r="E11" s="31"/>
      <c r="F11" s="153" t="s">
        <v>71</v>
      </c>
    </row>
    <row r="12" spans="1:6">
      <c r="A12" s="35">
        <v>1</v>
      </c>
      <c r="B12" s="143"/>
      <c r="C12" s="143" t="s">
        <v>72</v>
      </c>
      <c r="D12" s="152" t="s">
        <v>73</v>
      </c>
      <c r="E12" s="31"/>
      <c r="F12" s="151" t="s">
        <v>73</v>
      </c>
    </row>
    <row r="13" spans="1:6">
      <c r="A13" s="35">
        <f t="shared" ref="A13:A44" si="0">+A12+1</f>
        <v>2</v>
      </c>
      <c r="B13" s="143"/>
      <c r="C13" s="143" t="s">
        <v>74</v>
      </c>
      <c r="D13" s="152" t="s">
        <v>75</v>
      </c>
      <c r="E13" s="31"/>
      <c r="F13" s="151" t="s">
        <v>75</v>
      </c>
    </row>
    <row r="14" spans="1:6">
      <c r="A14" s="35">
        <f t="shared" si="0"/>
        <v>3</v>
      </c>
      <c r="B14" s="143"/>
      <c r="C14" s="150" t="s">
        <v>333</v>
      </c>
      <c r="D14" s="148" t="str">
        <f>"See Workpaper 2 (line 9)"</f>
        <v>See Workpaper 2 (line 9)</v>
      </c>
      <c r="E14" s="31"/>
      <c r="F14" s="148" t="s">
        <v>376</v>
      </c>
    </row>
    <row r="15" spans="1:6">
      <c r="A15" s="35">
        <f t="shared" si="0"/>
        <v>4</v>
      </c>
      <c r="B15" s="143"/>
      <c r="C15" s="150" t="s">
        <v>333</v>
      </c>
      <c r="D15" s="148" t="s">
        <v>375</v>
      </c>
      <c r="E15" s="31"/>
      <c r="F15" s="148" t="s">
        <v>377</v>
      </c>
    </row>
    <row r="16" spans="1:6">
      <c r="A16" s="35">
        <f t="shared" si="0"/>
        <v>5</v>
      </c>
      <c r="B16" s="143"/>
      <c r="C16" s="143" t="s">
        <v>76</v>
      </c>
      <c r="D16" s="152" t="s">
        <v>77</v>
      </c>
      <c r="E16" s="31"/>
      <c r="F16" s="151" t="s">
        <v>77</v>
      </c>
    </row>
    <row r="17" spans="1:6">
      <c r="A17" s="35">
        <f t="shared" si="0"/>
        <v>6</v>
      </c>
      <c r="B17" s="143"/>
      <c r="C17" s="143" t="s">
        <v>78</v>
      </c>
      <c r="D17" s="148" t="s">
        <v>374</v>
      </c>
      <c r="E17" s="31"/>
      <c r="F17" s="141" t="s">
        <v>378</v>
      </c>
    </row>
    <row r="18" spans="1:6">
      <c r="A18" s="35">
        <f t="shared" si="0"/>
        <v>7</v>
      </c>
      <c r="B18" s="143"/>
      <c r="C18" s="143" t="s">
        <v>79</v>
      </c>
      <c r="D18" s="148" t="s">
        <v>373</v>
      </c>
      <c r="E18" s="31"/>
      <c r="F18" s="141" t="s">
        <v>379</v>
      </c>
    </row>
    <row r="19" spans="1:6">
      <c r="A19" s="35">
        <f t="shared" si="0"/>
        <v>8</v>
      </c>
      <c r="B19" s="143"/>
      <c r="C19" s="143" t="s">
        <v>80</v>
      </c>
      <c r="D19" s="148" t="s">
        <v>372</v>
      </c>
      <c r="E19" s="31"/>
      <c r="F19" s="147" t="s">
        <v>372</v>
      </c>
    </row>
    <row r="20" spans="1:6">
      <c r="A20" s="35">
        <f t="shared" si="0"/>
        <v>9</v>
      </c>
      <c r="B20" s="143"/>
      <c r="C20" s="143" t="s">
        <v>81</v>
      </c>
      <c r="D20" s="152" t="s">
        <v>82</v>
      </c>
      <c r="E20" s="31"/>
      <c r="F20" s="151" t="s">
        <v>82</v>
      </c>
    </row>
    <row r="21" spans="1:6">
      <c r="A21" s="35">
        <f t="shared" si="0"/>
        <v>10</v>
      </c>
      <c r="B21" s="143"/>
      <c r="C21" s="155" t="s">
        <v>83</v>
      </c>
      <c r="D21" s="148" t="s">
        <v>371</v>
      </c>
      <c r="E21" s="31"/>
      <c r="F21" s="147" t="s">
        <v>371</v>
      </c>
    </row>
    <row r="22" spans="1:6">
      <c r="A22" s="35">
        <f t="shared" si="0"/>
        <v>11</v>
      </c>
      <c r="B22" s="143"/>
      <c r="C22" s="142"/>
      <c r="D22" s="148"/>
      <c r="E22" s="31"/>
      <c r="F22" s="141"/>
    </row>
    <row r="23" spans="1:6">
      <c r="A23" s="35">
        <f t="shared" si="0"/>
        <v>12</v>
      </c>
      <c r="B23" s="143"/>
      <c r="C23" s="143" t="s">
        <v>84</v>
      </c>
      <c r="D23" s="148"/>
      <c r="E23" s="31"/>
      <c r="F23" s="141"/>
    </row>
    <row r="24" spans="1:6">
      <c r="A24" s="35">
        <f t="shared" si="0"/>
        <v>13</v>
      </c>
      <c r="B24" s="143"/>
      <c r="C24" s="142" t="s">
        <v>72</v>
      </c>
      <c r="D24" s="154" t="s">
        <v>85</v>
      </c>
      <c r="E24" s="31"/>
      <c r="F24" s="153" t="s">
        <v>85</v>
      </c>
    </row>
    <row r="25" spans="1:6">
      <c r="A25" s="35">
        <f t="shared" si="0"/>
        <v>14</v>
      </c>
      <c r="B25" s="143"/>
      <c r="C25" s="143" t="s">
        <v>74</v>
      </c>
      <c r="D25" s="154" t="s">
        <v>86</v>
      </c>
      <c r="E25" s="31"/>
      <c r="F25" s="153" t="s">
        <v>86</v>
      </c>
    </row>
    <row r="26" spans="1:6">
      <c r="A26" s="35">
        <f t="shared" si="0"/>
        <v>15</v>
      </c>
      <c r="B26" s="143"/>
      <c r="C26" s="150" t="s">
        <v>370</v>
      </c>
      <c r="D26" s="148" t="str">
        <f>"See Workpaper 2 (line 48)"</f>
        <v>See Workpaper 2 (line 48)</v>
      </c>
      <c r="E26" s="31"/>
      <c r="F26" s="148" t="s">
        <v>369</v>
      </c>
    </row>
    <row r="27" spans="1:6">
      <c r="A27" s="35">
        <f t="shared" si="0"/>
        <v>16</v>
      </c>
      <c r="B27" s="143"/>
      <c r="C27" s="143" t="s">
        <v>76</v>
      </c>
      <c r="D27" s="154" t="s">
        <v>87</v>
      </c>
      <c r="E27" s="31"/>
      <c r="F27" s="153" t="s">
        <v>87</v>
      </c>
    </row>
    <row r="28" spans="1:6">
      <c r="A28" s="35">
        <f t="shared" si="0"/>
        <v>17</v>
      </c>
      <c r="B28" s="143"/>
      <c r="C28" s="142" t="s">
        <v>78</v>
      </c>
      <c r="D28" s="154" t="s">
        <v>368</v>
      </c>
      <c r="E28" s="31"/>
      <c r="F28" s="141" t="s">
        <v>380</v>
      </c>
    </row>
    <row r="29" spans="1:6">
      <c r="A29" s="35">
        <f t="shared" si="0"/>
        <v>18</v>
      </c>
      <c r="B29" s="143"/>
      <c r="C29" s="143" t="s">
        <v>79</v>
      </c>
      <c r="D29" s="154" t="s">
        <v>367</v>
      </c>
      <c r="E29" s="31"/>
      <c r="F29" s="141" t="s">
        <v>381</v>
      </c>
    </row>
    <row r="30" spans="1:6">
      <c r="A30" s="35">
        <f t="shared" si="0"/>
        <v>19</v>
      </c>
      <c r="B30" s="143"/>
      <c r="C30" s="142" t="s">
        <v>80</v>
      </c>
      <c r="D30" s="154" t="s">
        <v>366</v>
      </c>
      <c r="E30" s="31"/>
      <c r="F30" s="141" t="s">
        <v>382</v>
      </c>
    </row>
    <row r="31" spans="1:6">
      <c r="A31" s="35">
        <f t="shared" si="0"/>
        <v>20</v>
      </c>
      <c r="B31" s="143"/>
      <c r="C31" s="142" t="s">
        <v>81</v>
      </c>
      <c r="D31" s="154" t="s">
        <v>82</v>
      </c>
      <c r="E31" s="31"/>
      <c r="F31" s="153" t="s">
        <v>82</v>
      </c>
    </row>
    <row r="32" spans="1:6">
      <c r="A32" s="35">
        <f t="shared" si="0"/>
        <v>21</v>
      </c>
      <c r="B32" s="143"/>
      <c r="C32" s="143" t="s">
        <v>88</v>
      </c>
      <c r="D32" s="148" t="s">
        <v>365</v>
      </c>
      <c r="E32" s="31"/>
      <c r="F32" s="147" t="s">
        <v>365</v>
      </c>
    </row>
    <row r="33" spans="1:6">
      <c r="A33" s="35">
        <f t="shared" si="0"/>
        <v>22</v>
      </c>
      <c r="B33" s="143"/>
      <c r="C33" s="143"/>
      <c r="D33" s="148" t="s">
        <v>89</v>
      </c>
      <c r="E33" s="31"/>
      <c r="F33" s="141" t="s">
        <v>89</v>
      </c>
    </row>
    <row r="34" spans="1:6">
      <c r="A34" s="35">
        <f t="shared" si="0"/>
        <v>23</v>
      </c>
      <c r="B34" s="143"/>
      <c r="C34" s="143" t="s">
        <v>90</v>
      </c>
      <c r="D34" s="148"/>
      <c r="E34" s="31"/>
      <c r="F34" s="141"/>
    </row>
    <row r="35" spans="1:6">
      <c r="A35" s="35">
        <f t="shared" si="0"/>
        <v>24</v>
      </c>
      <c r="B35" s="143"/>
      <c r="C35" s="142" t="s">
        <v>72</v>
      </c>
      <c r="D35" s="148" t="s">
        <v>364</v>
      </c>
      <c r="E35" s="31"/>
      <c r="F35" s="147" t="s">
        <v>364</v>
      </c>
    </row>
    <row r="36" spans="1:6">
      <c r="A36" s="35">
        <f t="shared" si="0"/>
        <v>25</v>
      </c>
      <c r="B36" s="143"/>
      <c r="C36" s="143" t="s">
        <v>74</v>
      </c>
      <c r="D36" s="148" t="s">
        <v>363</v>
      </c>
      <c r="E36" s="31"/>
      <c r="F36" s="147" t="s">
        <v>363</v>
      </c>
    </row>
    <row r="37" spans="1:6">
      <c r="A37" s="35">
        <f t="shared" si="0"/>
        <v>26</v>
      </c>
      <c r="B37" s="143"/>
      <c r="C37" s="150" t="str">
        <f>+C14</f>
        <v xml:space="preserve">  New Construction CUS Assets</v>
      </c>
      <c r="D37" s="148" t="s">
        <v>362</v>
      </c>
      <c r="E37" s="31"/>
      <c r="F37" s="147" t="s">
        <v>362</v>
      </c>
    </row>
    <row r="38" spans="1:6">
      <c r="A38" s="35">
        <f t="shared" si="0"/>
        <v>27</v>
      </c>
      <c r="B38" s="143"/>
      <c r="C38" s="150" t="s">
        <v>333</v>
      </c>
      <c r="D38" s="148" t="s">
        <v>361</v>
      </c>
      <c r="E38" s="31"/>
      <c r="F38" s="147" t="s">
        <v>361</v>
      </c>
    </row>
    <row r="39" spans="1:6">
      <c r="A39" s="35">
        <f t="shared" si="0"/>
        <v>28</v>
      </c>
      <c r="B39" s="143"/>
      <c r="C39" s="143" t="s">
        <v>91</v>
      </c>
      <c r="D39" s="148" t="s">
        <v>360</v>
      </c>
      <c r="E39" s="31"/>
      <c r="F39" s="147" t="s">
        <v>360</v>
      </c>
    </row>
    <row r="40" spans="1:6">
      <c r="A40" s="35">
        <f t="shared" si="0"/>
        <v>29</v>
      </c>
      <c r="B40" s="143"/>
      <c r="C40" s="142" t="s">
        <v>78</v>
      </c>
      <c r="D40" s="148" t="s">
        <v>359</v>
      </c>
      <c r="E40" s="31"/>
      <c r="F40" s="147" t="s">
        <v>359</v>
      </c>
    </row>
    <row r="41" spans="1:6">
      <c r="A41" s="35">
        <f t="shared" si="0"/>
        <v>30</v>
      </c>
      <c r="B41" s="143"/>
      <c r="C41" s="143" t="s">
        <v>79</v>
      </c>
      <c r="D41" s="148" t="s">
        <v>358</v>
      </c>
      <c r="E41" s="31"/>
      <c r="F41" s="147" t="s">
        <v>358</v>
      </c>
    </row>
    <row r="42" spans="1:6">
      <c r="A42" s="35">
        <f t="shared" si="0"/>
        <v>31</v>
      </c>
      <c r="B42" s="143"/>
      <c r="C42" s="142" t="s">
        <v>80</v>
      </c>
      <c r="D42" s="148" t="s">
        <v>357</v>
      </c>
      <c r="E42" s="31"/>
      <c r="F42" s="147" t="s">
        <v>357</v>
      </c>
    </row>
    <row r="43" spans="1:6">
      <c r="A43" s="35">
        <f t="shared" si="0"/>
        <v>32</v>
      </c>
      <c r="B43" s="143"/>
      <c r="C43" s="142" t="s">
        <v>81</v>
      </c>
      <c r="D43" s="148" t="s">
        <v>356</v>
      </c>
      <c r="E43" s="31"/>
      <c r="F43" s="147" t="s">
        <v>356</v>
      </c>
    </row>
    <row r="44" spans="1:6">
      <c r="A44" s="35">
        <f t="shared" si="0"/>
        <v>33</v>
      </c>
      <c r="B44" s="143"/>
      <c r="C44" s="143" t="s">
        <v>92</v>
      </c>
      <c r="D44" s="148" t="s">
        <v>355</v>
      </c>
      <c r="E44" s="31"/>
      <c r="F44" s="147" t="s">
        <v>355</v>
      </c>
    </row>
    <row r="45" spans="1:6">
      <c r="A45" s="35">
        <f t="shared" ref="A45:A64" si="1">+A44+1</f>
        <v>34</v>
      </c>
      <c r="B45" s="143"/>
      <c r="C45" s="143"/>
      <c r="D45" s="148"/>
      <c r="E45" s="31"/>
      <c r="F45" s="141"/>
    </row>
    <row r="46" spans="1:6">
      <c r="A46" s="35">
        <f t="shared" si="1"/>
        <v>35</v>
      </c>
      <c r="B46" s="143"/>
      <c r="C46" s="155" t="s">
        <v>93</v>
      </c>
      <c r="D46" s="154" t="s">
        <v>354</v>
      </c>
      <c r="E46" s="31"/>
      <c r="F46" s="153" t="s">
        <v>354</v>
      </c>
    </row>
    <row r="47" spans="1:6">
      <c r="A47" s="35">
        <f t="shared" si="1"/>
        <v>36</v>
      </c>
      <c r="B47" s="143"/>
      <c r="C47" s="143" t="s">
        <v>94</v>
      </c>
      <c r="D47" s="154" t="s">
        <v>95</v>
      </c>
      <c r="E47" s="31"/>
      <c r="F47" s="141" t="s">
        <v>353</v>
      </c>
    </row>
    <row r="48" spans="1:6">
      <c r="A48" s="35">
        <f t="shared" si="1"/>
        <v>37</v>
      </c>
      <c r="B48" s="143"/>
      <c r="C48" s="143" t="s">
        <v>96</v>
      </c>
      <c r="D48" s="154" t="s">
        <v>97</v>
      </c>
      <c r="E48" s="31"/>
      <c r="F48" s="141" t="s">
        <v>352</v>
      </c>
    </row>
    <row r="49" spans="1:6">
      <c r="A49" s="35">
        <f t="shared" si="1"/>
        <v>38</v>
      </c>
      <c r="B49" s="143"/>
      <c r="C49" s="143" t="s">
        <v>98</v>
      </c>
      <c r="D49" s="154" t="s">
        <v>99</v>
      </c>
      <c r="E49" s="31"/>
      <c r="F49" s="141" t="s">
        <v>351</v>
      </c>
    </row>
    <row r="50" spans="1:6">
      <c r="A50" s="35">
        <f t="shared" si="1"/>
        <v>39</v>
      </c>
      <c r="B50" s="143"/>
      <c r="C50" s="143" t="s">
        <v>100</v>
      </c>
      <c r="D50" s="154" t="s">
        <v>101</v>
      </c>
      <c r="E50" s="31"/>
      <c r="F50" s="141" t="s">
        <v>350</v>
      </c>
    </row>
    <row r="51" spans="1:6">
      <c r="A51" s="35">
        <f t="shared" si="1"/>
        <v>40</v>
      </c>
      <c r="B51" s="143"/>
      <c r="C51" s="143" t="s">
        <v>102</v>
      </c>
      <c r="D51" s="156" t="s">
        <v>103</v>
      </c>
      <c r="E51" s="31"/>
      <c r="F51" s="141" t="s">
        <v>349</v>
      </c>
    </row>
    <row r="52" spans="1:6">
      <c r="A52" s="35">
        <f t="shared" si="1"/>
        <v>41</v>
      </c>
      <c r="B52" s="143"/>
      <c r="C52" s="143" t="s">
        <v>104</v>
      </c>
      <c r="D52" s="156" t="s">
        <v>105</v>
      </c>
      <c r="E52" s="31"/>
      <c r="F52" s="143" t="s">
        <v>348</v>
      </c>
    </row>
    <row r="53" spans="1:6">
      <c r="A53" s="35">
        <f t="shared" si="1"/>
        <v>42</v>
      </c>
      <c r="B53" s="143"/>
      <c r="C53" s="143" t="s">
        <v>106</v>
      </c>
      <c r="D53" s="148" t="s">
        <v>347</v>
      </c>
      <c r="E53" s="31"/>
      <c r="F53" s="147" t="s">
        <v>347</v>
      </c>
    </row>
    <row r="54" spans="1:6">
      <c r="A54" s="35">
        <f t="shared" si="1"/>
        <v>43</v>
      </c>
      <c r="B54" s="143"/>
      <c r="C54" s="143"/>
      <c r="D54" s="148"/>
      <c r="E54" s="31"/>
      <c r="F54" s="141"/>
    </row>
    <row r="55" spans="1:6">
      <c r="A55" s="35">
        <f t="shared" si="1"/>
        <v>44</v>
      </c>
      <c r="B55" s="143"/>
      <c r="C55" s="155" t="s">
        <v>107</v>
      </c>
      <c r="D55" s="148" t="s">
        <v>346</v>
      </c>
      <c r="E55" s="31"/>
      <c r="F55" s="147" t="s">
        <v>108</v>
      </c>
    </row>
    <row r="56" spans="1:6">
      <c r="A56" s="35">
        <f t="shared" si="1"/>
        <v>45</v>
      </c>
      <c r="B56" s="143"/>
      <c r="C56" s="142"/>
      <c r="D56" s="148"/>
      <c r="E56" s="31"/>
      <c r="F56" s="141"/>
    </row>
    <row r="57" spans="1:6">
      <c r="A57" s="35">
        <f t="shared" si="1"/>
        <v>46</v>
      </c>
      <c r="B57" s="143"/>
      <c r="C57" s="143" t="s">
        <v>109</v>
      </c>
      <c r="D57" s="148" t="s">
        <v>89</v>
      </c>
      <c r="E57" s="31"/>
      <c r="F57" s="141" t="s">
        <v>89</v>
      </c>
    </row>
    <row r="58" spans="1:6">
      <c r="A58" s="35">
        <f t="shared" si="1"/>
        <v>47</v>
      </c>
      <c r="B58" s="143"/>
      <c r="C58" s="143" t="s">
        <v>110</v>
      </c>
      <c r="D58" s="149" t="s">
        <v>345</v>
      </c>
      <c r="E58" s="31"/>
      <c r="F58" s="146" t="s">
        <v>345</v>
      </c>
    </row>
    <row r="59" spans="1:6">
      <c r="A59" s="35">
        <f t="shared" si="1"/>
        <v>48</v>
      </c>
      <c r="B59" s="143"/>
      <c r="C59" s="143" t="s">
        <v>111</v>
      </c>
      <c r="D59" s="154" t="s">
        <v>112</v>
      </c>
      <c r="E59" s="31"/>
      <c r="F59" s="153" t="s">
        <v>112</v>
      </c>
    </row>
    <row r="60" spans="1:6">
      <c r="A60" s="35">
        <f t="shared" si="1"/>
        <v>49</v>
      </c>
      <c r="B60" s="143"/>
      <c r="C60" s="143" t="s">
        <v>111</v>
      </c>
      <c r="D60" s="154" t="s">
        <v>113</v>
      </c>
      <c r="E60" s="31"/>
      <c r="F60" s="153" t="s">
        <v>113</v>
      </c>
    </row>
    <row r="61" spans="1:6">
      <c r="A61" s="35">
        <f t="shared" si="1"/>
        <v>50</v>
      </c>
      <c r="B61" s="143"/>
      <c r="C61" s="143" t="s">
        <v>114</v>
      </c>
      <c r="D61" s="154" t="s">
        <v>344</v>
      </c>
      <c r="E61" s="31"/>
      <c r="F61" s="153" t="s">
        <v>344</v>
      </c>
    </row>
    <row r="62" spans="1:6">
      <c r="A62" s="35">
        <f t="shared" si="1"/>
        <v>51</v>
      </c>
      <c r="B62" s="143"/>
      <c r="C62" s="143" t="s">
        <v>115</v>
      </c>
      <c r="D62" s="148" t="s">
        <v>343</v>
      </c>
      <c r="E62" s="31"/>
      <c r="F62" s="147" t="s">
        <v>343</v>
      </c>
    </row>
    <row r="63" spans="1:6">
      <c r="A63" s="35">
        <f t="shared" si="1"/>
        <v>52</v>
      </c>
      <c r="B63" s="143"/>
      <c r="C63" s="143"/>
      <c r="D63" s="148"/>
      <c r="E63" s="31"/>
      <c r="F63" s="148"/>
    </row>
    <row r="64" spans="1:6">
      <c r="A64" s="35">
        <f t="shared" si="1"/>
        <v>53</v>
      </c>
      <c r="B64" s="143"/>
      <c r="C64" s="143" t="s">
        <v>116</v>
      </c>
      <c r="D64" s="148" t="s">
        <v>342</v>
      </c>
      <c r="E64" s="31"/>
      <c r="F64" s="147" t="s">
        <v>342</v>
      </c>
    </row>
    <row r="65" spans="1:6">
      <c r="A65" s="31"/>
      <c r="B65" s="31"/>
      <c r="C65" s="31"/>
      <c r="D65" s="31"/>
      <c r="E65" s="31"/>
      <c r="F65" s="31"/>
    </row>
    <row r="66" spans="1:6">
      <c r="A66" s="31"/>
      <c r="B66" s="31"/>
      <c r="C66" s="31"/>
      <c r="D66" s="31"/>
      <c r="E66" s="31"/>
      <c r="F66" s="31"/>
    </row>
    <row r="67" spans="1:6">
      <c r="A67" s="35"/>
      <c r="B67" s="143"/>
      <c r="C67" s="33"/>
      <c r="D67" s="38"/>
      <c r="E67" s="31"/>
      <c r="F67" s="31"/>
    </row>
    <row r="68" spans="1:6" ht="15.75">
      <c r="A68" s="35"/>
      <c r="B68" s="143"/>
      <c r="C68" s="31"/>
      <c r="D68" s="32" t="s">
        <v>65</v>
      </c>
      <c r="E68" s="31"/>
      <c r="F68" s="32" t="s">
        <v>117</v>
      </c>
    </row>
    <row r="69" spans="1:6">
      <c r="A69" s="35"/>
      <c r="B69" s="143"/>
      <c r="C69" s="33" t="s">
        <v>67</v>
      </c>
      <c r="D69" s="33" t="s">
        <v>68</v>
      </c>
      <c r="E69" s="31"/>
      <c r="F69" s="33" t="s">
        <v>68</v>
      </c>
    </row>
    <row r="70" spans="1:6" ht="15.75">
      <c r="A70" s="35" t="s">
        <v>3</v>
      </c>
      <c r="B70" s="143"/>
      <c r="C70" s="142"/>
      <c r="D70" s="34" t="s">
        <v>4</v>
      </c>
      <c r="E70" s="31"/>
      <c r="F70" s="34" t="s">
        <v>4</v>
      </c>
    </row>
    <row r="71" spans="1:6" ht="16.5" thickBot="1">
      <c r="A71" s="37" t="s">
        <v>5</v>
      </c>
      <c r="B71" s="143"/>
      <c r="C71" s="142"/>
      <c r="D71" s="36" t="s">
        <v>6</v>
      </c>
      <c r="E71" s="31"/>
      <c r="F71" s="36" t="s">
        <v>6</v>
      </c>
    </row>
    <row r="72" spans="1:6">
      <c r="A72" s="143"/>
      <c r="B72" s="143"/>
      <c r="C72" s="142"/>
      <c r="D72" s="141"/>
      <c r="E72" s="31"/>
      <c r="F72" s="141"/>
    </row>
    <row r="73" spans="1:6">
      <c r="A73" s="35"/>
      <c r="B73" s="143"/>
      <c r="C73" s="142" t="s">
        <v>118</v>
      </c>
      <c r="D73" s="141"/>
      <c r="E73" s="31"/>
      <c r="F73" s="141"/>
    </row>
    <row r="74" spans="1:6">
      <c r="A74" s="35">
        <f>+A64+1</f>
        <v>54</v>
      </c>
      <c r="B74" s="143"/>
      <c r="C74" s="142" t="s">
        <v>119</v>
      </c>
      <c r="D74" s="141" t="s">
        <v>120</v>
      </c>
      <c r="E74" s="31"/>
      <c r="F74" s="147" t="s">
        <v>120</v>
      </c>
    </row>
    <row r="75" spans="1:6">
      <c r="A75" s="35">
        <f t="shared" ref="A75:A115" si="2">+A74+1</f>
        <v>55</v>
      </c>
      <c r="B75" s="143"/>
      <c r="C75" s="142" t="s">
        <v>121</v>
      </c>
      <c r="D75" s="148" t="s">
        <v>216</v>
      </c>
      <c r="E75" s="31"/>
      <c r="F75" s="141" t="s">
        <v>122</v>
      </c>
    </row>
    <row r="76" spans="1:6">
      <c r="A76" s="35">
        <f t="shared" si="2"/>
        <v>56</v>
      </c>
      <c r="B76" s="143"/>
      <c r="C76" s="142" t="s">
        <v>123</v>
      </c>
      <c r="D76" s="148" t="s">
        <v>124</v>
      </c>
      <c r="E76" s="31"/>
      <c r="F76" s="147" t="s">
        <v>124</v>
      </c>
    </row>
    <row r="77" spans="1:6">
      <c r="A77" s="35">
        <f t="shared" si="2"/>
        <v>57</v>
      </c>
      <c r="B77" s="143"/>
      <c r="C77" s="142" t="s">
        <v>125</v>
      </c>
      <c r="D77" s="148" t="s">
        <v>126</v>
      </c>
      <c r="E77" s="31"/>
      <c r="F77" s="148" t="s">
        <v>341</v>
      </c>
    </row>
    <row r="78" spans="1:6">
      <c r="A78" s="35">
        <f t="shared" si="2"/>
        <v>58</v>
      </c>
      <c r="B78" s="143"/>
      <c r="C78" s="142" t="s">
        <v>127</v>
      </c>
      <c r="D78" s="148" t="s">
        <v>128</v>
      </c>
      <c r="E78" s="31"/>
      <c r="F78" s="147" t="s">
        <v>128</v>
      </c>
    </row>
    <row r="79" spans="1:6">
      <c r="A79" s="35">
        <f t="shared" si="2"/>
        <v>59</v>
      </c>
      <c r="B79" s="143"/>
      <c r="C79" s="142" t="s">
        <v>129</v>
      </c>
      <c r="D79" s="148" t="s">
        <v>130</v>
      </c>
      <c r="E79" s="31"/>
      <c r="F79" s="141" t="s">
        <v>340</v>
      </c>
    </row>
    <row r="80" spans="1:6">
      <c r="A80" s="35">
        <f t="shared" si="2"/>
        <v>60</v>
      </c>
      <c r="B80" s="143"/>
      <c r="C80" s="142" t="s">
        <v>131</v>
      </c>
      <c r="D80" s="148"/>
      <c r="E80" s="31"/>
      <c r="F80" s="141" t="s">
        <v>339</v>
      </c>
    </row>
    <row r="81" spans="1:7">
      <c r="A81" s="35">
        <f t="shared" si="2"/>
        <v>61</v>
      </c>
      <c r="B81" s="143"/>
      <c r="C81" s="142" t="s">
        <v>132</v>
      </c>
      <c r="D81" s="148" t="s">
        <v>338</v>
      </c>
      <c r="E81" s="31"/>
      <c r="F81" s="141" t="s">
        <v>337</v>
      </c>
    </row>
    <row r="82" spans="1:7">
      <c r="A82" s="35">
        <f t="shared" si="2"/>
        <v>62</v>
      </c>
      <c r="B82" s="143"/>
      <c r="C82" s="142" t="s">
        <v>81</v>
      </c>
      <c r="D82" s="152" t="s">
        <v>82</v>
      </c>
      <c r="E82" s="31"/>
      <c r="F82" s="151" t="s">
        <v>82</v>
      </c>
    </row>
    <row r="83" spans="1:7">
      <c r="A83" s="35">
        <f t="shared" si="2"/>
        <v>63</v>
      </c>
      <c r="B83" s="143"/>
      <c r="C83" s="142" t="s">
        <v>336</v>
      </c>
      <c r="D83" s="148"/>
      <c r="E83" s="31"/>
      <c r="F83" s="141"/>
    </row>
    <row r="84" spans="1:7">
      <c r="A84" s="35">
        <f t="shared" si="2"/>
        <v>64</v>
      </c>
      <c r="B84" s="143"/>
      <c r="C84" s="143"/>
      <c r="D84" s="148"/>
      <c r="E84" s="31"/>
      <c r="F84" s="141"/>
    </row>
    <row r="85" spans="1:7">
      <c r="A85" s="35">
        <f t="shared" si="2"/>
        <v>65</v>
      </c>
      <c r="B85" s="143"/>
      <c r="C85" s="142" t="s">
        <v>133</v>
      </c>
      <c r="D85" s="148"/>
      <c r="E85" s="31"/>
      <c r="F85" s="141"/>
    </row>
    <row r="86" spans="1:7">
      <c r="A86" s="35">
        <f t="shared" si="2"/>
        <v>66</v>
      </c>
      <c r="B86" s="143"/>
      <c r="C86" s="142" t="s">
        <v>74</v>
      </c>
      <c r="D86" s="148" t="s">
        <v>134</v>
      </c>
      <c r="E86" s="31"/>
      <c r="F86" s="141" t="s">
        <v>335</v>
      </c>
    </row>
    <row r="87" spans="1:7">
      <c r="A87" s="35">
        <f t="shared" si="2"/>
        <v>67</v>
      </c>
      <c r="B87" s="143"/>
      <c r="C87" s="142" t="s">
        <v>333</v>
      </c>
      <c r="D87" s="150" t="str">
        <f>"See Workpaper 2 (line 13)"</f>
        <v>See Workpaper 2 (line 13)</v>
      </c>
      <c r="E87" s="31"/>
      <c r="F87" s="150" t="s">
        <v>334</v>
      </c>
    </row>
    <row r="88" spans="1:7">
      <c r="A88" s="35">
        <f t="shared" si="2"/>
        <v>68</v>
      </c>
      <c r="B88" s="143"/>
      <c r="C88" s="142" t="s">
        <v>333</v>
      </c>
      <c r="D88" s="150" t="s">
        <v>332</v>
      </c>
      <c r="E88" s="31"/>
      <c r="F88" s="150" t="s">
        <v>331</v>
      </c>
    </row>
    <row r="89" spans="1:7">
      <c r="A89" s="35">
        <f t="shared" si="2"/>
        <v>69</v>
      </c>
      <c r="B89" s="143"/>
      <c r="C89" s="142" t="s">
        <v>135</v>
      </c>
      <c r="D89" s="148" t="s">
        <v>136</v>
      </c>
      <c r="E89" s="31"/>
      <c r="F89" s="141" t="s">
        <v>330</v>
      </c>
    </row>
    <row r="90" spans="1:7">
      <c r="A90" s="35">
        <f t="shared" si="2"/>
        <v>70</v>
      </c>
      <c r="B90" s="143"/>
      <c r="C90" s="142" t="s">
        <v>81</v>
      </c>
      <c r="D90" s="148" t="s">
        <v>137</v>
      </c>
      <c r="E90" s="31"/>
      <c r="F90" s="147" t="s">
        <v>137</v>
      </c>
    </row>
    <row r="91" spans="1:7">
      <c r="A91" s="35">
        <f t="shared" si="2"/>
        <v>71</v>
      </c>
      <c r="B91" s="143"/>
      <c r="C91" s="142" t="s">
        <v>329</v>
      </c>
      <c r="D91" s="148"/>
      <c r="E91" s="31"/>
      <c r="F91" s="141"/>
    </row>
    <row r="92" spans="1:7">
      <c r="A92" s="35">
        <f t="shared" si="2"/>
        <v>72</v>
      </c>
      <c r="B92" s="143"/>
      <c r="C92" s="142"/>
      <c r="D92" s="148"/>
      <c r="E92" s="31"/>
      <c r="F92" s="141"/>
    </row>
    <row r="93" spans="1:7">
      <c r="A93" s="35">
        <f t="shared" si="2"/>
        <v>73</v>
      </c>
      <c r="B93" s="143"/>
      <c r="C93" s="142" t="s">
        <v>138</v>
      </c>
      <c r="D93" s="149"/>
      <c r="E93" s="31"/>
      <c r="F93" s="143"/>
    </row>
    <row r="94" spans="1:7">
      <c r="A94" s="35">
        <f t="shared" si="2"/>
        <v>74</v>
      </c>
      <c r="B94" s="143"/>
      <c r="C94" s="142" t="s">
        <v>139</v>
      </c>
      <c r="D94" s="149"/>
      <c r="E94" s="31"/>
      <c r="F94" s="143"/>
    </row>
    <row r="95" spans="1:7">
      <c r="A95" s="35">
        <f t="shared" si="2"/>
        <v>75</v>
      </c>
      <c r="B95" s="143"/>
      <c r="C95" s="142" t="s">
        <v>140</v>
      </c>
      <c r="D95" s="148" t="s">
        <v>217</v>
      </c>
      <c r="E95" s="31"/>
      <c r="F95" s="148" t="s">
        <v>385</v>
      </c>
      <c r="G95" s="148"/>
    </row>
    <row r="96" spans="1:7">
      <c r="A96" s="35">
        <f t="shared" si="2"/>
        <v>76</v>
      </c>
      <c r="B96" s="143"/>
      <c r="C96" s="142" t="s">
        <v>141</v>
      </c>
      <c r="D96" s="148" t="s">
        <v>142</v>
      </c>
      <c r="E96" s="31"/>
      <c r="F96" s="148" t="s">
        <v>386</v>
      </c>
    </row>
    <row r="97" spans="1:6">
      <c r="A97" s="35">
        <f t="shared" si="2"/>
        <v>77</v>
      </c>
      <c r="B97" s="143"/>
      <c r="C97" s="142" t="s">
        <v>143</v>
      </c>
      <c r="D97" s="148" t="s">
        <v>89</v>
      </c>
      <c r="E97" s="31"/>
      <c r="F97" s="141" t="s">
        <v>89</v>
      </c>
    </row>
    <row r="98" spans="1:6">
      <c r="A98" s="35">
        <f t="shared" si="2"/>
        <v>78</v>
      </c>
      <c r="B98" s="143"/>
      <c r="C98" s="142" t="s">
        <v>144</v>
      </c>
      <c r="D98" s="148" t="s">
        <v>145</v>
      </c>
      <c r="E98" s="31"/>
      <c r="F98" s="141" t="s">
        <v>384</v>
      </c>
    </row>
    <row r="99" spans="1:6">
      <c r="A99" s="35">
        <f t="shared" si="2"/>
        <v>79</v>
      </c>
      <c r="B99" s="143"/>
      <c r="C99" s="142" t="s">
        <v>146</v>
      </c>
      <c r="D99" s="148" t="s">
        <v>142</v>
      </c>
      <c r="E99" s="31"/>
      <c r="F99" s="148" t="s">
        <v>386</v>
      </c>
    </row>
    <row r="100" spans="1:6">
      <c r="A100" s="35">
        <f t="shared" si="2"/>
        <v>80</v>
      </c>
      <c r="B100" s="143"/>
      <c r="C100" s="142" t="s">
        <v>147</v>
      </c>
      <c r="D100" s="148" t="s">
        <v>142</v>
      </c>
      <c r="E100" s="31"/>
      <c r="F100" s="148" t="s">
        <v>386</v>
      </c>
    </row>
    <row r="101" spans="1:6">
      <c r="A101" s="35">
        <f t="shared" si="2"/>
        <v>81</v>
      </c>
      <c r="B101" s="143"/>
      <c r="C101" s="142" t="s">
        <v>328</v>
      </c>
      <c r="D101" s="148"/>
      <c r="E101" s="31"/>
      <c r="F101" s="141"/>
    </row>
    <row r="102" spans="1:6">
      <c r="A102" s="35">
        <f t="shared" si="2"/>
        <v>82</v>
      </c>
      <c r="B102" s="143"/>
      <c r="C102" s="142"/>
      <c r="D102" s="148"/>
      <c r="E102" s="31"/>
      <c r="F102" s="141"/>
    </row>
    <row r="103" spans="1:6">
      <c r="A103" s="35">
        <f t="shared" si="2"/>
        <v>83</v>
      </c>
      <c r="B103" s="143"/>
      <c r="C103" s="142"/>
      <c r="D103" s="141"/>
      <c r="E103" s="31"/>
      <c r="F103" s="141"/>
    </row>
    <row r="104" spans="1:6">
      <c r="A104" s="35">
        <f t="shared" si="2"/>
        <v>84</v>
      </c>
      <c r="B104" s="143"/>
      <c r="C104" s="142" t="s">
        <v>148</v>
      </c>
      <c r="D104" s="141" t="s">
        <v>149</v>
      </c>
      <c r="E104" s="31"/>
      <c r="F104" s="147" t="s">
        <v>149</v>
      </c>
    </row>
    <row r="105" spans="1:6">
      <c r="A105" s="35">
        <f t="shared" si="2"/>
        <v>85</v>
      </c>
      <c r="B105" s="143"/>
      <c r="C105" s="39" t="s">
        <v>150</v>
      </c>
      <c r="D105" s="141"/>
      <c r="E105" s="31"/>
      <c r="F105" s="141"/>
    </row>
    <row r="106" spans="1:6">
      <c r="A106" s="35">
        <f t="shared" si="2"/>
        <v>86</v>
      </c>
      <c r="B106" s="143"/>
      <c r="C106" s="143" t="s">
        <v>151</v>
      </c>
      <c r="D106" s="141"/>
      <c r="E106" s="31"/>
      <c r="F106" s="141"/>
    </row>
    <row r="107" spans="1:6">
      <c r="A107" s="35">
        <f t="shared" si="2"/>
        <v>87</v>
      </c>
      <c r="B107" s="143"/>
      <c r="C107" s="142" t="s">
        <v>327</v>
      </c>
      <c r="D107" s="141"/>
      <c r="E107" s="31"/>
      <c r="F107" s="141"/>
    </row>
    <row r="108" spans="1:6">
      <c r="A108" s="35">
        <f t="shared" si="2"/>
        <v>88</v>
      </c>
      <c r="B108" s="143"/>
      <c r="C108" s="142" t="s">
        <v>152</v>
      </c>
      <c r="D108" s="141"/>
      <c r="E108" s="31"/>
      <c r="F108" s="141"/>
    </row>
    <row r="109" spans="1:6">
      <c r="A109" s="35">
        <f t="shared" si="2"/>
        <v>89</v>
      </c>
      <c r="B109" s="143"/>
      <c r="C109" s="39"/>
      <c r="D109" s="141"/>
      <c r="E109" s="31"/>
      <c r="F109" s="141"/>
    </row>
    <row r="110" spans="1:6">
      <c r="A110" s="35">
        <f t="shared" si="2"/>
        <v>90</v>
      </c>
      <c r="B110" s="143"/>
      <c r="C110" s="40" t="s">
        <v>153</v>
      </c>
      <c r="D110" s="143" t="s">
        <v>326</v>
      </c>
      <c r="E110" s="31"/>
      <c r="F110" s="146" t="s">
        <v>326</v>
      </c>
    </row>
    <row r="111" spans="1:6">
      <c r="A111" s="35">
        <f t="shared" si="2"/>
        <v>91</v>
      </c>
      <c r="B111" s="143"/>
      <c r="C111" s="145"/>
      <c r="D111" s="144"/>
      <c r="E111" s="31"/>
      <c r="F111" s="31"/>
    </row>
    <row r="112" spans="1:6">
      <c r="A112" s="35">
        <f t="shared" si="2"/>
        <v>92</v>
      </c>
      <c r="B112" s="143"/>
      <c r="C112" s="142" t="s">
        <v>154</v>
      </c>
      <c r="D112" s="41"/>
      <c r="E112" s="31"/>
      <c r="F112" s="31"/>
    </row>
    <row r="113" spans="1:6">
      <c r="A113" s="35">
        <f t="shared" si="2"/>
        <v>93</v>
      </c>
      <c r="B113" s="143"/>
      <c r="C113" s="40" t="s">
        <v>325</v>
      </c>
      <c r="D113" s="143"/>
      <c r="E113" s="31"/>
      <c r="F113" s="31"/>
    </row>
    <row r="114" spans="1:6">
      <c r="A114" s="35">
        <f t="shared" si="2"/>
        <v>94</v>
      </c>
      <c r="B114" s="143"/>
      <c r="C114" s="142"/>
      <c r="D114" s="143"/>
      <c r="E114" s="31"/>
      <c r="F114" s="31"/>
    </row>
    <row r="115" spans="1:6">
      <c r="A115" s="35">
        <f t="shared" si="2"/>
        <v>95</v>
      </c>
      <c r="B115" s="143"/>
      <c r="C115" s="142" t="s">
        <v>324</v>
      </c>
      <c r="D115" s="141"/>
      <c r="E115" s="31"/>
      <c r="F115" s="31"/>
    </row>
    <row r="116" spans="1:6">
      <c r="A116" s="31"/>
      <c r="B116" s="31"/>
      <c r="C116" s="31"/>
      <c r="D116" s="31"/>
      <c r="E116" s="31"/>
      <c r="F116" s="31"/>
    </row>
    <row r="117" spans="1:6" ht="15.75">
      <c r="A117" s="201" t="s">
        <v>155</v>
      </c>
      <c r="B117" s="201"/>
      <c r="C117" s="201"/>
      <c r="D117" s="201"/>
      <c r="E117" s="201"/>
      <c r="F117" s="201"/>
    </row>
    <row r="118" spans="1:6" ht="15.75">
      <c r="A118" s="108"/>
      <c r="B118" s="108"/>
      <c r="C118" s="108"/>
      <c r="D118" s="108"/>
      <c r="E118" s="108"/>
      <c r="F118" s="108"/>
    </row>
    <row r="119" spans="1:6">
      <c r="A119" s="31"/>
      <c r="B119" s="31"/>
      <c r="C119" s="31"/>
      <c r="D119" s="31"/>
      <c r="E119" s="31"/>
      <c r="F119" s="31"/>
    </row>
    <row r="120" spans="1:6" ht="15.75">
      <c r="A120" s="42" t="s">
        <v>3</v>
      </c>
      <c r="B120" s="112"/>
      <c r="C120" s="140"/>
      <c r="D120" s="32" t="s">
        <v>65</v>
      </c>
      <c r="E120" s="31"/>
      <c r="F120" s="32" t="s">
        <v>117</v>
      </c>
    </row>
    <row r="121" spans="1:6" ht="15.75" thickBot="1">
      <c r="A121" s="43" t="s">
        <v>5</v>
      </c>
      <c r="B121" s="112"/>
      <c r="C121" s="45" t="s">
        <v>156</v>
      </c>
      <c r="D121" s="44"/>
      <c r="E121" s="44"/>
      <c r="F121" s="31"/>
    </row>
    <row r="122" spans="1:6" ht="15.75" thickBot="1">
      <c r="A122" s="42"/>
      <c r="B122" s="112"/>
      <c r="C122" s="45"/>
      <c r="D122" s="129" t="s">
        <v>64</v>
      </c>
      <c r="E122" s="31"/>
      <c r="F122" s="139" t="s">
        <v>64</v>
      </c>
    </row>
    <row r="123" spans="1:6">
      <c r="A123" s="42">
        <v>96</v>
      </c>
      <c r="B123" s="112"/>
      <c r="C123" s="45" t="s">
        <v>157</v>
      </c>
      <c r="D123" s="120" t="s">
        <v>323</v>
      </c>
      <c r="E123" s="120"/>
      <c r="F123" s="128" t="s">
        <v>323</v>
      </c>
    </row>
    <row r="124" spans="1:6">
      <c r="A124" s="42">
        <f t="shared" ref="A124:A155" si="3">+A123+1</f>
        <v>97</v>
      </c>
      <c r="B124" s="112"/>
      <c r="C124" s="45" t="s">
        <v>158</v>
      </c>
      <c r="D124" s="111" t="s">
        <v>51</v>
      </c>
      <c r="E124" s="111"/>
      <c r="F124" s="130" t="s">
        <v>322</v>
      </c>
    </row>
    <row r="125" spans="1:6" ht="15.75" thickBot="1">
      <c r="A125" s="42">
        <f t="shared" si="3"/>
        <v>98</v>
      </c>
      <c r="B125" s="112"/>
      <c r="C125" s="46" t="s">
        <v>159</v>
      </c>
      <c r="D125" s="117" t="s">
        <v>51</v>
      </c>
      <c r="E125" s="44"/>
      <c r="F125" s="130" t="s">
        <v>160</v>
      </c>
    </row>
    <row r="126" spans="1:6">
      <c r="A126" s="42">
        <f t="shared" si="3"/>
        <v>99</v>
      </c>
      <c r="B126" s="112"/>
      <c r="C126" s="45" t="s">
        <v>321</v>
      </c>
      <c r="D126" s="121"/>
      <c r="E126" s="119"/>
      <c r="F126" s="31"/>
    </row>
    <row r="127" spans="1:6">
      <c r="A127" s="42">
        <f t="shared" si="3"/>
        <v>100</v>
      </c>
      <c r="B127" s="112"/>
      <c r="C127" s="45" t="s">
        <v>320</v>
      </c>
      <c r="D127" s="121"/>
      <c r="E127" s="119"/>
      <c r="F127" s="31"/>
    </row>
    <row r="128" spans="1:6">
      <c r="A128" s="42">
        <f t="shared" si="3"/>
        <v>101</v>
      </c>
      <c r="B128" s="112"/>
      <c r="C128" s="45" t="s">
        <v>319</v>
      </c>
      <c r="D128" s="121"/>
      <c r="E128" s="119"/>
      <c r="F128" s="31"/>
    </row>
    <row r="129" spans="1:6">
      <c r="A129" s="42">
        <f t="shared" si="3"/>
        <v>102</v>
      </c>
      <c r="B129" s="112"/>
      <c r="C129" s="45" t="s">
        <v>318</v>
      </c>
      <c r="D129" s="121"/>
      <c r="E129" s="119"/>
      <c r="F129" s="31"/>
    </row>
    <row r="130" spans="1:6">
      <c r="A130" s="42">
        <f t="shared" si="3"/>
        <v>103</v>
      </c>
      <c r="B130" s="112"/>
      <c r="C130" s="112"/>
      <c r="D130" s="121"/>
      <c r="E130" s="119"/>
      <c r="F130" s="31"/>
    </row>
    <row r="131" spans="1:6">
      <c r="A131" s="42">
        <f t="shared" si="3"/>
        <v>104</v>
      </c>
      <c r="B131" s="112"/>
      <c r="C131" s="45" t="s">
        <v>317</v>
      </c>
      <c r="D131" s="137"/>
      <c r="E131" s="135"/>
      <c r="F131" s="31"/>
    </row>
    <row r="132" spans="1:6">
      <c r="A132" s="42">
        <f t="shared" si="3"/>
        <v>105</v>
      </c>
      <c r="B132" s="112"/>
      <c r="C132" s="112"/>
      <c r="D132" s="111"/>
      <c r="E132" s="112"/>
      <c r="F132" s="31"/>
    </row>
    <row r="133" spans="1:6" ht="15.75" thickBot="1">
      <c r="A133" s="42">
        <f t="shared" si="3"/>
        <v>106</v>
      </c>
      <c r="B133" s="112"/>
      <c r="C133" s="45" t="s">
        <v>161</v>
      </c>
      <c r="D133" s="117" t="s">
        <v>64</v>
      </c>
      <c r="E133" s="31"/>
      <c r="F133" s="138" t="s">
        <v>64</v>
      </c>
    </row>
    <row r="134" spans="1:6">
      <c r="A134" s="42">
        <f t="shared" si="3"/>
        <v>107</v>
      </c>
      <c r="B134" s="112"/>
      <c r="C134" s="45" t="s">
        <v>162</v>
      </c>
      <c r="D134" s="120" t="s">
        <v>316</v>
      </c>
      <c r="E134" s="31"/>
      <c r="F134" s="128" t="s">
        <v>316</v>
      </c>
    </row>
    <row r="135" spans="1:6">
      <c r="A135" s="42">
        <f t="shared" si="3"/>
        <v>108</v>
      </c>
      <c r="B135" s="112"/>
      <c r="C135" s="45" t="s">
        <v>163</v>
      </c>
      <c r="D135" s="111" t="s">
        <v>51</v>
      </c>
      <c r="E135" s="31"/>
      <c r="F135" s="130" t="s">
        <v>315</v>
      </c>
    </row>
    <row r="136" spans="1:6" ht="15.75" thickBot="1">
      <c r="A136" s="42">
        <f t="shared" si="3"/>
        <v>109</v>
      </c>
      <c r="B136" s="112"/>
      <c r="C136" s="46" t="s">
        <v>164</v>
      </c>
      <c r="D136" s="111" t="s">
        <v>51</v>
      </c>
      <c r="E136" s="31"/>
      <c r="F136" s="130" t="s">
        <v>160</v>
      </c>
    </row>
    <row r="137" spans="1:6">
      <c r="A137" s="42">
        <f t="shared" si="3"/>
        <v>110</v>
      </c>
      <c r="B137" s="112"/>
      <c r="C137" s="45" t="s">
        <v>314</v>
      </c>
      <c r="D137" s="121"/>
      <c r="E137" s="119"/>
      <c r="F137" s="130" t="s">
        <v>313</v>
      </c>
    </row>
    <row r="138" spans="1:6">
      <c r="A138" s="42">
        <f t="shared" si="3"/>
        <v>111</v>
      </c>
      <c r="B138" s="112"/>
      <c r="C138" s="112"/>
      <c r="D138" s="121"/>
      <c r="E138" s="119"/>
      <c r="F138" s="31"/>
    </row>
    <row r="139" spans="1:6">
      <c r="A139" s="42">
        <f t="shared" si="3"/>
        <v>112</v>
      </c>
      <c r="B139" s="112"/>
      <c r="C139" s="45" t="s">
        <v>312</v>
      </c>
      <c r="D139" s="137"/>
      <c r="E139" s="135"/>
      <c r="F139" s="31"/>
    </row>
    <row r="140" spans="1:6">
      <c r="A140" s="42">
        <f t="shared" si="3"/>
        <v>113</v>
      </c>
      <c r="B140" s="112"/>
      <c r="C140" s="112"/>
      <c r="D140" s="121"/>
      <c r="E140" s="119"/>
      <c r="F140" s="31"/>
    </row>
    <row r="141" spans="1:6" ht="15.75" thickBot="1">
      <c r="A141" s="42">
        <f t="shared" si="3"/>
        <v>114</v>
      </c>
      <c r="B141" s="112"/>
      <c r="C141" s="45" t="s">
        <v>84</v>
      </c>
      <c r="D141" s="117" t="s">
        <v>64</v>
      </c>
      <c r="E141" s="31"/>
      <c r="F141" s="136" t="s">
        <v>64</v>
      </c>
    </row>
    <row r="142" spans="1:6">
      <c r="A142" s="42">
        <f t="shared" si="3"/>
        <v>115</v>
      </c>
      <c r="B142" s="112"/>
      <c r="C142" s="112" t="s">
        <v>165</v>
      </c>
      <c r="D142" s="120" t="s">
        <v>311</v>
      </c>
      <c r="E142" s="31"/>
      <c r="F142" s="128" t="s">
        <v>311</v>
      </c>
    </row>
    <row r="143" spans="1:6">
      <c r="A143" s="42">
        <f t="shared" si="3"/>
        <v>116</v>
      </c>
      <c r="B143" s="112"/>
      <c r="C143" s="45" t="s">
        <v>158</v>
      </c>
      <c r="D143" s="120" t="s">
        <v>51</v>
      </c>
      <c r="E143" s="135"/>
      <c r="F143" s="130" t="s">
        <v>310</v>
      </c>
    </row>
    <row r="144" spans="1:6">
      <c r="A144" s="42">
        <f t="shared" si="3"/>
        <v>117</v>
      </c>
      <c r="B144" s="112"/>
      <c r="C144" s="134" t="s">
        <v>309</v>
      </c>
      <c r="D144" s="132"/>
      <c r="E144" s="119"/>
      <c r="F144" s="31"/>
    </row>
    <row r="145" spans="1:6">
      <c r="A145" s="42">
        <f t="shared" si="3"/>
        <v>118</v>
      </c>
      <c r="B145" s="112"/>
      <c r="C145" s="45" t="s">
        <v>308</v>
      </c>
      <c r="D145" s="121"/>
      <c r="E145" s="119"/>
      <c r="F145" s="31"/>
    </row>
    <row r="146" spans="1:6">
      <c r="A146" s="42">
        <f t="shared" si="3"/>
        <v>119</v>
      </c>
      <c r="B146" s="112"/>
      <c r="C146" s="45" t="s">
        <v>307</v>
      </c>
      <c r="D146" s="121"/>
      <c r="E146" s="119"/>
      <c r="F146" s="31"/>
    </row>
    <row r="147" spans="1:6">
      <c r="A147" s="42">
        <f t="shared" si="3"/>
        <v>120</v>
      </c>
      <c r="B147" s="112"/>
      <c r="C147" s="45" t="s">
        <v>306</v>
      </c>
      <c r="D147" s="121"/>
      <c r="E147" s="119"/>
      <c r="F147" s="31"/>
    </row>
    <row r="148" spans="1:6">
      <c r="A148" s="42">
        <f t="shared" si="3"/>
        <v>121</v>
      </c>
      <c r="B148" s="112"/>
      <c r="C148" s="112"/>
      <c r="D148" s="121"/>
      <c r="E148" s="119"/>
      <c r="F148" s="31"/>
    </row>
    <row r="149" spans="1:6">
      <c r="A149" s="42">
        <f t="shared" si="3"/>
        <v>122</v>
      </c>
      <c r="B149" s="112"/>
      <c r="C149" s="45" t="s">
        <v>305</v>
      </c>
      <c r="D149" s="121"/>
      <c r="E149" s="119"/>
      <c r="F149" s="31"/>
    </row>
    <row r="150" spans="1:6">
      <c r="A150" s="42">
        <f t="shared" si="3"/>
        <v>123</v>
      </c>
      <c r="B150" s="112"/>
      <c r="C150" s="112"/>
      <c r="D150" s="121"/>
      <c r="E150" s="31"/>
      <c r="F150" s="31"/>
    </row>
    <row r="151" spans="1:6" ht="15.75" thickBot="1">
      <c r="A151" s="42">
        <f t="shared" si="3"/>
        <v>124</v>
      </c>
      <c r="B151" s="112"/>
      <c r="C151" s="112"/>
      <c r="D151" s="117" t="s">
        <v>64</v>
      </c>
      <c r="E151" s="31"/>
      <c r="F151" s="133" t="s">
        <v>64</v>
      </c>
    </row>
    <row r="152" spans="1:6">
      <c r="A152" s="42">
        <f t="shared" si="3"/>
        <v>125</v>
      </c>
      <c r="B152" s="112"/>
      <c r="C152" s="112" t="s">
        <v>166</v>
      </c>
      <c r="D152" s="120" t="s">
        <v>87</v>
      </c>
      <c r="E152" s="31"/>
      <c r="F152" s="128" t="s">
        <v>87</v>
      </c>
    </row>
    <row r="153" spans="1:6">
      <c r="A153" s="42">
        <f t="shared" si="3"/>
        <v>126</v>
      </c>
      <c r="B153" s="112"/>
      <c r="C153" s="112" t="s">
        <v>167</v>
      </c>
      <c r="D153" s="121"/>
      <c r="E153" s="31"/>
      <c r="F153" s="130" t="s">
        <v>304</v>
      </c>
    </row>
    <row r="154" spans="1:6">
      <c r="A154" s="42">
        <f t="shared" si="3"/>
        <v>127</v>
      </c>
      <c r="B154" s="112"/>
      <c r="C154" s="47" t="s">
        <v>303</v>
      </c>
      <c r="D154" s="132"/>
      <c r="E154" s="131"/>
      <c r="F154" s="130" t="s">
        <v>302</v>
      </c>
    </row>
    <row r="155" spans="1:6">
      <c r="A155" s="42">
        <f t="shared" si="3"/>
        <v>128</v>
      </c>
      <c r="B155" s="112"/>
      <c r="C155" s="112"/>
      <c r="D155" s="121"/>
      <c r="E155" s="119"/>
      <c r="F155" s="31"/>
    </row>
    <row r="156" spans="1:6">
      <c r="A156" s="42">
        <f t="shared" ref="A156:A186" si="4">+A155+1</f>
        <v>129</v>
      </c>
      <c r="B156" s="112"/>
      <c r="C156" s="45" t="s">
        <v>301</v>
      </c>
      <c r="D156" s="121"/>
      <c r="E156" s="119"/>
      <c r="F156" s="31"/>
    </row>
    <row r="157" spans="1:6">
      <c r="A157" s="42">
        <f t="shared" si="4"/>
        <v>130</v>
      </c>
      <c r="B157" s="112"/>
      <c r="C157" s="112"/>
      <c r="D157" s="121"/>
      <c r="E157" s="119"/>
      <c r="F157" s="31"/>
    </row>
    <row r="158" spans="1:6">
      <c r="A158" s="42">
        <f t="shared" si="4"/>
        <v>131</v>
      </c>
      <c r="B158" s="112"/>
      <c r="C158" s="44" t="s">
        <v>168</v>
      </c>
      <c r="D158" s="120"/>
      <c r="E158" s="119"/>
      <c r="F158" s="31"/>
    </row>
    <row r="159" spans="1:6" ht="15.75" thickBot="1">
      <c r="A159" s="42">
        <f t="shared" si="4"/>
        <v>132</v>
      </c>
      <c r="B159" s="112"/>
      <c r="C159" s="44"/>
      <c r="D159" s="117" t="s">
        <v>64</v>
      </c>
      <c r="E159" s="31"/>
      <c r="F159" s="129" t="s">
        <v>64</v>
      </c>
    </row>
    <row r="160" spans="1:6">
      <c r="A160" s="42">
        <f t="shared" si="4"/>
        <v>133</v>
      </c>
      <c r="B160" s="112"/>
      <c r="C160" s="44" t="s">
        <v>74</v>
      </c>
      <c r="D160" s="120" t="s">
        <v>169</v>
      </c>
      <c r="E160" s="31"/>
      <c r="F160" s="128" t="s">
        <v>169</v>
      </c>
    </row>
    <row r="161" spans="1:6">
      <c r="A161" s="42">
        <f t="shared" si="4"/>
        <v>134</v>
      </c>
      <c r="B161" s="112"/>
      <c r="C161" s="44" t="s">
        <v>170</v>
      </c>
      <c r="D161" s="120" t="s">
        <v>171</v>
      </c>
      <c r="E161" s="31"/>
      <c r="F161" s="128" t="s">
        <v>171</v>
      </c>
    </row>
    <row r="162" spans="1:6">
      <c r="A162" s="42">
        <f t="shared" si="4"/>
        <v>135</v>
      </c>
      <c r="B162" s="112"/>
      <c r="C162" s="44" t="s">
        <v>172</v>
      </c>
      <c r="D162" s="120" t="s">
        <v>173</v>
      </c>
      <c r="E162" s="31"/>
      <c r="F162" s="128" t="s">
        <v>173</v>
      </c>
    </row>
    <row r="163" spans="1:6">
      <c r="A163" s="42">
        <f t="shared" si="4"/>
        <v>136</v>
      </c>
      <c r="B163" s="112"/>
      <c r="C163" s="44" t="s">
        <v>300</v>
      </c>
      <c r="D163" s="120"/>
      <c r="E163" s="119"/>
      <c r="F163" s="31"/>
    </row>
    <row r="164" spans="1:6">
      <c r="A164" s="42">
        <f t="shared" si="4"/>
        <v>137</v>
      </c>
      <c r="B164" s="112"/>
      <c r="C164" s="44"/>
      <c r="D164" s="120"/>
      <c r="E164" s="119"/>
      <c r="F164" s="31"/>
    </row>
    <row r="165" spans="1:6">
      <c r="A165" s="42">
        <f t="shared" si="4"/>
        <v>138</v>
      </c>
      <c r="B165" s="112"/>
      <c r="C165" s="44" t="s">
        <v>174</v>
      </c>
      <c r="D165" s="120"/>
      <c r="E165" s="31"/>
      <c r="F165" s="31"/>
    </row>
    <row r="166" spans="1:6">
      <c r="A166" s="42">
        <f t="shared" si="4"/>
        <v>139</v>
      </c>
      <c r="B166" s="112"/>
      <c r="C166" s="44" t="s">
        <v>175</v>
      </c>
      <c r="D166" s="127" t="s">
        <v>279</v>
      </c>
      <c r="E166" s="31"/>
      <c r="F166" s="94" t="s">
        <v>279</v>
      </c>
    </row>
    <row r="167" spans="1:6">
      <c r="A167" s="42">
        <f t="shared" si="4"/>
        <v>140</v>
      </c>
      <c r="B167" s="112"/>
      <c r="C167" s="44" t="s">
        <v>176</v>
      </c>
      <c r="D167" s="127" t="s">
        <v>280</v>
      </c>
      <c r="E167" s="31"/>
      <c r="F167" s="94" t="s">
        <v>280</v>
      </c>
    </row>
    <row r="168" spans="1:6">
      <c r="A168" s="42">
        <f t="shared" si="4"/>
        <v>141</v>
      </c>
      <c r="B168" s="112"/>
      <c r="C168" s="44" t="s">
        <v>299</v>
      </c>
      <c r="D168" s="120"/>
      <c r="E168" s="31"/>
      <c r="F168" s="31"/>
    </row>
    <row r="169" spans="1:6">
      <c r="A169" s="42">
        <f t="shared" si="4"/>
        <v>142</v>
      </c>
      <c r="B169" s="112"/>
      <c r="C169" s="44"/>
      <c r="D169" s="120"/>
      <c r="E169" s="112"/>
      <c r="F169" s="31"/>
    </row>
    <row r="170" spans="1:6">
      <c r="A170" s="42">
        <f t="shared" si="4"/>
        <v>143</v>
      </c>
      <c r="B170" s="48"/>
      <c r="C170" s="125" t="s">
        <v>177</v>
      </c>
      <c r="D170" s="124" t="s">
        <v>64</v>
      </c>
      <c r="E170" s="119"/>
      <c r="F170" s="123" t="s">
        <v>64</v>
      </c>
    </row>
    <row r="171" spans="1:6">
      <c r="A171" s="42">
        <f t="shared" si="4"/>
        <v>144</v>
      </c>
      <c r="B171" s="48"/>
      <c r="C171" s="44" t="s">
        <v>178</v>
      </c>
      <c r="D171" s="120" t="s">
        <v>179</v>
      </c>
      <c r="E171" s="119"/>
      <c r="F171" s="122" t="s">
        <v>179</v>
      </c>
    </row>
    <row r="172" spans="1:6">
      <c r="A172" s="42">
        <f t="shared" si="4"/>
        <v>145</v>
      </c>
      <c r="B172" s="126"/>
      <c r="C172" s="44"/>
      <c r="D172" s="120"/>
      <c r="E172" s="119"/>
      <c r="F172" s="118"/>
    </row>
    <row r="173" spans="1:6">
      <c r="A173" s="42">
        <f t="shared" si="4"/>
        <v>146</v>
      </c>
      <c r="B173" s="48"/>
      <c r="C173" s="44" t="s">
        <v>180</v>
      </c>
      <c r="D173" s="120" t="s">
        <v>181</v>
      </c>
      <c r="E173" s="119"/>
      <c r="F173" s="122" t="s">
        <v>181</v>
      </c>
    </row>
    <row r="174" spans="1:6">
      <c r="A174" s="42">
        <f t="shared" si="4"/>
        <v>147</v>
      </c>
      <c r="B174" s="48"/>
      <c r="C174" s="44"/>
      <c r="D174" s="120"/>
      <c r="E174" s="119"/>
      <c r="F174" s="118"/>
    </row>
    <row r="175" spans="1:6">
      <c r="A175" s="42">
        <f t="shared" si="4"/>
        <v>148</v>
      </c>
      <c r="B175" s="48"/>
      <c r="C175" s="125" t="s">
        <v>182</v>
      </c>
      <c r="D175" s="124" t="s">
        <v>64</v>
      </c>
      <c r="E175" s="119"/>
      <c r="F175" s="123" t="s">
        <v>64</v>
      </c>
    </row>
    <row r="176" spans="1:6">
      <c r="A176" s="42">
        <f t="shared" si="4"/>
        <v>149</v>
      </c>
      <c r="B176" s="48"/>
      <c r="C176" s="44" t="s">
        <v>183</v>
      </c>
      <c r="D176" s="120" t="s">
        <v>184</v>
      </c>
      <c r="E176" s="44"/>
      <c r="F176" s="122" t="s">
        <v>184</v>
      </c>
    </row>
    <row r="177" spans="1:6">
      <c r="A177" s="42">
        <f t="shared" si="4"/>
        <v>150</v>
      </c>
      <c r="B177" s="48"/>
      <c r="C177" s="44" t="s">
        <v>185</v>
      </c>
      <c r="D177" s="120" t="s">
        <v>186</v>
      </c>
      <c r="E177" s="119"/>
      <c r="F177" s="122" t="s">
        <v>186</v>
      </c>
    </row>
    <row r="178" spans="1:6">
      <c r="A178" s="42">
        <f t="shared" si="4"/>
        <v>151</v>
      </c>
      <c r="B178" s="48"/>
      <c r="C178" s="44" t="s">
        <v>187</v>
      </c>
      <c r="D178" s="120" t="s">
        <v>188</v>
      </c>
      <c r="E178" s="119"/>
      <c r="F178" s="122" t="s">
        <v>188</v>
      </c>
    </row>
    <row r="179" spans="1:6">
      <c r="A179" s="42">
        <f t="shared" si="4"/>
        <v>152</v>
      </c>
      <c r="B179" s="48"/>
      <c r="C179" s="44" t="s">
        <v>189</v>
      </c>
      <c r="D179" s="120" t="s">
        <v>190</v>
      </c>
      <c r="E179" s="119"/>
      <c r="F179" s="122" t="s">
        <v>190</v>
      </c>
    </row>
    <row r="180" spans="1:6">
      <c r="A180" s="42">
        <f t="shared" si="4"/>
        <v>153</v>
      </c>
      <c r="B180" s="48"/>
      <c r="C180" s="49" t="s">
        <v>191</v>
      </c>
      <c r="D180" s="121" t="s">
        <v>298</v>
      </c>
      <c r="E180" s="44"/>
      <c r="F180" s="50" t="s">
        <v>298</v>
      </c>
    </row>
    <row r="181" spans="1:6">
      <c r="A181" s="42">
        <f t="shared" si="4"/>
        <v>154</v>
      </c>
      <c r="B181" s="112"/>
      <c r="C181" s="44"/>
      <c r="D181" s="120"/>
      <c r="E181" s="119"/>
      <c r="F181" s="118"/>
    </row>
    <row r="182" spans="1:6" ht="15.75" thickBot="1">
      <c r="A182" s="42">
        <f t="shared" si="4"/>
        <v>155</v>
      </c>
      <c r="B182" s="112"/>
      <c r="C182" s="44"/>
      <c r="D182" s="117" t="s">
        <v>64</v>
      </c>
      <c r="E182" s="31"/>
      <c r="F182" s="116" t="s">
        <v>64</v>
      </c>
    </row>
    <row r="183" spans="1:6">
      <c r="A183" s="42">
        <f t="shared" si="4"/>
        <v>156</v>
      </c>
      <c r="B183" s="112"/>
      <c r="C183" s="45" t="s">
        <v>192</v>
      </c>
      <c r="D183" s="115" t="s">
        <v>193</v>
      </c>
      <c r="E183" s="31"/>
      <c r="F183" s="51" t="s">
        <v>281</v>
      </c>
    </row>
    <row r="184" spans="1:6">
      <c r="A184" s="42">
        <f t="shared" si="4"/>
        <v>157</v>
      </c>
      <c r="B184" s="112"/>
      <c r="C184" s="45" t="s">
        <v>194</v>
      </c>
      <c r="D184" s="114" t="s">
        <v>186</v>
      </c>
      <c r="E184" s="31"/>
      <c r="F184" s="51" t="s">
        <v>186</v>
      </c>
    </row>
    <row r="185" spans="1:6">
      <c r="A185" s="42">
        <f t="shared" si="4"/>
        <v>158</v>
      </c>
      <c r="B185" s="112"/>
      <c r="C185" s="49" t="s">
        <v>195</v>
      </c>
      <c r="D185" s="114" t="s">
        <v>297</v>
      </c>
      <c r="E185" s="31"/>
      <c r="F185" s="113" t="s">
        <v>297</v>
      </c>
    </row>
    <row r="186" spans="1:6">
      <c r="A186" s="42">
        <f t="shared" si="4"/>
        <v>159</v>
      </c>
      <c r="B186" s="112"/>
      <c r="C186" s="44" t="s">
        <v>296</v>
      </c>
      <c r="D186" s="111"/>
      <c r="E186" s="31"/>
      <c r="F186" s="31"/>
    </row>
    <row r="187" spans="1:6">
      <c r="A187" s="31"/>
      <c r="B187" s="31"/>
      <c r="C187" s="31"/>
      <c r="D187" s="31"/>
      <c r="E187" s="31"/>
      <c r="F187" s="31"/>
    </row>
    <row r="188" spans="1:6">
      <c r="A188" s="31"/>
      <c r="B188" s="31" t="s">
        <v>196</v>
      </c>
      <c r="C188" s="31"/>
      <c r="D188" s="31"/>
      <c r="E188" s="31"/>
      <c r="F188" s="31"/>
    </row>
    <row r="189" spans="1:6">
      <c r="A189" s="31"/>
      <c r="B189" s="31"/>
      <c r="C189" s="110" t="s">
        <v>197</v>
      </c>
      <c r="D189" s="31"/>
      <c r="E189" s="31"/>
      <c r="F189" s="31"/>
    </row>
    <row r="190" spans="1:6">
      <c r="A190" s="31"/>
      <c r="B190" s="31"/>
      <c r="C190" s="110"/>
      <c r="D190" s="31"/>
      <c r="E190" s="31"/>
      <c r="F190" s="31"/>
    </row>
    <row r="191" spans="1:6">
      <c r="A191" s="31"/>
      <c r="B191" s="31"/>
      <c r="C191" s="31" t="s">
        <v>295</v>
      </c>
      <c r="D191" s="31"/>
      <c r="E191" s="31"/>
      <c r="F191" s="31"/>
    </row>
    <row r="192" spans="1:6">
      <c r="A192" s="31"/>
      <c r="B192" s="31"/>
      <c r="C192" s="31"/>
      <c r="D192" s="31"/>
      <c r="E192" s="31"/>
      <c r="F192" s="31"/>
    </row>
    <row r="193" spans="1:6">
      <c r="A193" s="31"/>
      <c r="B193" s="31"/>
      <c r="C193" s="52" t="s">
        <v>198</v>
      </c>
      <c r="D193" s="52"/>
      <c r="E193" s="52"/>
      <c r="F193" s="52"/>
    </row>
    <row r="195" spans="1:6">
      <c r="C195" t="s">
        <v>294</v>
      </c>
    </row>
    <row r="197" spans="1:6">
      <c r="C197" t="s">
        <v>293</v>
      </c>
    </row>
  </sheetData>
  <mergeCells count="3">
    <mergeCell ref="A117:F117"/>
    <mergeCell ref="A1:F1"/>
    <mergeCell ref="A2:F2"/>
  </mergeCells>
  <pageMargins left="0.7" right="0.7" top="0.75" bottom="0.75" header="0.3" footer="0.3"/>
  <pageSetup scale="49" fitToHeight="3" orientation="portrait" r:id="rId1"/>
  <headerFooter>
    <oddHeader>&amp;C&amp;"Arial MT,Bold"&amp;10ESTIMATED SERVICE YEAR ATRR
BLACK HILLS POWER, INC.
SUPPORTING SCHEDULES&amp;RPage &amp;P of &amp;N</oddHeader>
  </headerFooter>
  <rowBreaks count="2" manualBreakCount="2">
    <brk id="65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J118"/>
  <sheetViews>
    <sheetView workbookViewId="0">
      <selection activeCell="C17" sqref="C17"/>
    </sheetView>
  </sheetViews>
  <sheetFormatPr defaultColWidth="7.109375" defaultRowHeight="12.75"/>
  <cols>
    <col min="1" max="1" width="5.5546875" style="1" customWidth="1"/>
    <col min="2" max="2" width="35.5546875" style="1" customWidth="1"/>
    <col min="3" max="3" width="14.77734375" style="1" customWidth="1"/>
    <col min="4" max="4" width="11.109375" style="26" customWidth="1"/>
    <col min="5" max="5" width="7.109375" style="1"/>
    <col min="6" max="6" width="10" style="1" bestFit="1" customWidth="1"/>
    <col min="7" max="16384" width="7.109375" style="1"/>
  </cols>
  <sheetData>
    <row r="2" spans="1:10">
      <c r="C2" s="53"/>
      <c r="D2" s="1"/>
      <c r="F2" s="2"/>
    </row>
    <row r="3" spans="1:10">
      <c r="A3" s="203" t="s">
        <v>0</v>
      </c>
      <c r="B3" s="203"/>
      <c r="C3" s="203"/>
      <c r="D3" s="203"/>
      <c r="F3" s="3"/>
    </row>
    <row r="4" spans="1:10">
      <c r="A4" s="203" t="s">
        <v>1</v>
      </c>
      <c r="B4" s="203"/>
      <c r="C4" s="203"/>
      <c r="D4" s="203"/>
    </row>
    <row r="5" spans="1:10">
      <c r="A5" s="203" t="s">
        <v>2</v>
      </c>
      <c r="B5" s="203"/>
      <c r="C5" s="203"/>
      <c r="D5" s="203"/>
    </row>
    <row r="6" spans="1:10">
      <c r="B6" s="204"/>
      <c r="C6" s="204"/>
      <c r="D6" s="204"/>
      <c r="G6" s="100"/>
    </row>
    <row r="7" spans="1:10">
      <c r="A7" s="57" t="s">
        <v>3</v>
      </c>
      <c r="C7" s="4" t="s">
        <v>4</v>
      </c>
      <c r="D7" s="159"/>
    </row>
    <row r="8" spans="1:10">
      <c r="A8" s="5" t="s">
        <v>5</v>
      </c>
      <c r="C8" s="6" t="s">
        <v>6</v>
      </c>
      <c r="D8" s="160" t="s">
        <v>7</v>
      </c>
    </row>
    <row r="9" spans="1:10">
      <c r="A9" s="57">
        <v>1</v>
      </c>
      <c r="B9" s="1" t="s">
        <v>8</v>
      </c>
      <c r="C9" s="1" t="s">
        <v>9</v>
      </c>
      <c r="D9" s="7">
        <v>167843</v>
      </c>
      <c r="G9" s="99"/>
      <c r="H9" s="100"/>
    </row>
    <row r="10" spans="1:10">
      <c r="A10" s="57">
        <v>2</v>
      </c>
      <c r="B10" s="1" t="s">
        <v>10</v>
      </c>
      <c r="C10" s="1" t="s">
        <v>284</v>
      </c>
      <c r="D10" s="7">
        <v>1335989</v>
      </c>
      <c r="F10" s="74"/>
      <c r="G10" s="99"/>
      <c r="H10" s="100"/>
      <c r="J10" s="100"/>
    </row>
    <row r="11" spans="1:10">
      <c r="A11" s="57">
        <v>3</v>
      </c>
      <c r="B11" s="1" t="s">
        <v>11</v>
      </c>
      <c r="C11" s="1" t="s">
        <v>12</v>
      </c>
      <c r="D11" s="7">
        <v>716553</v>
      </c>
      <c r="F11" s="7"/>
      <c r="G11" s="99"/>
      <c r="H11" s="100"/>
    </row>
    <row r="12" spans="1:10" ht="14.25">
      <c r="A12" s="57">
        <v>4</v>
      </c>
      <c r="B12" s="1" t="s">
        <v>13</v>
      </c>
      <c r="C12" s="1" t="s">
        <v>55</v>
      </c>
      <c r="D12" s="7">
        <v>0</v>
      </c>
      <c r="F12" s="54"/>
      <c r="G12" s="99"/>
    </row>
    <row r="13" spans="1:10" ht="13.5" thickBot="1">
      <c r="A13" s="57">
        <v>5</v>
      </c>
      <c r="B13" s="8" t="s">
        <v>14</v>
      </c>
      <c r="D13" s="9">
        <f>SUM(D9:D12)</f>
        <v>2220385</v>
      </c>
      <c r="G13" s="54"/>
    </row>
    <row r="14" spans="1:10" ht="13.5" thickTop="1">
      <c r="A14" s="57">
        <v>6</v>
      </c>
    </row>
    <row r="15" spans="1:10">
      <c r="A15" s="57">
        <v>7</v>
      </c>
    </row>
    <row r="16" spans="1:10">
      <c r="A16" s="57">
        <v>8</v>
      </c>
      <c r="B16" s="10" t="s">
        <v>15</v>
      </c>
      <c r="D16" s="7"/>
      <c r="G16" s="55"/>
    </row>
    <row r="17" spans="1:8">
      <c r="A17" s="57">
        <v>9</v>
      </c>
      <c r="D17" s="7"/>
      <c r="H17" s="55"/>
    </row>
    <row r="18" spans="1:8">
      <c r="A18" s="57">
        <v>10</v>
      </c>
      <c r="B18" s="1" t="s">
        <v>16</v>
      </c>
      <c r="D18" s="7"/>
    </row>
    <row r="19" spans="1:8" ht="12.75" customHeight="1">
      <c r="A19" s="57">
        <v>11</v>
      </c>
      <c r="D19" s="7"/>
      <c r="H19" s="55"/>
    </row>
    <row r="20" spans="1:8">
      <c r="A20" s="57">
        <v>12</v>
      </c>
      <c r="D20" s="7"/>
    </row>
    <row r="21" spans="1:8">
      <c r="A21" s="57">
        <v>13</v>
      </c>
      <c r="D21" s="11"/>
    </row>
    <row r="22" spans="1:8" ht="16.5" customHeight="1">
      <c r="A22" s="57">
        <v>14</v>
      </c>
      <c r="B22" s="1" t="s">
        <v>17</v>
      </c>
      <c r="C22" s="10"/>
      <c r="D22" s="12">
        <f>SUM(D18:D21)</f>
        <v>0</v>
      </c>
    </row>
    <row r="23" spans="1:8">
      <c r="A23" s="57">
        <v>15</v>
      </c>
      <c r="D23" s="7"/>
    </row>
    <row r="24" spans="1:8" ht="13.5" thickBot="1">
      <c r="A24" s="57">
        <v>16</v>
      </c>
      <c r="B24" s="1" t="s">
        <v>18</v>
      </c>
      <c r="D24" s="9">
        <f>+D22/3</f>
        <v>0</v>
      </c>
    </row>
    <row r="25" spans="1:8" ht="13.5" thickTop="1">
      <c r="A25" s="57">
        <v>17</v>
      </c>
      <c r="D25" s="28"/>
    </row>
    <row r="26" spans="1:8">
      <c r="A26" s="57">
        <v>18</v>
      </c>
      <c r="D26" s="28"/>
    </row>
    <row r="27" spans="1:8">
      <c r="A27" s="57">
        <v>19</v>
      </c>
      <c r="B27" s="10" t="s">
        <v>50</v>
      </c>
      <c r="D27" s="28"/>
    </row>
    <row r="28" spans="1:8" ht="14.25">
      <c r="A28" s="57">
        <v>20</v>
      </c>
      <c r="B28" s="1" t="s">
        <v>53</v>
      </c>
      <c r="C28" s="1" t="s">
        <v>56</v>
      </c>
      <c r="D28" s="7">
        <v>0</v>
      </c>
      <c r="G28" s="99"/>
    </row>
    <row r="29" spans="1:8" ht="14.25">
      <c r="A29" s="57">
        <v>21</v>
      </c>
      <c r="B29" s="1" t="s">
        <v>54</v>
      </c>
      <c r="C29" s="1" t="s">
        <v>56</v>
      </c>
      <c r="D29" s="7">
        <v>95973</v>
      </c>
      <c r="G29" s="99"/>
    </row>
    <row r="30" spans="1:8" ht="13.5" thickBot="1">
      <c r="A30" s="57">
        <v>22</v>
      </c>
      <c r="B30" s="1" t="s">
        <v>50</v>
      </c>
      <c r="D30" s="9">
        <f>SUM(D28:D29)</f>
        <v>95973</v>
      </c>
      <c r="G30" s="99"/>
    </row>
    <row r="31" spans="1:8" ht="13.5" thickTop="1">
      <c r="A31" s="57">
        <v>23</v>
      </c>
      <c r="D31" s="28"/>
    </row>
    <row r="32" spans="1:8">
      <c r="A32" s="57">
        <v>24</v>
      </c>
      <c r="B32" s="1" t="s">
        <v>52</v>
      </c>
      <c r="D32" s="28"/>
    </row>
    <row r="33" spans="1:4">
      <c r="A33" s="57">
        <v>25</v>
      </c>
      <c r="B33" s="1" t="s">
        <v>57</v>
      </c>
    </row>
    <row r="34" spans="1:4">
      <c r="A34" s="57">
        <v>26</v>
      </c>
      <c r="B34" s="1" t="s">
        <v>19</v>
      </c>
      <c r="D34" s="1"/>
    </row>
    <row r="35" spans="1:4">
      <c r="A35" s="57">
        <v>27</v>
      </c>
      <c r="B35" s="1" t="s">
        <v>58</v>
      </c>
    </row>
    <row r="36" spans="1:4">
      <c r="A36" s="57">
        <v>28</v>
      </c>
      <c r="B36" s="1" t="s">
        <v>59</v>
      </c>
    </row>
    <row r="117" spans="7:8">
      <c r="G117" s="1" t="s">
        <v>20</v>
      </c>
      <c r="H117" s="1">
        <f>+J186</f>
        <v>0</v>
      </c>
    </row>
    <row r="118" spans="7:8">
      <c r="H118" s="1">
        <f>+H117</f>
        <v>0</v>
      </c>
    </row>
  </sheetData>
  <mergeCells count="4">
    <mergeCell ref="A3:D3"/>
    <mergeCell ref="A4:D4"/>
    <mergeCell ref="A5:D5"/>
    <mergeCell ref="B6:D6"/>
  </mergeCells>
  <printOptions horizontalCentered="1"/>
  <pageMargins left="0.75" right="0.75" top="1" bottom="1" header="0.5" footer="0.5"/>
  <pageSetup orientation="portrait" r:id="rId1"/>
  <headerFooter alignWithMargins="0">
    <oddHeader>&amp;L&amp;8 2016 BHP-Workpaper 1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P115"/>
  <sheetViews>
    <sheetView zoomScaleNormal="100" workbookViewId="0">
      <selection activeCell="B2" sqref="B2:D2"/>
    </sheetView>
  </sheetViews>
  <sheetFormatPr defaultColWidth="7.109375" defaultRowHeight="12.75"/>
  <cols>
    <col min="1" max="1" width="4.33203125" style="1" customWidth="1"/>
    <col min="2" max="2" width="8.21875" style="1" customWidth="1"/>
    <col min="3" max="3" width="35.77734375" style="1" customWidth="1"/>
    <col min="4" max="4" width="1.6640625" style="26" customWidth="1"/>
    <col min="5" max="5" width="11.6640625" style="1" bestFit="1" customWidth="1"/>
    <col min="6" max="6" width="1.88671875" style="1" customWidth="1"/>
    <col min="7" max="7" width="10.77734375" style="1" bestFit="1" customWidth="1"/>
    <col min="8" max="12" width="7.109375" style="1"/>
    <col min="13" max="13" width="9.77734375" style="1" bestFit="1" customWidth="1"/>
    <col min="14" max="16384" width="7.109375" style="1"/>
  </cols>
  <sheetData>
    <row r="2" spans="1:16">
      <c r="B2" s="205"/>
      <c r="C2" s="205"/>
      <c r="D2" s="205"/>
    </row>
    <row r="3" spans="1:16">
      <c r="B3" s="76"/>
      <c r="C3" s="64"/>
      <c r="D3" s="64"/>
      <c r="F3" s="53"/>
    </row>
    <row r="4" spans="1:16">
      <c r="A4" s="203" t="s">
        <v>21</v>
      </c>
      <c r="B4" s="203"/>
      <c r="C4" s="203"/>
      <c r="D4" s="203"/>
      <c r="E4" s="203"/>
      <c r="F4" s="203"/>
      <c r="G4" s="203"/>
    </row>
    <row r="5" spans="1:16">
      <c r="A5" s="206" t="s">
        <v>387</v>
      </c>
      <c r="B5" s="206"/>
      <c r="C5" s="206"/>
      <c r="D5" s="206"/>
      <c r="E5" s="206"/>
      <c r="F5" s="206"/>
      <c r="G5" s="206"/>
      <c r="J5" s="100"/>
    </row>
    <row r="6" spans="1:16">
      <c r="A6" s="203" t="s">
        <v>2</v>
      </c>
      <c r="B6" s="203"/>
      <c r="C6" s="203"/>
      <c r="D6" s="203"/>
      <c r="E6" s="203"/>
      <c r="F6" s="203"/>
      <c r="G6" s="203"/>
    </row>
    <row r="7" spans="1:16">
      <c r="B7" s="76"/>
      <c r="C7" s="64"/>
      <c r="D7" s="64"/>
    </row>
    <row r="8" spans="1:16">
      <c r="A8" s="57" t="s">
        <v>3</v>
      </c>
      <c r="D8" s="13"/>
      <c r="E8" s="13"/>
    </row>
    <row r="9" spans="1:16">
      <c r="A9" s="57" t="s">
        <v>5</v>
      </c>
      <c r="D9" s="14"/>
      <c r="E9" s="4" t="s">
        <v>22</v>
      </c>
      <c r="F9" s="4"/>
      <c r="G9" s="4" t="s">
        <v>23</v>
      </c>
    </row>
    <row r="10" spans="1:16">
      <c r="A10" s="15"/>
      <c r="B10" s="16"/>
      <c r="C10" s="16"/>
      <c r="D10" s="16"/>
      <c r="E10" s="16"/>
      <c r="F10" s="16"/>
      <c r="G10" s="17" t="s">
        <v>24</v>
      </c>
    </row>
    <row r="11" spans="1:16">
      <c r="B11" s="18" t="s">
        <v>25</v>
      </c>
      <c r="C11" s="18" t="s">
        <v>26</v>
      </c>
      <c r="D11" s="16"/>
      <c r="E11" s="18" t="s">
        <v>27</v>
      </c>
      <c r="F11" s="16"/>
      <c r="G11" s="18" t="s">
        <v>28</v>
      </c>
    </row>
    <row r="12" spans="1:16">
      <c r="A12" s="57">
        <v>1</v>
      </c>
      <c r="B12" s="17">
        <v>354</v>
      </c>
      <c r="C12" s="16" t="s">
        <v>29</v>
      </c>
      <c r="D12" s="16"/>
      <c r="E12" s="161">
        <v>466725.14</v>
      </c>
      <c r="F12" s="19"/>
      <c r="G12" s="19"/>
      <c r="J12" s="100"/>
      <c r="N12" s="101"/>
      <c r="O12" s="101"/>
      <c r="P12" s="101"/>
    </row>
    <row r="13" spans="1:16" ht="12.75" customHeight="1">
      <c r="A13" s="57">
        <v>2</v>
      </c>
      <c r="B13" s="17">
        <v>355</v>
      </c>
      <c r="C13" s="16" t="s">
        <v>30</v>
      </c>
      <c r="D13" s="16"/>
      <c r="E13" s="161">
        <v>112039204.14999999</v>
      </c>
      <c r="F13" s="19"/>
      <c r="G13" s="19"/>
      <c r="N13" s="101"/>
      <c r="O13" s="101"/>
      <c r="P13" s="101"/>
    </row>
    <row r="14" spans="1:16">
      <c r="A14" s="57">
        <v>3</v>
      </c>
      <c r="B14" s="17">
        <v>356</v>
      </c>
      <c r="C14" s="16" t="s">
        <v>31</v>
      </c>
      <c r="D14" s="16"/>
      <c r="E14" s="161">
        <v>77339564.260000005</v>
      </c>
      <c r="F14" s="19"/>
      <c r="G14" s="19"/>
      <c r="N14" s="101"/>
      <c r="O14" s="101"/>
      <c r="P14" s="101"/>
    </row>
    <row r="15" spans="1:16">
      <c r="A15" s="57">
        <v>4</v>
      </c>
      <c r="B15" s="17">
        <v>359</v>
      </c>
      <c r="C15" s="16" t="s">
        <v>32</v>
      </c>
      <c r="D15" s="16"/>
      <c r="E15" s="161">
        <v>6920.2800000000007</v>
      </c>
      <c r="F15" s="19"/>
      <c r="G15" s="19"/>
      <c r="N15" s="101"/>
      <c r="O15" s="101"/>
      <c r="P15" s="101"/>
    </row>
    <row r="16" spans="1:16">
      <c r="A16" s="57">
        <v>5</v>
      </c>
      <c r="B16" s="16"/>
      <c r="C16" s="20" t="s">
        <v>33</v>
      </c>
      <c r="D16" s="16"/>
      <c r="E16" s="21">
        <f>SUM(E12:E15)</f>
        <v>189852413.83000001</v>
      </c>
      <c r="F16" s="19"/>
      <c r="G16" s="162">
        <v>22215685.1345095</v>
      </c>
      <c r="N16" s="101"/>
      <c r="O16" s="101"/>
      <c r="P16" s="101"/>
    </row>
    <row r="17" spans="1:16">
      <c r="A17" s="57">
        <v>6</v>
      </c>
      <c r="B17" s="16"/>
      <c r="C17" s="20"/>
      <c r="D17" s="16"/>
      <c r="E17" s="19"/>
      <c r="F17" s="19"/>
      <c r="G17" s="19"/>
      <c r="N17" s="101"/>
      <c r="O17" s="101"/>
      <c r="P17" s="101"/>
    </row>
    <row r="18" spans="1:16">
      <c r="A18" s="57">
        <v>7</v>
      </c>
      <c r="B18" s="17">
        <v>353</v>
      </c>
      <c r="C18" s="20" t="s">
        <v>34</v>
      </c>
      <c r="D18" s="16"/>
      <c r="E18" s="161">
        <v>34780905.509868003</v>
      </c>
      <c r="F18" s="161"/>
      <c r="G18" s="161">
        <v>12056783.091721538</v>
      </c>
      <c r="N18" s="101"/>
      <c r="O18" s="101"/>
      <c r="P18" s="101"/>
    </row>
    <row r="19" spans="1:16">
      <c r="A19" s="57">
        <v>9</v>
      </c>
      <c r="B19" s="17">
        <v>352</v>
      </c>
      <c r="C19" s="20" t="s">
        <v>35</v>
      </c>
      <c r="D19" s="16"/>
      <c r="E19" s="161">
        <v>801753.15184399998</v>
      </c>
      <c r="F19" s="161"/>
      <c r="G19" s="161">
        <v>492615.74918898538</v>
      </c>
      <c r="N19" s="101"/>
      <c r="O19" s="101"/>
      <c r="P19" s="101"/>
    </row>
    <row r="20" spans="1:16">
      <c r="A20" s="57">
        <v>10</v>
      </c>
      <c r="B20" s="16"/>
      <c r="C20" s="16" t="s">
        <v>36</v>
      </c>
      <c r="D20" s="16"/>
      <c r="E20" s="21">
        <f>SUM(E16:E19)</f>
        <v>225435072.491712</v>
      </c>
      <c r="F20" s="19"/>
      <c r="G20" s="21">
        <f>SUM(G16:G19)</f>
        <v>34765083.975420021</v>
      </c>
      <c r="N20" s="101"/>
      <c r="O20" s="101"/>
      <c r="P20" s="101"/>
    </row>
    <row r="21" spans="1:16">
      <c r="A21" s="57">
        <v>11</v>
      </c>
      <c r="B21" s="16"/>
      <c r="C21" s="16"/>
      <c r="D21" s="16"/>
      <c r="E21" s="19"/>
      <c r="F21" s="19"/>
      <c r="G21" s="19"/>
      <c r="N21" s="101"/>
      <c r="O21" s="101"/>
      <c r="P21" s="101"/>
    </row>
    <row r="22" spans="1:16">
      <c r="A22" s="57">
        <v>12</v>
      </c>
      <c r="B22" s="17">
        <v>350</v>
      </c>
      <c r="C22" s="20" t="s">
        <v>37</v>
      </c>
      <c r="D22" s="16"/>
      <c r="E22" s="161">
        <v>9926332.0099999979</v>
      </c>
      <c r="F22" s="19"/>
      <c r="G22" s="19"/>
      <c r="N22" s="101"/>
      <c r="O22" s="101"/>
      <c r="P22" s="101"/>
    </row>
    <row r="23" spans="1:16">
      <c r="A23" s="57">
        <v>13</v>
      </c>
      <c r="B23" s="17">
        <v>350</v>
      </c>
      <c r="C23" s="20" t="s">
        <v>38</v>
      </c>
      <c r="D23" s="16"/>
      <c r="E23" s="163">
        <v>294903.67999999999</v>
      </c>
      <c r="F23" s="16"/>
      <c r="G23" s="16"/>
      <c r="N23" s="101"/>
      <c r="O23" s="101"/>
      <c r="P23" s="101"/>
    </row>
    <row r="24" spans="1:16">
      <c r="A24" s="57">
        <v>14</v>
      </c>
      <c r="B24" s="16"/>
      <c r="C24" s="16"/>
      <c r="D24" s="16"/>
      <c r="E24" s="16"/>
      <c r="F24" s="16"/>
      <c r="G24" s="16"/>
      <c r="N24" s="101"/>
      <c r="O24" s="101"/>
      <c r="P24" s="101"/>
    </row>
    <row r="25" spans="1:16">
      <c r="A25" s="57">
        <v>15</v>
      </c>
      <c r="B25" s="16"/>
      <c r="C25" s="16" t="s">
        <v>39</v>
      </c>
      <c r="D25" s="22"/>
      <c r="E25" s="19">
        <f>E20+E22+E23</f>
        <v>235656308.181712</v>
      </c>
      <c r="F25" s="16"/>
      <c r="G25" s="19">
        <f>G20+G22+G23</f>
        <v>34765083.975420021</v>
      </c>
      <c r="N25" s="101"/>
      <c r="O25" s="101"/>
      <c r="P25" s="101"/>
    </row>
    <row r="26" spans="1:16">
      <c r="A26" s="57">
        <v>16</v>
      </c>
      <c r="B26" s="16"/>
      <c r="C26" s="16"/>
      <c r="D26" s="16"/>
      <c r="E26" s="19"/>
      <c r="F26" s="19"/>
      <c r="G26" s="19"/>
      <c r="N26" s="101"/>
      <c r="O26" s="101"/>
      <c r="P26" s="101"/>
    </row>
    <row r="27" spans="1:16">
      <c r="A27" s="57">
        <v>17</v>
      </c>
      <c r="B27" s="17">
        <v>352</v>
      </c>
      <c r="C27" s="16" t="s">
        <v>40</v>
      </c>
      <c r="D27" s="16"/>
      <c r="E27" s="161">
        <v>32823.367830000003</v>
      </c>
      <c r="F27" s="19"/>
      <c r="G27" s="19"/>
      <c r="N27" s="101"/>
      <c r="O27" s="101"/>
      <c r="P27" s="101"/>
    </row>
    <row r="28" spans="1:16">
      <c r="A28" s="57">
        <v>18</v>
      </c>
      <c r="B28" s="17">
        <v>353</v>
      </c>
      <c r="C28" s="16" t="s">
        <v>40</v>
      </c>
      <c r="D28" s="16"/>
      <c r="E28" s="161">
        <v>1318448.5467579996</v>
      </c>
      <c r="F28" s="19"/>
      <c r="G28" s="19"/>
      <c r="N28" s="101"/>
      <c r="O28" s="101"/>
      <c r="P28" s="101"/>
    </row>
    <row r="29" spans="1:16">
      <c r="A29" s="57">
        <v>19</v>
      </c>
      <c r="B29" s="17">
        <v>355</v>
      </c>
      <c r="C29" s="16" t="s">
        <v>40</v>
      </c>
      <c r="D29" s="16"/>
      <c r="E29" s="161">
        <v>1746221.645</v>
      </c>
      <c r="F29" s="19"/>
      <c r="G29" s="19"/>
      <c r="N29" s="101"/>
      <c r="O29" s="101"/>
      <c r="P29" s="101"/>
    </row>
    <row r="30" spans="1:16">
      <c r="A30" s="57">
        <v>20</v>
      </c>
      <c r="B30" s="17">
        <v>356</v>
      </c>
      <c r="C30" s="16" t="s">
        <v>40</v>
      </c>
      <c r="D30" s="16"/>
      <c r="E30" s="161">
        <v>951679.63</v>
      </c>
      <c r="F30" s="19"/>
      <c r="G30" s="19"/>
      <c r="N30" s="101"/>
      <c r="O30" s="101"/>
      <c r="P30" s="101"/>
    </row>
    <row r="31" spans="1:16">
      <c r="A31" s="57">
        <v>21</v>
      </c>
      <c r="B31" s="16"/>
      <c r="C31" s="20" t="s">
        <v>41</v>
      </c>
      <c r="D31" s="16"/>
      <c r="E31" s="21">
        <f>SUM(E27:E30)</f>
        <v>4049173.1895879996</v>
      </c>
      <c r="F31" s="19"/>
      <c r="G31" s="162">
        <v>581975.63994645001</v>
      </c>
      <c r="N31" s="101"/>
      <c r="O31" s="101"/>
      <c r="P31" s="101"/>
    </row>
    <row r="32" spans="1:16">
      <c r="A32" s="57">
        <v>22</v>
      </c>
      <c r="B32" s="16"/>
      <c r="C32" s="20"/>
      <c r="D32" s="16"/>
      <c r="E32" s="19"/>
      <c r="F32" s="19"/>
      <c r="G32" s="19"/>
      <c r="N32" s="101"/>
      <c r="O32" s="101"/>
      <c r="P32" s="101"/>
    </row>
    <row r="33" spans="1:16">
      <c r="A33" s="57">
        <v>23</v>
      </c>
      <c r="B33" s="22" t="s">
        <v>42</v>
      </c>
      <c r="C33" s="20"/>
      <c r="D33" s="16"/>
      <c r="E33" s="23">
        <f>+E31+E25</f>
        <v>239705481.37130001</v>
      </c>
      <c r="F33" s="19"/>
      <c r="G33" s="23">
        <f>+G31+G25</f>
        <v>35347059.615366474</v>
      </c>
      <c r="N33" s="101"/>
      <c r="O33" s="101"/>
      <c r="P33" s="101"/>
    </row>
    <row r="34" spans="1:16">
      <c r="A34" s="57">
        <v>24</v>
      </c>
      <c r="B34" s="22"/>
      <c r="C34" s="20"/>
      <c r="D34" s="16"/>
      <c r="E34" s="21"/>
      <c r="F34" s="19"/>
      <c r="G34" s="19"/>
      <c r="N34" s="101"/>
      <c r="O34" s="101"/>
      <c r="P34" s="101"/>
    </row>
    <row r="35" spans="1:16">
      <c r="A35" s="57">
        <v>25</v>
      </c>
      <c r="B35" s="16" t="s">
        <v>43</v>
      </c>
      <c r="C35" s="20"/>
      <c r="D35" s="16"/>
      <c r="E35" s="164">
        <v>277787055</v>
      </c>
      <c r="F35" s="165"/>
      <c r="G35" s="164">
        <v>43583254</v>
      </c>
      <c r="N35" s="101"/>
      <c r="O35" s="101"/>
      <c r="P35" s="101"/>
    </row>
    <row r="36" spans="1:16">
      <c r="A36" s="57">
        <v>26</v>
      </c>
      <c r="B36" s="16"/>
      <c r="C36" s="20"/>
      <c r="D36" s="16"/>
      <c r="E36" s="19"/>
      <c r="F36" s="19"/>
      <c r="G36" s="21"/>
      <c r="N36" s="101"/>
      <c r="O36" s="101"/>
      <c r="P36" s="101"/>
    </row>
    <row r="37" spans="1:16" ht="13.5" thickBot="1">
      <c r="A37" s="57">
        <v>27</v>
      </c>
      <c r="B37" s="16"/>
      <c r="C37" s="16" t="s">
        <v>44</v>
      </c>
      <c r="D37" s="16"/>
      <c r="E37" s="27">
        <f>+E35-E33</f>
        <v>38081573.628699988</v>
      </c>
      <c r="F37" s="19"/>
      <c r="G37" s="27">
        <f>+G35-G33</f>
        <v>8236194.3846335262</v>
      </c>
      <c r="N37" s="101"/>
      <c r="O37" s="101"/>
      <c r="P37" s="101"/>
    </row>
    <row r="38" spans="1:16" ht="13.5" thickTop="1">
      <c r="A38" s="57">
        <v>28</v>
      </c>
      <c r="B38" s="16"/>
      <c r="C38" s="20"/>
      <c r="D38" s="16"/>
      <c r="E38" s="19"/>
      <c r="F38" s="19"/>
      <c r="G38" s="19"/>
      <c r="N38" s="101"/>
      <c r="O38" s="101"/>
      <c r="P38" s="101"/>
    </row>
    <row r="39" spans="1:16">
      <c r="A39" s="57">
        <v>29</v>
      </c>
      <c r="B39" s="17">
        <v>362</v>
      </c>
      <c r="C39" s="16" t="s">
        <v>40</v>
      </c>
      <c r="D39" s="16"/>
      <c r="E39" s="161">
        <v>6152730.5099999998</v>
      </c>
      <c r="F39" s="161"/>
      <c r="G39" s="161">
        <v>2738863.27</v>
      </c>
      <c r="N39" s="101"/>
      <c r="O39" s="101"/>
      <c r="P39" s="101"/>
    </row>
    <row r="40" spans="1:16">
      <c r="A40" s="57">
        <v>30</v>
      </c>
      <c r="B40" s="17">
        <v>362</v>
      </c>
      <c r="C40" s="16" t="s">
        <v>45</v>
      </c>
      <c r="D40" s="16"/>
      <c r="E40" s="161">
        <v>4819490.53</v>
      </c>
      <c r="F40" s="161"/>
      <c r="G40" s="161">
        <v>1621399.49</v>
      </c>
      <c r="N40" s="101"/>
      <c r="O40" s="101"/>
      <c r="P40" s="101"/>
    </row>
    <row r="41" spans="1:16">
      <c r="A41" s="57">
        <v>31</v>
      </c>
      <c r="B41" s="16"/>
      <c r="C41" s="16"/>
      <c r="D41" s="16"/>
      <c r="E41" s="21"/>
      <c r="F41" s="19"/>
      <c r="G41" s="21"/>
      <c r="N41" s="101"/>
      <c r="O41" s="101"/>
      <c r="P41" s="101"/>
    </row>
    <row r="42" spans="1:16">
      <c r="A42" s="57">
        <v>32</v>
      </c>
      <c r="B42" s="22" t="s">
        <v>46</v>
      </c>
      <c r="C42" s="20"/>
      <c r="D42" s="16"/>
      <c r="E42" s="23">
        <f>SUM(E39:E41)</f>
        <v>10972221.039999999</v>
      </c>
      <c r="F42" s="19"/>
      <c r="G42" s="23">
        <f>SUM(G39:G41)</f>
        <v>4360262.76</v>
      </c>
      <c r="N42" s="101"/>
      <c r="O42" s="101"/>
      <c r="P42" s="101"/>
    </row>
    <row r="43" spans="1:16">
      <c r="A43" s="57">
        <v>33</v>
      </c>
      <c r="B43" s="22"/>
      <c r="C43" s="20"/>
      <c r="D43" s="16"/>
      <c r="E43" s="19"/>
      <c r="F43" s="19"/>
      <c r="G43" s="19"/>
      <c r="N43" s="101"/>
      <c r="O43" s="101"/>
      <c r="P43" s="101"/>
    </row>
    <row r="44" spans="1:16">
      <c r="A44" s="57">
        <v>34</v>
      </c>
      <c r="B44" s="16" t="s">
        <v>47</v>
      </c>
      <c r="C44" s="20"/>
      <c r="D44" s="16"/>
      <c r="E44" s="165">
        <v>511089759</v>
      </c>
      <c r="F44" s="165"/>
      <c r="G44" s="165">
        <v>165500500</v>
      </c>
      <c r="N44" s="101"/>
      <c r="O44" s="101"/>
      <c r="P44" s="101"/>
    </row>
    <row r="45" spans="1:16" ht="13.5" thickBot="1">
      <c r="A45" s="57">
        <v>35</v>
      </c>
      <c r="B45" s="16"/>
      <c r="C45" s="16" t="s">
        <v>48</v>
      </c>
      <c r="D45" s="16"/>
      <c r="E45" s="24">
        <f>+E44-E42</f>
        <v>500117537.95999998</v>
      </c>
      <c r="F45" s="19"/>
      <c r="G45" s="24">
        <f>+G44-G42</f>
        <v>161140237.24000001</v>
      </c>
      <c r="N45" s="101"/>
      <c r="O45" s="101"/>
      <c r="P45" s="101"/>
    </row>
    <row r="46" spans="1:16" ht="13.5" thickTop="1">
      <c r="A46" s="57">
        <v>36</v>
      </c>
      <c r="B46" s="16"/>
      <c r="C46" s="20"/>
      <c r="D46" s="16"/>
      <c r="E46" s="19"/>
      <c r="F46" s="19"/>
      <c r="G46" s="19"/>
      <c r="N46" s="101"/>
      <c r="O46" s="101"/>
      <c r="P46" s="101"/>
    </row>
    <row r="47" spans="1:16" ht="13.5" thickBot="1">
      <c r="A47" s="57">
        <v>37</v>
      </c>
      <c r="B47" s="16"/>
      <c r="C47" s="22" t="s">
        <v>49</v>
      </c>
      <c r="D47" s="16"/>
      <c r="E47" s="25">
        <f>+E42+E33</f>
        <v>250677702.4113</v>
      </c>
      <c r="F47" s="19"/>
      <c r="G47" s="25">
        <f>+G42+G33</f>
        <v>39707322.375366472</v>
      </c>
      <c r="N47" s="101"/>
      <c r="O47" s="101"/>
      <c r="P47" s="101"/>
    </row>
    <row r="48" spans="1:16" ht="13.5" thickTop="1">
      <c r="A48" s="57">
        <v>38</v>
      </c>
    </row>
    <row r="49" spans="1:2">
      <c r="A49" s="57">
        <v>39</v>
      </c>
      <c r="B49" s="1" t="s">
        <v>60</v>
      </c>
    </row>
    <row r="50" spans="1:2">
      <c r="A50" s="57">
        <v>40</v>
      </c>
      <c r="B50" s="29" t="s">
        <v>61</v>
      </c>
    </row>
    <row r="51" spans="1:2">
      <c r="A51" s="57">
        <v>41</v>
      </c>
      <c r="B51" s="29" t="s">
        <v>63</v>
      </c>
    </row>
    <row r="52" spans="1:2">
      <c r="A52" s="57">
        <v>42</v>
      </c>
      <c r="B52" s="29" t="s">
        <v>62</v>
      </c>
    </row>
    <row r="114" spans="6:6">
      <c r="F114" s="1">
        <f>+H183</f>
        <v>0</v>
      </c>
    </row>
    <row r="115" spans="6:6">
      <c r="F115" s="1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2016 BHP-Workpaper 4 Supplemental Supporting Schedules&amp;C&amp;"Arial MT,Bold"&amp;10
ACTUAL SERVICE YEAR ATRR
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3:N59"/>
  <sheetViews>
    <sheetView workbookViewId="0">
      <selection activeCell="I23" sqref="I23"/>
    </sheetView>
  </sheetViews>
  <sheetFormatPr defaultRowHeight="12.75"/>
  <cols>
    <col min="1" max="1" width="6.109375" style="30" customWidth="1"/>
    <col min="2" max="4" width="11.77734375" style="30" customWidth="1"/>
    <col min="5" max="6" width="9.88671875" style="30" customWidth="1"/>
    <col min="7" max="7" width="15.109375" style="30" bestFit="1" customWidth="1"/>
    <col min="8" max="11" width="8.88671875" style="30"/>
    <col min="12" max="12" width="10.6640625" style="30" bestFit="1" customWidth="1"/>
    <col min="13" max="13" width="8.88671875" style="30"/>
    <col min="14" max="14" width="29.77734375" style="30" customWidth="1"/>
    <col min="15" max="256" width="8.88671875" style="30"/>
    <col min="257" max="257" width="6.109375" style="30" customWidth="1"/>
    <col min="258" max="260" width="11.77734375" style="30" customWidth="1"/>
    <col min="261" max="262" width="9.88671875" style="30" customWidth="1"/>
    <col min="263" max="263" width="15.109375" style="30" bestFit="1" customWidth="1"/>
    <col min="264" max="512" width="8.88671875" style="30"/>
    <col min="513" max="513" width="6.109375" style="30" customWidth="1"/>
    <col min="514" max="516" width="11.77734375" style="30" customWidth="1"/>
    <col min="517" max="518" width="9.88671875" style="30" customWidth="1"/>
    <col min="519" max="519" width="15.109375" style="30" bestFit="1" customWidth="1"/>
    <col min="520" max="768" width="8.88671875" style="30"/>
    <col min="769" max="769" width="6.109375" style="30" customWidth="1"/>
    <col min="770" max="772" width="11.77734375" style="30" customWidth="1"/>
    <col min="773" max="774" width="9.88671875" style="30" customWidth="1"/>
    <col min="775" max="775" width="15.109375" style="30" bestFit="1" customWidth="1"/>
    <col min="776" max="1024" width="8.88671875" style="30"/>
    <col min="1025" max="1025" width="6.109375" style="30" customWidth="1"/>
    <col min="1026" max="1028" width="11.77734375" style="30" customWidth="1"/>
    <col min="1029" max="1030" width="9.88671875" style="30" customWidth="1"/>
    <col min="1031" max="1031" width="15.109375" style="30" bestFit="1" customWidth="1"/>
    <col min="1032" max="1280" width="8.88671875" style="30"/>
    <col min="1281" max="1281" width="6.109375" style="30" customWidth="1"/>
    <col min="1282" max="1284" width="11.77734375" style="30" customWidth="1"/>
    <col min="1285" max="1286" width="9.88671875" style="30" customWidth="1"/>
    <col min="1287" max="1287" width="15.109375" style="30" bestFit="1" customWidth="1"/>
    <col min="1288" max="1536" width="8.88671875" style="30"/>
    <col min="1537" max="1537" width="6.109375" style="30" customWidth="1"/>
    <col min="1538" max="1540" width="11.77734375" style="30" customWidth="1"/>
    <col min="1541" max="1542" width="9.88671875" style="30" customWidth="1"/>
    <col min="1543" max="1543" width="15.109375" style="30" bestFit="1" customWidth="1"/>
    <col min="1544" max="1792" width="8.88671875" style="30"/>
    <col min="1793" max="1793" width="6.109375" style="30" customWidth="1"/>
    <col min="1794" max="1796" width="11.77734375" style="30" customWidth="1"/>
    <col min="1797" max="1798" width="9.88671875" style="30" customWidth="1"/>
    <col min="1799" max="1799" width="15.109375" style="30" bestFit="1" customWidth="1"/>
    <col min="1800" max="2048" width="8.88671875" style="30"/>
    <col min="2049" max="2049" width="6.109375" style="30" customWidth="1"/>
    <col min="2050" max="2052" width="11.77734375" style="30" customWidth="1"/>
    <col min="2053" max="2054" width="9.88671875" style="30" customWidth="1"/>
    <col min="2055" max="2055" width="15.109375" style="30" bestFit="1" customWidth="1"/>
    <col min="2056" max="2304" width="8.88671875" style="30"/>
    <col min="2305" max="2305" width="6.109375" style="30" customWidth="1"/>
    <col min="2306" max="2308" width="11.77734375" style="30" customWidth="1"/>
    <col min="2309" max="2310" width="9.88671875" style="30" customWidth="1"/>
    <col min="2311" max="2311" width="15.109375" style="30" bestFit="1" customWidth="1"/>
    <col min="2312" max="2560" width="8.88671875" style="30"/>
    <col min="2561" max="2561" width="6.109375" style="30" customWidth="1"/>
    <col min="2562" max="2564" width="11.77734375" style="30" customWidth="1"/>
    <col min="2565" max="2566" width="9.88671875" style="30" customWidth="1"/>
    <col min="2567" max="2567" width="15.109375" style="30" bestFit="1" customWidth="1"/>
    <col min="2568" max="2816" width="8.88671875" style="30"/>
    <col min="2817" max="2817" width="6.109375" style="30" customWidth="1"/>
    <col min="2818" max="2820" width="11.77734375" style="30" customWidth="1"/>
    <col min="2821" max="2822" width="9.88671875" style="30" customWidth="1"/>
    <col min="2823" max="2823" width="15.109375" style="30" bestFit="1" customWidth="1"/>
    <col min="2824" max="3072" width="8.88671875" style="30"/>
    <col min="3073" max="3073" width="6.109375" style="30" customWidth="1"/>
    <col min="3074" max="3076" width="11.77734375" style="30" customWidth="1"/>
    <col min="3077" max="3078" width="9.88671875" style="30" customWidth="1"/>
    <col min="3079" max="3079" width="15.109375" style="30" bestFit="1" customWidth="1"/>
    <col min="3080" max="3328" width="8.88671875" style="30"/>
    <col min="3329" max="3329" width="6.109375" style="30" customWidth="1"/>
    <col min="3330" max="3332" width="11.77734375" style="30" customWidth="1"/>
    <col min="3333" max="3334" width="9.88671875" style="30" customWidth="1"/>
    <col min="3335" max="3335" width="15.109375" style="30" bestFit="1" customWidth="1"/>
    <col min="3336" max="3584" width="8.88671875" style="30"/>
    <col min="3585" max="3585" width="6.109375" style="30" customWidth="1"/>
    <col min="3586" max="3588" width="11.77734375" style="30" customWidth="1"/>
    <col min="3589" max="3590" width="9.88671875" style="30" customWidth="1"/>
    <col min="3591" max="3591" width="15.109375" style="30" bestFit="1" customWidth="1"/>
    <col min="3592" max="3840" width="8.88671875" style="30"/>
    <col min="3841" max="3841" width="6.109375" style="30" customWidth="1"/>
    <col min="3842" max="3844" width="11.77734375" style="30" customWidth="1"/>
    <col min="3845" max="3846" width="9.88671875" style="30" customWidth="1"/>
    <col min="3847" max="3847" width="15.109375" style="30" bestFit="1" customWidth="1"/>
    <col min="3848" max="4096" width="8.88671875" style="30"/>
    <col min="4097" max="4097" width="6.109375" style="30" customWidth="1"/>
    <col min="4098" max="4100" width="11.77734375" style="30" customWidth="1"/>
    <col min="4101" max="4102" width="9.88671875" style="30" customWidth="1"/>
    <col min="4103" max="4103" width="15.109375" style="30" bestFit="1" customWidth="1"/>
    <col min="4104" max="4352" width="8.88671875" style="30"/>
    <col min="4353" max="4353" width="6.109375" style="30" customWidth="1"/>
    <col min="4354" max="4356" width="11.77734375" style="30" customWidth="1"/>
    <col min="4357" max="4358" width="9.88671875" style="30" customWidth="1"/>
    <col min="4359" max="4359" width="15.109375" style="30" bestFit="1" customWidth="1"/>
    <col min="4360" max="4608" width="8.88671875" style="30"/>
    <col min="4609" max="4609" width="6.109375" style="30" customWidth="1"/>
    <col min="4610" max="4612" width="11.77734375" style="30" customWidth="1"/>
    <col min="4613" max="4614" width="9.88671875" style="30" customWidth="1"/>
    <col min="4615" max="4615" width="15.109375" style="30" bestFit="1" customWidth="1"/>
    <col min="4616" max="4864" width="8.88671875" style="30"/>
    <col min="4865" max="4865" width="6.109375" style="30" customWidth="1"/>
    <col min="4866" max="4868" width="11.77734375" style="30" customWidth="1"/>
    <col min="4869" max="4870" width="9.88671875" style="30" customWidth="1"/>
    <col min="4871" max="4871" width="15.109375" style="30" bestFit="1" customWidth="1"/>
    <col min="4872" max="5120" width="8.88671875" style="30"/>
    <col min="5121" max="5121" width="6.109375" style="30" customWidth="1"/>
    <col min="5122" max="5124" width="11.77734375" style="30" customWidth="1"/>
    <col min="5125" max="5126" width="9.88671875" style="30" customWidth="1"/>
    <col min="5127" max="5127" width="15.109375" style="30" bestFit="1" customWidth="1"/>
    <col min="5128" max="5376" width="8.88671875" style="30"/>
    <col min="5377" max="5377" width="6.109375" style="30" customWidth="1"/>
    <col min="5378" max="5380" width="11.77734375" style="30" customWidth="1"/>
    <col min="5381" max="5382" width="9.88671875" style="30" customWidth="1"/>
    <col min="5383" max="5383" width="15.109375" style="30" bestFit="1" customWidth="1"/>
    <col min="5384" max="5632" width="8.88671875" style="30"/>
    <col min="5633" max="5633" width="6.109375" style="30" customWidth="1"/>
    <col min="5634" max="5636" width="11.77734375" style="30" customWidth="1"/>
    <col min="5637" max="5638" width="9.88671875" style="30" customWidth="1"/>
    <col min="5639" max="5639" width="15.109375" style="30" bestFit="1" customWidth="1"/>
    <col min="5640" max="5888" width="8.88671875" style="30"/>
    <col min="5889" max="5889" width="6.109375" style="30" customWidth="1"/>
    <col min="5890" max="5892" width="11.77734375" style="30" customWidth="1"/>
    <col min="5893" max="5894" width="9.88671875" style="30" customWidth="1"/>
    <col min="5895" max="5895" width="15.109375" style="30" bestFit="1" customWidth="1"/>
    <col min="5896" max="6144" width="8.88671875" style="30"/>
    <col min="6145" max="6145" width="6.109375" style="30" customWidth="1"/>
    <col min="6146" max="6148" width="11.77734375" style="30" customWidth="1"/>
    <col min="6149" max="6150" width="9.88671875" style="30" customWidth="1"/>
    <col min="6151" max="6151" width="15.109375" style="30" bestFit="1" customWidth="1"/>
    <col min="6152" max="6400" width="8.88671875" style="30"/>
    <col min="6401" max="6401" width="6.109375" style="30" customWidth="1"/>
    <col min="6402" max="6404" width="11.77734375" style="30" customWidth="1"/>
    <col min="6405" max="6406" width="9.88671875" style="30" customWidth="1"/>
    <col min="6407" max="6407" width="15.109375" style="30" bestFit="1" customWidth="1"/>
    <col min="6408" max="6656" width="8.88671875" style="30"/>
    <col min="6657" max="6657" width="6.109375" style="30" customWidth="1"/>
    <col min="6658" max="6660" width="11.77734375" style="30" customWidth="1"/>
    <col min="6661" max="6662" width="9.88671875" style="30" customWidth="1"/>
    <col min="6663" max="6663" width="15.109375" style="30" bestFit="1" customWidth="1"/>
    <col min="6664" max="6912" width="8.88671875" style="30"/>
    <col min="6913" max="6913" width="6.109375" style="30" customWidth="1"/>
    <col min="6914" max="6916" width="11.77734375" style="30" customWidth="1"/>
    <col min="6917" max="6918" width="9.88671875" style="30" customWidth="1"/>
    <col min="6919" max="6919" width="15.109375" style="30" bestFit="1" customWidth="1"/>
    <col min="6920" max="7168" width="8.88671875" style="30"/>
    <col min="7169" max="7169" width="6.109375" style="30" customWidth="1"/>
    <col min="7170" max="7172" width="11.77734375" style="30" customWidth="1"/>
    <col min="7173" max="7174" width="9.88671875" style="30" customWidth="1"/>
    <col min="7175" max="7175" width="15.109375" style="30" bestFit="1" customWidth="1"/>
    <col min="7176" max="7424" width="8.88671875" style="30"/>
    <col min="7425" max="7425" width="6.109375" style="30" customWidth="1"/>
    <col min="7426" max="7428" width="11.77734375" style="30" customWidth="1"/>
    <col min="7429" max="7430" width="9.88671875" style="30" customWidth="1"/>
    <col min="7431" max="7431" width="15.109375" style="30" bestFit="1" customWidth="1"/>
    <col min="7432" max="7680" width="8.88671875" style="30"/>
    <col min="7681" max="7681" width="6.109375" style="30" customWidth="1"/>
    <col min="7682" max="7684" width="11.77734375" style="30" customWidth="1"/>
    <col min="7685" max="7686" width="9.88671875" style="30" customWidth="1"/>
    <col min="7687" max="7687" width="15.109375" style="30" bestFit="1" customWidth="1"/>
    <col min="7688" max="7936" width="8.88671875" style="30"/>
    <col min="7937" max="7937" width="6.109375" style="30" customWidth="1"/>
    <col min="7938" max="7940" width="11.77734375" style="30" customWidth="1"/>
    <col min="7941" max="7942" width="9.88671875" style="30" customWidth="1"/>
    <col min="7943" max="7943" width="15.109375" style="30" bestFit="1" customWidth="1"/>
    <col min="7944" max="8192" width="8.88671875" style="30"/>
    <col min="8193" max="8193" width="6.109375" style="30" customWidth="1"/>
    <col min="8194" max="8196" width="11.77734375" style="30" customWidth="1"/>
    <col min="8197" max="8198" width="9.88671875" style="30" customWidth="1"/>
    <col min="8199" max="8199" width="15.109375" style="30" bestFit="1" customWidth="1"/>
    <col min="8200" max="8448" width="8.88671875" style="30"/>
    <col min="8449" max="8449" width="6.109375" style="30" customWidth="1"/>
    <col min="8450" max="8452" width="11.77734375" style="30" customWidth="1"/>
    <col min="8453" max="8454" width="9.88671875" style="30" customWidth="1"/>
    <col min="8455" max="8455" width="15.109375" style="30" bestFit="1" customWidth="1"/>
    <col min="8456" max="8704" width="8.88671875" style="30"/>
    <col min="8705" max="8705" width="6.109375" style="30" customWidth="1"/>
    <col min="8706" max="8708" width="11.77734375" style="30" customWidth="1"/>
    <col min="8709" max="8710" width="9.88671875" style="30" customWidth="1"/>
    <col min="8711" max="8711" width="15.109375" style="30" bestFit="1" customWidth="1"/>
    <col min="8712" max="8960" width="8.88671875" style="30"/>
    <col min="8961" max="8961" width="6.109375" style="30" customWidth="1"/>
    <col min="8962" max="8964" width="11.77734375" style="30" customWidth="1"/>
    <col min="8965" max="8966" width="9.88671875" style="30" customWidth="1"/>
    <col min="8967" max="8967" width="15.109375" style="30" bestFit="1" customWidth="1"/>
    <col min="8968" max="9216" width="8.88671875" style="30"/>
    <col min="9217" max="9217" width="6.109375" style="30" customWidth="1"/>
    <col min="9218" max="9220" width="11.77734375" style="30" customWidth="1"/>
    <col min="9221" max="9222" width="9.88671875" style="30" customWidth="1"/>
    <col min="9223" max="9223" width="15.109375" style="30" bestFit="1" customWidth="1"/>
    <col min="9224" max="9472" width="8.88671875" style="30"/>
    <col min="9473" max="9473" width="6.109375" style="30" customWidth="1"/>
    <col min="9474" max="9476" width="11.77734375" style="30" customWidth="1"/>
    <col min="9477" max="9478" width="9.88671875" style="30" customWidth="1"/>
    <col min="9479" max="9479" width="15.109375" style="30" bestFit="1" customWidth="1"/>
    <col min="9480" max="9728" width="8.88671875" style="30"/>
    <col min="9729" max="9729" width="6.109375" style="30" customWidth="1"/>
    <col min="9730" max="9732" width="11.77734375" style="30" customWidth="1"/>
    <col min="9733" max="9734" width="9.88671875" style="30" customWidth="1"/>
    <col min="9735" max="9735" width="15.109375" style="30" bestFit="1" customWidth="1"/>
    <col min="9736" max="9984" width="8.88671875" style="30"/>
    <col min="9985" max="9985" width="6.109375" style="30" customWidth="1"/>
    <col min="9986" max="9988" width="11.77734375" style="30" customWidth="1"/>
    <col min="9989" max="9990" width="9.88671875" style="30" customWidth="1"/>
    <col min="9991" max="9991" width="15.109375" style="30" bestFit="1" customWidth="1"/>
    <col min="9992" max="10240" width="8.88671875" style="30"/>
    <col min="10241" max="10241" width="6.109375" style="30" customWidth="1"/>
    <col min="10242" max="10244" width="11.77734375" style="30" customWidth="1"/>
    <col min="10245" max="10246" width="9.88671875" style="30" customWidth="1"/>
    <col min="10247" max="10247" width="15.109375" style="30" bestFit="1" customWidth="1"/>
    <col min="10248" max="10496" width="8.88671875" style="30"/>
    <col min="10497" max="10497" width="6.109375" style="30" customWidth="1"/>
    <col min="10498" max="10500" width="11.77734375" style="30" customWidth="1"/>
    <col min="10501" max="10502" width="9.88671875" style="30" customWidth="1"/>
    <col min="10503" max="10503" width="15.109375" style="30" bestFit="1" customWidth="1"/>
    <col min="10504" max="10752" width="8.88671875" style="30"/>
    <col min="10753" max="10753" width="6.109375" style="30" customWidth="1"/>
    <col min="10754" max="10756" width="11.77734375" style="30" customWidth="1"/>
    <col min="10757" max="10758" width="9.88671875" style="30" customWidth="1"/>
    <col min="10759" max="10759" width="15.109375" style="30" bestFit="1" customWidth="1"/>
    <col min="10760" max="11008" width="8.88671875" style="30"/>
    <col min="11009" max="11009" width="6.109375" style="30" customWidth="1"/>
    <col min="11010" max="11012" width="11.77734375" style="30" customWidth="1"/>
    <col min="11013" max="11014" width="9.88671875" style="30" customWidth="1"/>
    <col min="11015" max="11015" width="15.109375" style="30" bestFit="1" customWidth="1"/>
    <col min="11016" max="11264" width="8.88671875" style="30"/>
    <col min="11265" max="11265" width="6.109375" style="30" customWidth="1"/>
    <col min="11266" max="11268" width="11.77734375" style="30" customWidth="1"/>
    <col min="11269" max="11270" width="9.88671875" style="30" customWidth="1"/>
    <col min="11271" max="11271" width="15.109375" style="30" bestFit="1" customWidth="1"/>
    <col min="11272" max="11520" width="8.88671875" style="30"/>
    <col min="11521" max="11521" width="6.109375" style="30" customWidth="1"/>
    <col min="11522" max="11524" width="11.77734375" style="30" customWidth="1"/>
    <col min="11525" max="11526" width="9.88671875" style="30" customWidth="1"/>
    <col min="11527" max="11527" width="15.109375" style="30" bestFit="1" customWidth="1"/>
    <col min="11528" max="11776" width="8.88671875" style="30"/>
    <col min="11777" max="11777" width="6.109375" style="30" customWidth="1"/>
    <col min="11778" max="11780" width="11.77734375" style="30" customWidth="1"/>
    <col min="11781" max="11782" width="9.88671875" style="30" customWidth="1"/>
    <col min="11783" max="11783" width="15.109375" style="30" bestFit="1" customWidth="1"/>
    <col min="11784" max="12032" width="8.88671875" style="30"/>
    <col min="12033" max="12033" width="6.109375" style="30" customWidth="1"/>
    <col min="12034" max="12036" width="11.77734375" style="30" customWidth="1"/>
    <col min="12037" max="12038" width="9.88671875" style="30" customWidth="1"/>
    <col min="12039" max="12039" width="15.109375" style="30" bestFit="1" customWidth="1"/>
    <col min="12040" max="12288" width="8.88671875" style="30"/>
    <col min="12289" max="12289" width="6.109375" style="30" customWidth="1"/>
    <col min="12290" max="12292" width="11.77734375" style="30" customWidth="1"/>
    <col min="12293" max="12294" width="9.88671875" style="30" customWidth="1"/>
    <col min="12295" max="12295" width="15.109375" style="30" bestFit="1" customWidth="1"/>
    <col min="12296" max="12544" width="8.88671875" style="30"/>
    <col min="12545" max="12545" width="6.109375" style="30" customWidth="1"/>
    <col min="12546" max="12548" width="11.77734375" style="30" customWidth="1"/>
    <col min="12549" max="12550" width="9.88671875" style="30" customWidth="1"/>
    <col min="12551" max="12551" width="15.109375" style="30" bestFit="1" customWidth="1"/>
    <col min="12552" max="12800" width="8.88671875" style="30"/>
    <col min="12801" max="12801" width="6.109375" style="30" customWidth="1"/>
    <col min="12802" max="12804" width="11.77734375" style="30" customWidth="1"/>
    <col min="12805" max="12806" width="9.88671875" style="30" customWidth="1"/>
    <col min="12807" max="12807" width="15.109375" style="30" bestFit="1" customWidth="1"/>
    <col min="12808" max="13056" width="8.88671875" style="30"/>
    <col min="13057" max="13057" width="6.109375" style="30" customWidth="1"/>
    <col min="13058" max="13060" width="11.77734375" style="30" customWidth="1"/>
    <col min="13061" max="13062" width="9.88671875" style="30" customWidth="1"/>
    <col min="13063" max="13063" width="15.109375" style="30" bestFit="1" customWidth="1"/>
    <col min="13064" max="13312" width="8.88671875" style="30"/>
    <col min="13313" max="13313" width="6.109375" style="30" customWidth="1"/>
    <col min="13314" max="13316" width="11.77734375" style="30" customWidth="1"/>
    <col min="13317" max="13318" width="9.88671875" style="30" customWidth="1"/>
    <col min="13319" max="13319" width="15.109375" style="30" bestFit="1" customWidth="1"/>
    <col min="13320" max="13568" width="8.88671875" style="30"/>
    <col min="13569" max="13569" width="6.109375" style="30" customWidth="1"/>
    <col min="13570" max="13572" width="11.77734375" style="30" customWidth="1"/>
    <col min="13573" max="13574" width="9.88671875" style="30" customWidth="1"/>
    <col min="13575" max="13575" width="15.109375" style="30" bestFit="1" customWidth="1"/>
    <col min="13576" max="13824" width="8.88671875" style="30"/>
    <col min="13825" max="13825" width="6.109375" style="30" customWidth="1"/>
    <col min="13826" max="13828" width="11.77734375" style="30" customWidth="1"/>
    <col min="13829" max="13830" width="9.88671875" style="30" customWidth="1"/>
    <col min="13831" max="13831" width="15.109375" style="30" bestFit="1" customWidth="1"/>
    <col min="13832" max="14080" width="8.88671875" style="30"/>
    <col min="14081" max="14081" width="6.109375" style="30" customWidth="1"/>
    <col min="14082" max="14084" width="11.77734375" style="30" customWidth="1"/>
    <col min="14085" max="14086" width="9.88671875" style="30" customWidth="1"/>
    <col min="14087" max="14087" width="15.109375" style="30" bestFit="1" customWidth="1"/>
    <col min="14088" max="14336" width="8.88671875" style="30"/>
    <col min="14337" max="14337" width="6.109375" style="30" customWidth="1"/>
    <col min="14338" max="14340" width="11.77734375" style="30" customWidth="1"/>
    <col min="14341" max="14342" width="9.88671875" style="30" customWidth="1"/>
    <col min="14343" max="14343" width="15.109375" style="30" bestFit="1" customWidth="1"/>
    <col min="14344" max="14592" width="8.88671875" style="30"/>
    <col min="14593" max="14593" width="6.109375" style="30" customWidth="1"/>
    <col min="14594" max="14596" width="11.77734375" style="30" customWidth="1"/>
    <col min="14597" max="14598" width="9.88671875" style="30" customWidth="1"/>
    <col min="14599" max="14599" width="15.109375" style="30" bestFit="1" customWidth="1"/>
    <col min="14600" max="14848" width="8.88671875" style="30"/>
    <col min="14849" max="14849" width="6.109375" style="30" customWidth="1"/>
    <col min="14850" max="14852" width="11.77734375" style="30" customWidth="1"/>
    <col min="14853" max="14854" width="9.88671875" style="30" customWidth="1"/>
    <col min="14855" max="14855" width="15.109375" style="30" bestFit="1" customWidth="1"/>
    <col min="14856" max="15104" width="8.88671875" style="30"/>
    <col min="15105" max="15105" width="6.109375" style="30" customWidth="1"/>
    <col min="15106" max="15108" width="11.77734375" style="30" customWidth="1"/>
    <col min="15109" max="15110" width="9.88671875" style="30" customWidth="1"/>
    <col min="15111" max="15111" width="15.109375" style="30" bestFit="1" customWidth="1"/>
    <col min="15112" max="15360" width="8.88671875" style="30"/>
    <col min="15361" max="15361" width="6.109375" style="30" customWidth="1"/>
    <col min="15362" max="15364" width="11.77734375" style="30" customWidth="1"/>
    <col min="15365" max="15366" width="9.88671875" style="30" customWidth="1"/>
    <col min="15367" max="15367" width="15.109375" style="30" bestFit="1" customWidth="1"/>
    <col min="15368" max="15616" width="8.88671875" style="30"/>
    <col min="15617" max="15617" width="6.109375" style="30" customWidth="1"/>
    <col min="15618" max="15620" width="11.77734375" style="30" customWidth="1"/>
    <col min="15621" max="15622" width="9.88671875" style="30" customWidth="1"/>
    <col min="15623" max="15623" width="15.109375" style="30" bestFit="1" customWidth="1"/>
    <col min="15624" max="15872" width="8.88671875" style="30"/>
    <col min="15873" max="15873" width="6.109375" style="30" customWidth="1"/>
    <col min="15874" max="15876" width="11.77734375" style="30" customWidth="1"/>
    <col min="15877" max="15878" width="9.88671875" style="30" customWidth="1"/>
    <col min="15879" max="15879" width="15.109375" style="30" bestFit="1" customWidth="1"/>
    <col min="15880" max="16128" width="8.88671875" style="30"/>
    <col min="16129" max="16129" width="6.109375" style="30" customWidth="1"/>
    <col min="16130" max="16132" width="11.77734375" style="30" customWidth="1"/>
    <col min="16133" max="16134" width="9.88671875" style="30" customWidth="1"/>
    <col min="16135" max="16135" width="15.109375" style="30" bestFit="1" customWidth="1"/>
    <col min="16136" max="16384" width="8.88671875" style="30"/>
  </cols>
  <sheetData>
    <row r="3" spans="1:14">
      <c r="A3" s="203" t="s">
        <v>223</v>
      </c>
      <c r="B3" s="203"/>
      <c r="C3" s="203"/>
      <c r="D3" s="203"/>
      <c r="E3" s="203"/>
      <c r="F3" s="203"/>
      <c r="G3" s="203"/>
    </row>
    <row r="4" spans="1:14">
      <c r="A4" s="203" t="s">
        <v>224</v>
      </c>
      <c r="B4" s="203"/>
      <c r="C4" s="203"/>
      <c r="D4" s="203"/>
      <c r="E4" s="203"/>
      <c r="F4" s="203"/>
      <c r="G4" s="203"/>
    </row>
    <row r="5" spans="1:14">
      <c r="A5" s="203" t="s">
        <v>2</v>
      </c>
      <c r="B5" s="203"/>
      <c r="C5" s="203"/>
      <c r="D5" s="203"/>
      <c r="E5" s="203"/>
      <c r="F5" s="203"/>
      <c r="G5" s="203"/>
    </row>
    <row r="6" spans="1:14">
      <c r="A6" s="64"/>
      <c r="B6" s="64"/>
      <c r="C6" s="64"/>
      <c r="D6" s="64"/>
      <c r="E6" s="64"/>
      <c r="F6" s="64"/>
      <c r="G6" s="64"/>
    </row>
    <row r="7" spans="1:14">
      <c r="B7" s="4" t="s">
        <v>22</v>
      </c>
      <c r="C7" s="4" t="s">
        <v>23</v>
      </c>
      <c r="D7" s="4" t="s">
        <v>225</v>
      </c>
      <c r="E7" s="4" t="s">
        <v>226</v>
      </c>
      <c r="F7" s="4" t="s">
        <v>227</v>
      </c>
      <c r="G7" s="4" t="s">
        <v>228</v>
      </c>
    </row>
    <row r="8" spans="1:14">
      <c r="A8" s="57" t="s">
        <v>3</v>
      </c>
      <c r="C8" s="6" t="s">
        <v>17</v>
      </c>
      <c r="D8" s="6" t="s">
        <v>229</v>
      </c>
      <c r="E8" s="6" t="s">
        <v>230</v>
      </c>
      <c r="G8" s="6" t="s">
        <v>231</v>
      </c>
    </row>
    <row r="9" spans="1:14">
      <c r="A9" s="5" t="s">
        <v>5</v>
      </c>
      <c r="B9" s="71" t="s">
        <v>232</v>
      </c>
      <c r="C9" s="71" t="s">
        <v>233</v>
      </c>
      <c r="D9" s="71" t="s">
        <v>234</v>
      </c>
      <c r="E9" s="71" t="s">
        <v>235</v>
      </c>
      <c r="F9" s="71" t="s">
        <v>236</v>
      </c>
      <c r="G9" s="71" t="s">
        <v>237</v>
      </c>
    </row>
    <row r="10" spans="1:14">
      <c r="A10" s="57"/>
      <c r="B10" s="80" t="s">
        <v>238</v>
      </c>
      <c r="N10" s="103" t="s">
        <v>388</v>
      </c>
    </row>
    <row r="11" spans="1:14" ht="15">
      <c r="A11" s="57">
        <v>1</v>
      </c>
      <c r="B11" s="166">
        <v>44896</v>
      </c>
      <c r="C11" s="81" t="s">
        <v>239</v>
      </c>
      <c r="D11" s="7"/>
      <c r="F11" s="58"/>
      <c r="G11" s="104">
        <v>-30055054</v>
      </c>
      <c r="I11" s="158"/>
      <c r="N11" s="30" t="s">
        <v>249</v>
      </c>
    </row>
    <row r="12" spans="1:14">
      <c r="A12" s="57">
        <f t="shared" ref="A12:A59" si="0">+A11+1</f>
        <v>2</v>
      </c>
      <c r="B12" s="166"/>
      <c r="C12" s="7"/>
      <c r="D12" s="7"/>
      <c r="F12" s="58"/>
      <c r="G12" s="7"/>
    </row>
    <row r="13" spans="1:14" ht="15">
      <c r="A13" s="57">
        <f t="shared" si="0"/>
        <v>3</v>
      </c>
      <c r="B13" s="166">
        <v>45261</v>
      </c>
      <c r="C13" s="105">
        <v>-689596.30605404032</v>
      </c>
      <c r="D13" s="7">
        <f>ROUND(+C13*L15,0)</f>
        <v>-595497</v>
      </c>
      <c r="E13" s="58"/>
      <c r="F13" s="82">
        <v>1</v>
      </c>
      <c r="G13" s="7">
        <f>ROUND(+D13*F13,0)</f>
        <v>-595497</v>
      </c>
      <c r="I13" s="158"/>
    </row>
    <row r="14" spans="1:14">
      <c r="A14" s="57">
        <f t="shared" si="0"/>
        <v>4</v>
      </c>
      <c r="C14" s="105"/>
      <c r="D14" s="7"/>
      <c r="E14" s="58"/>
      <c r="F14" s="58"/>
      <c r="G14" s="7"/>
    </row>
    <row r="15" spans="1:14" ht="25.5">
      <c r="A15" s="57">
        <f t="shared" si="0"/>
        <v>5</v>
      </c>
      <c r="B15" s="166">
        <v>45292</v>
      </c>
      <c r="C15" s="105">
        <v>-61360.970204520025</v>
      </c>
      <c r="D15" s="7">
        <f>ROUND(+C15*$L$15,0)</f>
        <v>-52988</v>
      </c>
      <c r="E15" s="97">
        <f>365-30</f>
        <v>335</v>
      </c>
      <c r="F15" s="96">
        <f t="shared" ref="F15:F26" si="1">ROUND(+E15/365,6)</f>
        <v>0.91780799999999996</v>
      </c>
      <c r="G15" s="7">
        <f>ROUND(+D15*F15,0)</f>
        <v>-48633</v>
      </c>
      <c r="I15" s="83"/>
      <c r="J15" s="83"/>
      <c r="L15" s="106">
        <v>0.86354500000000001</v>
      </c>
      <c r="N15" s="84" t="s">
        <v>250</v>
      </c>
    </row>
    <row r="16" spans="1:14">
      <c r="A16" s="57">
        <f t="shared" si="0"/>
        <v>6</v>
      </c>
      <c r="B16" s="166">
        <v>45323</v>
      </c>
      <c r="C16" s="105">
        <v>-122721.94040904005</v>
      </c>
      <c r="D16" s="7">
        <f>ROUND(+C16*$L$15,0)</f>
        <v>-105976</v>
      </c>
      <c r="E16" s="97">
        <f>+E15-28</f>
        <v>307</v>
      </c>
      <c r="F16" s="96">
        <f t="shared" si="1"/>
        <v>0.84109599999999995</v>
      </c>
      <c r="G16" s="7">
        <f t="shared" ref="G16:G26" si="2">ROUND(+D16*F16,0)</f>
        <v>-89136</v>
      </c>
      <c r="I16" s="83"/>
      <c r="J16" s="83"/>
    </row>
    <row r="17" spans="1:14">
      <c r="A17" s="57">
        <f t="shared" si="0"/>
        <v>7</v>
      </c>
      <c r="B17" s="166">
        <v>45352</v>
      </c>
      <c r="C17" s="105">
        <v>-184082.91061356006</v>
      </c>
      <c r="D17" s="7">
        <f>ROUND(+C17*$L$15,0)</f>
        <v>-158964</v>
      </c>
      <c r="E17" s="97">
        <f>+E16-31</f>
        <v>276</v>
      </c>
      <c r="F17" s="96">
        <f t="shared" si="1"/>
        <v>0.75616399999999995</v>
      </c>
      <c r="G17" s="7">
        <f t="shared" si="2"/>
        <v>-120203</v>
      </c>
      <c r="I17" s="83"/>
      <c r="J17" s="83"/>
      <c r="N17" s="98" t="s">
        <v>283</v>
      </c>
    </row>
    <row r="18" spans="1:14">
      <c r="A18" s="57">
        <f t="shared" si="0"/>
        <v>8</v>
      </c>
      <c r="B18" s="166">
        <v>45383</v>
      </c>
      <c r="C18" s="105">
        <v>-245443.8808180801</v>
      </c>
      <c r="D18" s="7">
        <f>ROUND(+C18*$L$15,0)</f>
        <v>-211952</v>
      </c>
      <c r="E18" s="97">
        <f>+E17-30</f>
        <v>246</v>
      </c>
      <c r="F18" s="96">
        <f t="shared" si="1"/>
        <v>0.67397300000000004</v>
      </c>
      <c r="G18" s="7">
        <f t="shared" si="2"/>
        <v>-142850</v>
      </c>
      <c r="I18" s="83"/>
      <c r="J18" s="83"/>
      <c r="N18" s="103" t="s">
        <v>285</v>
      </c>
    </row>
    <row r="19" spans="1:14">
      <c r="A19" s="57">
        <f t="shared" si="0"/>
        <v>9</v>
      </c>
      <c r="B19" s="166">
        <v>45413</v>
      </c>
      <c r="C19" s="105">
        <v>-306804.85102260014</v>
      </c>
      <c r="D19" s="7">
        <f t="shared" ref="D19:D26" si="3">ROUND(+C19*$L$15,0)</f>
        <v>-264940</v>
      </c>
      <c r="E19" s="97">
        <f>+E18-31</f>
        <v>215</v>
      </c>
      <c r="F19" s="96">
        <f t="shared" si="1"/>
        <v>0.58904100000000004</v>
      </c>
      <c r="G19" s="7">
        <f t="shared" si="2"/>
        <v>-156061</v>
      </c>
      <c r="I19" s="83"/>
      <c r="J19" s="83"/>
      <c r="N19" s="103" t="s">
        <v>286</v>
      </c>
    </row>
    <row r="20" spans="1:14">
      <c r="A20" s="57">
        <f t="shared" si="0"/>
        <v>10</v>
      </c>
      <c r="B20" s="166">
        <v>45444</v>
      </c>
      <c r="C20" s="105">
        <v>-368165.82122712018</v>
      </c>
      <c r="D20" s="7">
        <f t="shared" si="3"/>
        <v>-317928</v>
      </c>
      <c r="E20" s="97">
        <f>+E19-30</f>
        <v>185</v>
      </c>
      <c r="F20" s="96">
        <f t="shared" si="1"/>
        <v>0.50684899999999999</v>
      </c>
      <c r="G20" s="7">
        <f t="shared" si="2"/>
        <v>-161141</v>
      </c>
      <c r="I20" s="83"/>
      <c r="J20" s="83"/>
    </row>
    <row r="21" spans="1:14">
      <c r="A21" s="57">
        <f t="shared" si="0"/>
        <v>11</v>
      </c>
      <c r="B21" s="166">
        <v>45474</v>
      </c>
      <c r="C21" s="105">
        <v>-429526.79143164022</v>
      </c>
      <c r="D21" s="7">
        <f t="shared" si="3"/>
        <v>-370916</v>
      </c>
      <c r="E21" s="97">
        <f>+E20-31</f>
        <v>154</v>
      </c>
      <c r="F21" s="96">
        <f t="shared" si="1"/>
        <v>0.42191800000000002</v>
      </c>
      <c r="G21" s="7">
        <f t="shared" si="2"/>
        <v>-156496</v>
      </c>
      <c r="I21" s="83"/>
      <c r="J21" s="83"/>
    </row>
    <row r="22" spans="1:14">
      <c r="A22" s="57">
        <f t="shared" si="0"/>
        <v>12</v>
      </c>
      <c r="B22" s="166">
        <v>45505</v>
      </c>
      <c r="C22" s="105">
        <v>-490887.76163616026</v>
      </c>
      <c r="D22" s="7">
        <f t="shared" si="3"/>
        <v>-423904</v>
      </c>
      <c r="E22" s="97">
        <f>+E21-31</f>
        <v>123</v>
      </c>
      <c r="F22" s="96">
        <f t="shared" si="1"/>
        <v>0.33698600000000001</v>
      </c>
      <c r="G22" s="7">
        <f t="shared" si="2"/>
        <v>-142850</v>
      </c>
      <c r="I22" s="83"/>
      <c r="J22" s="83"/>
    </row>
    <row r="23" spans="1:14">
      <c r="A23" s="57">
        <f t="shared" si="0"/>
        <v>13</v>
      </c>
      <c r="B23" s="166">
        <v>45536</v>
      </c>
      <c r="C23" s="105">
        <v>-552248.73184068024</v>
      </c>
      <c r="D23" s="7">
        <f t="shared" si="3"/>
        <v>-476892</v>
      </c>
      <c r="E23" s="97">
        <f>+E22-30</f>
        <v>93</v>
      </c>
      <c r="F23" s="96">
        <f t="shared" si="1"/>
        <v>0.25479499999999999</v>
      </c>
      <c r="G23" s="7">
        <f t="shared" si="2"/>
        <v>-121510</v>
      </c>
      <c r="I23" s="83"/>
      <c r="J23" s="83"/>
    </row>
    <row r="24" spans="1:14">
      <c r="A24" s="57">
        <f t="shared" si="0"/>
        <v>14</v>
      </c>
      <c r="B24" s="166">
        <v>45566</v>
      </c>
      <c r="C24" s="105">
        <v>-613609.70204520028</v>
      </c>
      <c r="D24" s="7">
        <f t="shared" si="3"/>
        <v>-529880</v>
      </c>
      <c r="E24" s="97">
        <f>+E23-31</f>
        <v>62</v>
      </c>
      <c r="F24" s="96">
        <f t="shared" si="1"/>
        <v>0.16986299999999999</v>
      </c>
      <c r="G24" s="7">
        <f t="shared" si="2"/>
        <v>-90007</v>
      </c>
      <c r="I24" s="83"/>
      <c r="J24" s="83"/>
    </row>
    <row r="25" spans="1:14">
      <c r="A25" s="57">
        <f t="shared" si="0"/>
        <v>15</v>
      </c>
      <c r="B25" s="166">
        <v>45597</v>
      </c>
      <c r="C25" s="105">
        <v>-674970.67224972032</v>
      </c>
      <c r="D25" s="7">
        <f t="shared" si="3"/>
        <v>-582868</v>
      </c>
      <c r="E25" s="97">
        <f>+E24-30</f>
        <v>32</v>
      </c>
      <c r="F25" s="96">
        <f t="shared" si="1"/>
        <v>8.7670999999999999E-2</v>
      </c>
      <c r="G25" s="7">
        <f t="shared" si="2"/>
        <v>-51101</v>
      </c>
      <c r="I25" s="83"/>
      <c r="J25" s="83"/>
    </row>
    <row r="26" spans="1:14">
      <c r="A26" s="57">
        <f t="shared" si="0"/>
        <v>16</v>
      </c>
      <c r="B26" s="166">
        <v>45627</v>
      </c>
      <c r="C26" s="105">
        <v>-736331.64245424035</v>
      </c>
      <c r="D26" s="7">
        <f t="shared" si="3"/>
        <v>-635856</v>
      </c>
      <c r="E26" s="97">
        <f>+E25-31</f>
        <v>1</v>
      </c>
      <c r="F26" s="96">
        <f t="shared" si="1"/>
        <v>2.7399999999999998E-3</v>
      </c>
      <c r="G26" s="7">
        <f t="shared" si="2"/>
        <v>-1742</v>
      </c>
      <c r="I26" s="83"/>
      <c r="J26" s="83"/>
    </row>
    <row r="27" spans="1:14">
      <c r="A27" s="57">
        <f t="shared" si="0"/>
        <v>17</v>
      </c>
      <c r="F27" s="69" t="s">
        <v>240</v>
      </c>
      <c r="G27" s="85">
        <f>SUM(G11:G26)</f>
        <v>-31932281</v>
      </c>
    </row>
    <row r="28" spans="1:14">
      <c r="A28" s="57">
        <f t="shared" si="0"/>
        <v>18</v>
      </c>
    </row>
    <row r="29" spans="1:14">
      <c r="A29" s="57">
        <f t="shared" si="0"/>
        <v>19</v>
      </c>
    </row>
    <row r="30" spans="1:14">
      <c r="A30" s="57">
        <f t="shared" si="0"/>
        <v>20</v>
      </c>
      <c r="B30" s="80" t="s">
        <v>241</v>
      </c>
    </row>
    <row r="31" spans="1:14" ht="15" customHeight="1">
      <c r="A31" s="57">
        <f t="shared" si="0"/>
        <v>21</v>
      </c>
      <c r="B31" s="166">
        <v>44896</v>
      </c>
      <c r="C31" s="81" t="s">
        <v>239</v>
      </c>
      <c r="D31" s="7"/>
      <c r="F31" s="58"/>
      <c r="G31" s="104">
        <v>44839608</v>
      </c>
      <c r="I31" s="102"/>
    </row>
    <row r="32" spans="1:14">
      <c r="A32" s="57">
        <f t="shared" si="0"/>
        <v>22</v>
      </c>
      <c r="C32" s="7"/>
      <c r="D32" s="7"/>
      <c r="F32" s="58"/>
      <c r="G32" s="105"/>
    </row>
    <row r="33" spans="1:7">
      <c r="A33" s="57">
        <f t="shared" si="0"/>
        <v>23</v>
      </c>
      <c r="B33" s="166">
        <v>45261</v>
      </c>
      <c r="C33" s="7">
        <v>0</v>
      </c>
      <c r="D33" s="7"/>
      <c r="E33" s="58"/>
      <c r="F33" s="82"/>
      <c r="G33" s="105">
        <f>+C33</f>
        <v>0</v>
      </c>
    </row>
    <row r="34" spans="1:7">
      <c r="A34" s="57">
        <f t="shared" si="0"/>
        <v>24</v>
      </c>
    </row>
    <row r="35" spans="1:7">
      <c r="A35" s="57">
        <f t="shared" si="0"/>
        <v>25</v>
      </c>
      <c r="B35" s="166">
        <v>45627</v>
      </c>
      <c r="C35" s="7">
        <v>0</v>
      </c>
      <c r="D35" s="7"/>
      <c r="E35" s="58"/>
      <c r="F35" s="82"/>
      <c r="G35" s="105">
        <v>0</v>
      </c>
    </row>
    <row r="36" spans="1:7">
      <c r="A36" s="57">
        <f t="shared" si="0"/>
        <v>26</v>
      </c>
      <c r="F36" s="86" t="s">
        <v>242</v>
      </c>
      <c r="G36" s="87">
        <f>SUM(G31:G35)</f>
        <v>44839608</v>
      </c>
    </row>
    <row r="37" spans="1:7">
      <c r="A37" s="57">
        <f t="shared" si="0"/>
        <v>27</v>
      </c>
      <c r="F37" s="69" t="s">
        <v>243</v>
      </c>
      <c r="G37" s="107">
        <v>0.19845691154027442</v>
      </c>
    </row>
    <row r="38" spans="1:7">
      <c r="A38" s="57">
        <f t="shared" si="0"/>
        <v>28</v>
      </c>
      <c r="F38" s="69" t="s">
        <v>244</v>
      </c>
      <c r="G38" s="88">
        <f>+G36*G37</f>
        <v>8898730.1183565818</v>
      </c>
    </row>
    <row r="39" spans="1:7">
      <c r="A39" s="57">
        <f t="shared" si="0"/>
        <v>29</v>
      </c>
    </row>
    <row r="40" spans="1:7">
      <c r="A40" s="57">
        <f t="shared" si="0"/>
        <v>30</v>
      </c>
      <c r="B40" s="1" t="s">
        <v>52</v>
      </c>
    </row>
    <row r="41" spans="1:7" ht="12.75" customHeight="1">
      <c r="A41" s="57">
        <f t="shared" si="0"/>
        <v>31</v>
      </c>
      <c r="B41" s="1"/>
    </row>
    <row r="42" spans="1:7">
      <c r="A42" s="57">
        <f t="shared" si="0"/>
        <v>32</v>
      </c>
      <c r="B42" s="1"/>
    </row>
    <row r="43" spans="1:7">
      <c r="A43" s="57">
        <f t="shared" si="0"/>
        <v>33</v>
      </c>
      <c r="B43" s="1"/>
    </row>
    <row r="44" spans="1:7">
      <c r="A44" s="57">
        <f t="shared" si="0"/>
        <v>34</v>
      </c>
      <c r="B44" s="1"/>
    </row>
    <row r="45" spans="1:7">
      <c r="A45" s="57">
        <f t="shared" si="0"/>
        <v>35</v>
      </c>
      <c r="B45" s="1"/>
    </row>
    <row r="46" spans="1:7">
      <c r="A46" s="57">
        <f t="shared" si="0"/>
        <v>36</v>
      </c>
      <c r="B46" s="95"/>
      <c r="C46" s="95"/>
      <c r="D46" s="95"/>
      <c r="E46" s="95"/>
      <c r="F46" s="95"/>
      <c r="G46" s="95"/>
    </row>
    <row r="47" spans="1:7">
      <c r="A47" s="57">
        <f t="shared" si="0"/>
        <v>37</v>
      </c>
      <c r="B47" s="95"/>
      <c r="C47" s="95"/>
      <c r="D47" s="95"/>
      <c r="E47" s="95"/>
      <c r="F47" s="95"/>
      <c r="G47" s="95"/>
    </row>
    <row r="48" spans="1:7">
      <c r="A48" s="57">
        <f t="shared" si="0"/>
        <v>38</v>
      </c>
      <c r="B48" s="89"/>
    </row>
    <row r="49" spans="1:7">
      <c r="A49" s="57">
        <f t="shared" si="0"/>
        <v>39</v>
      </c>
      <c r="B49" s="89"/>
    </row>
    <row r="50" spans="1:7">
      <c r="A50" s="57">
        <f t="shared" si="0"/>
        <v>40</v>
      </c>
      <c r="B50" s="89"/>
    </row>
    <row r="51" spans="1:7" ht="12.75" customHeight="1">
      <c r="A51" s="57">
        <f t="shared" si="0"/>
        <v>41</v>
      </c>
      <c r="B51" s="207" t="s">
        <v>245</v>
      </c>
      <c r="C51" s="207"/>
      <c r="D51" s="207"/>
      <c r="E51" s="207"/>
      <c r="F51" s="207"/>
      <c r="G51" s="207"/>
    </row>
    <row r="52" spans="1:7">
      <c r="A52" s="57">
        <f t="shared" si="0"/>
        <v>42</v>
      </c>
      <c r="B52" s="207"/>
      <c r="C52" s="207"/>
      <c r="D52" s="207"/>
      <c r="E52" s="207"/>
      <c r="F52" s="207"/>
      <c r="G52" s="207"/>
    </row>
    <row r="53" spans="1:7">
      <c r="A53" s="57">
        <f t="shared" si="0"/>
        <v>43</v>
      </c>
      <c r="B53" s="207"/>
      <c r="C53" s="207"/>
      <c r="D53" s="207"/>
      <c r="E53" s="207"/>
      <c r="F53" s="207"/>
      <c r="G53" s="207"/>
    </row>
    <row r="54" spans="1:7">
      <c r="A54" s="57">
        <f t="shared" si="0"/>
        <v>44</v>
      </c>
      <c r="B54" s="30" t="s">
        <v>246</v>
      </c>
      <c r="C54" s="90"/>
      <c r="D54" s="90"/>
      <c r="E54" s="90"/>
      <c r="F54" s="90"/>
      <c r="G54" s="90"/>
    </row>
    <row r="55" spans="1:7">
      <c r="A55" s="57">
        <f t="shared" si="0"/>
        <v>45</v>
      </c>
      <c r="B55" s="30" t="s">
        <v>247</v>
      </c>
      <c r="C55" s="90"/>
      <c r="D55" s="90"/>
      <c r="E55" s="90"/>
      <c r="F55" s="90"/>
      <c r="G55" s="90"/>
    </row>
    <row r="56" spans="1:7">
      <c r="A56" s="57">
        <f t="shared" si="0"/>
        <v>46</v>
      </c>
      <c r="B56" s="30" t="s">
        <v>248</v>
      </c>
    </row>
    <row r="57" spans="1:7">
      <c r="A57" s="57">
        <f t="shared" si="0"/>
        <v>47</v>
      </c>
      <c r="B57" s="30" t="s">
        <v>282</v>
      </c>
    </row>
    <row r="58" spans="1:7">
      <c r="A58" s="57">
        <f t="shared" si="0"/>
        <v>48</v>
      </c>
    </row>
    <row r="59" spans="1:7" ht="12.75" customHeight="1">
      <c r="A59" s="57">
        <f t="shared" si="0"/>
        <v>49</v>
      </c>
      <c r="B59" s="30" t="s">
        <v>251</v>
      </c>
    </row>
  </sheetData>
  <mergeCells count="4">
    <mergeCell ref="A3:G3"/>
    <mergeCell ref="A4:G4"/>
    <mergeCell ref="A5:G5"/>
    <mergeCell ref="B51:G53"/>
  </mergeCells>
  <pageMargins left="0.7" right="0.7" top="0.75" bottom="0.75" header="0.3" footer="0.3"/>
  <pageSetup scale="90" orientation="portrait" verticalDpi="0" r:id="rId1"/>
  <headerFooter>
    <oddHeader>&amp;CESTIMATED SERVICE YEAR ATRR
BLACK HILLS POWER, INC.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3:V39"/>
  <sheetViews>
    <sheetView workbookViewId="0">
      <selection activeCell="G30" sqref="G30"/>
    </sheetView>
  </sheetViews>
  <sheetFormatPr defaultRowHeight="15"/>
  <cols>
    <col min="1" max="1" width="3.44140625" bestFit="1" customWidth="1"/>
    <col min="2" max="2" width="3.44140625" customWidth="1"/>
    <col min="3" max="3" width="13.33203125" customWidth="1"/>
    <col min="4" max="4" width="2.77734375" customWidth="1"/>
    <col min="5" max="5" width="15.3320312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" customWidth="1"/>
    <col min="11" max="11" width="11.88671875" customWidth="1"/>
    <col min="12" max="12" width="3.109375" customWidth="1"/>
    <col min="13" max="13" width="13.5546875" bestFit="1" customWidth="1"/>
    <col min="14" max="15" width="9.33203125" customWidth="1"/>
    <col min="16" max="16" width="9.6640625" bestFit="1" customWidth="1"/>
    <col min="18" max="18" width="9.21875" bestFit="1" customWidth="1"/>
    <col min="20" max="20" width="10.88671875" bestFit="1" customWidth="1"/>
    <col min="261" max="261" width="3.44140625" bestFit="1" customWidth="1"/>
    <col min="262" max="262" width="3.44140625" customWidth="1"/>
    <col min="263" max="263" width="13.33203125" customWidth="1"/>
    <col min="264" max="264" width="2.77734375" customWidth="1"/>
    <col min="265" max="265" width="15.33203125" customWidth="1"/>
    <col min="266" max="266" width="3" customWidth="1"/>
    <col min="267" max="267" width="11.88671875" bestFit="1" customWidth="1"/>
    <col min="268" max="268" width="3.109375" customWidth="1"/>
    <col min="269" max="269" width="13.5546875" bestFit="1" customWidth="1"/>
    <col min="270" max="271" width="9.33203125" customWidth="1"/>
    <col min="517" max="517" width="3.44140625" bestFit="1" customWidth="1"/>
    <col min="518" max="518" width="3.44140625" customWidth="1"/>
    <col min="519" max="519" width="13.33203125" customWidth="1"/>
    <col min="520" max="520" width="2.77734375" customWidth="1"/>
    <col min="521" max="521" width="15.33203125" customWidth="1"/>
    <col min="522" max="522" width="3" customWidth="1"/>
    <col min="523" max="523" width="11.88671875" bestFit="1" customWidth="1"/>
    <col min="524" max="524" width="3.109375" customWidth="1"/>
    <col min="525" max="525" width="13.5546875" bestFit="1" customWidth="1"/>
    <col min="526" max="527" width="9.33203125" customWidth="1"/>
    <col min="773" max="773" width="3.44140625" bestFit="1" customWidth="1"/>
    <col min="774" max="774" width="3.44140625" customWidth="1"/>
    <col min="775" max="775" width="13.33203125" customWidth="1"/>
    <col min="776" max="776" width="2.77734375" customWidth="1"/>
    <col min="777" max="777" width="15.33203125" customWidth="1"/>
    <col min="778" max="778" width="3" customWidth="1"/>
    <col min="779" max="779" width="11.88671875" bestFit="1" customWidth="1"/>
    <col min="780" max="780" width="3.109375" customWidth="1"/>
    <col min="781" max="781" width="13.5546875" bestFit="1" customWidth="1"/>
    <col min="782" max="783" width="9.33203125" customWidth="1"/>
    <col min="1029" max="1029" width="3.44140625" bestFit="1" customWidth="1"/>
    <col min="1030" max="1030" width="3.44140625" customWidth="1"/>
    <col min="1031" max="1031" width="13.33203125" customWidth="1"/>
    <col min="1032" max="1032" width="2.77734375" customWidth="1"/>
    <col min="1033" max="1033" width="15.33203125" customWidth="1"/>
    <col min="1034" max="1034" width="3" customWidth="1"/>
    <col min="1035" max="1035" width="11.88671875" bestFit="1" customWidth="1"/>
    <col min="1036" max="1036" width="3.109375" customWidth="1"/>
    <col min="1037" max="1037" width="13.5546875" bestFit="1" customWidth="1"/>
    <col min="1038" max="1039" width="9.33203125" customWidth="1"/>
    <col min="1285" max="1285" width="3.44140625" bestFit="1" customWidth="1"/>
    <col min="1286" max="1286" width="3.44140625" customWidth="1"/>
    <col min="1287" max="1287" width="13.33203125" customWidth="1"/>
    <col min="1288" max="1288" width="2.77734375" customWidth="1"/>
    <col min="1289" max="1289" width="15.33203125" customWidth="1"/>
    <col min="1290" max="1290" width="3" customWidth="1"/>
    <col min="1291" max="1291" width="11.88671875" bestFit="1" customWidth="1"/>
    <col min="1292" max="1292" width="3.109375" customWidth="1"/>
    <col min="1293" max="1293" width="13.5546875" bestFit="1" customWidth="1"/>
    <col min="1294" max="1295" width="9.33203125" customWidth="1"/>
    <col min="1541" max="1541" width="3.44140625" bestFit="1" customWidth="1"/>
    <col min="1542" max="1542" width="3.44140625" customWidth="1"/>
    <col min="1543" max="1543" width="13.33203125" customWidth="1"/>
    <col min="1544" max="1544" width="2.77734375" customWidth="1"/>
    <col min="1545" max="1545" width="15.33203125" customWidth="1"/>
    <col min="1546" max="1546" width="3" customWidth="1"/>
    <col min="1547" max="1547" width="11.88671875" bestFit="1" customWidth="1"/>
    <col min="1548" max="1548" width="3.109375" customWidth="1"/>
    <col min="1549" max="1549" width="13.5546875" bestFit="1" customWidth="1"/>
    <col min="1550" max="1551" width="9.33203125" customWidth="1"/>
    <col min="1797" max="1797" width="3.44140625" bestFit="1" customWidth="1"/>
    <col min="1798" max="1798" width="3.44140625" customWidth="1"/>
    <col min="1799" max="1799" width="13.33203125" customWidth="1"/>
    <col min="1800" max="1800" width="2.77734375" customWidth="1"/>
    <col min="1801" max="1801" width="15.33203125" customWidth="1"/>
    <col min="1802" max="1802" width="3" customWidth="1"/>
    <col min="1803" max="1803" width="11.88671875" bestFit="1" customWidth="1"/>
    <col min="1804" max="1804" width="3.109375" customWidth="1"/>
    <col min="1805" max="1805" width="13.5546875" bestFit="1" customWidth="1"/>
    <col min="1806" max="1807" width="9.33203125" customWidth="1"/>
    <col min="2053" max="2053" width="3.44140625" bestFit="1" customWidth="1"/>
    <col min="2054" max="2054" width="3.44140625" customWidth="1"/>
    <col min="2055" max="2055" width="13.33203125" customWidth="1"/>
    <col min="2056" max="2056" width="2.77734375" customWidth="1"/>
    <col min="2057" max="2057" width="15.33203125" customWidth="1"/>
    <col min="2058" max="2058" width="3" customWidth="1"/>
    <col min="2059" max="2059" width="11.88671875" bestFit="1" customWidth="1"/>
    <col min="2060" max="2060" width="3.109375" customWidth="1"/>
    <col min="2061" max="2061" width="13.5546875" bestFit="1" customWidth="1"/>
    <col min="2062" max="2063" width="9.33203125" customWidth="1"/>
    <col min="2309" max="2309" width="3.44140625" bestFit="1" customWidth="1"/>
    <col min="2310" max="2310" width="3.44140625" customWidth="1"/>
    <col min="2311" max="2311" width="13.33203125" customWidth="1"/>
    <col min="2312" max="2312" width="2.77734375" customWidth="1"/>
    <col min="2313" max="2313" width="15.33203125" customWidth="1"/>
    <col min="2314" max="2314" width="3" customWidth="1"/>
    <col min="2315" max="2315" width="11.88671875" bestFit="1" customWidth="1"/>
    <col min="2316" max="2316" width="3.109375" customWidth="1"/>
    <col min="2317" max="2317" width="13.5546875" bestFit="1" customWidth="1"/>
    <col min="2318" max="2319" width="9.33203125" customWidth="1"/>
    <col min="2565" max="2565" width="3.44140625" bestFit="1" customWidth="1"/>
    <col min="2566" max="2566" width="3.44140625" customWidth="1"/>
    <col min="2567" max="2567" width="13.33203125" customWidth="1"/>
    <col min="2568" max="2568" width="2.77734375" customWidth="1"/>
    <col min="2569" max="2569" width="15.33203125" customWidth="1"/>
    <col min="2570" max="2570" width="3" customWidth="1"/>
    <col min="2571" max="2571" width="11.88671875" bestFit="1" customWidth="1"/>
    <col min="2572" max="2572" width="3.109375" customWidth="1"/>
    <col min="2573" max="2573" width="13.5546875" bestFit="1" customWidth="1"/>
    <col min="2574" max="2575" width="9.33203125" customWidth="1"/>
    <col min="2821" max="2821" width="3.44140625" bestFit="1" customWidth="1"/>
    <col min="2822" max="2822" width="3.44140625" customWidth="1"/>
    <col min="2823" max="2823" width="13.33203125" customWidth="1"/>
    <col min="2824" max="2824" width="2.77734375" customWidth="1"/>
    <col min="2825" max="2825" width="15.33203125" customWidth="1"/>
    <col min="2826" max="2826" width="3" customWidth="1"/>
    <col min="2827" max="2827" width="11.88671875" bestFit="1" customWidth="1"/>
    <col min="2828" max="2828" width="3.109375" customWidth="1"/>
    <col min="2829" max="2829" width="13.5546875" bestFit="1" customWidth="1"/>
    <col min="2830" max="2831" width="9.33203125" customWidth="1"/>
    <col min="3077" max="3077" width="3.44140625" bestFit="1" customWidth="1"/>
    <col min="3078" max="3078" width="3.44140625" customWidth="1"/>
    <col min="3079" max="3079" width="13.33203125" customWidth="1"/>
    <col min="3080" max="3080" width="2.77734375" customWidth="1"/>
    <col min="3081" max="3081" width="15.33203125" customWidth="1"/>
    <col min="3082" max="3082" width="3" customWidth="1"/>
    <col min="3083" max="3083" width="11.88671875" bestFit="1" customWidth="1"/>
    <col min="3084" max="3084" width="3.109375" customWidth="1"/>
    <col min="3085" max="3085" width="13.5546875" bestFit="1" customWidth="1"/>
    <col min="3086" max="3087" width="9.33203125" customWidth="1"/>
    <col min="3333" max="3333" width="3.44140625" bestFit="1" customWidth="1"/>
    <col min="3334" max="3334" width="3.44140625" customWidth="1"/>
    <col min="3335" max="3335" width="13.33203125" customWidth="1"/>
    <col min="3336" max="3336" width="2.77734375" customWidth="1"/>
    <col min="3337" max="3337" width="15.33203125" customWidth="1"/>
    <col min="3338" max="3338" width="3" customWidth="1"/>
    <col min="3339" max="3339" width="11.88671875" bestFit="1" customWidth="1"/>
    <col min="3340" max="3340" width="3.109375" customWidth="1"/>
    <col min="3341" max="3341" width="13.5546875" bestFit="1" customWidth="1"/>
    <col min="3342" max="3343" width="9.33203125" customWidth="1"/>
    <col min="3589" max="3589" width="3.44140625" bestFit="1" customWidth="1"/>
    <col min="3590" max="3590" width="3.44140625" customWidth="1"/>
    <col min="3591" max="3591" width="13.33203125" customWidth="1"/>
    <col min="3592" max="3592" width="2.77734375" customWidth="1"/>
    <col min="3593" max="3593" width="15.33203125" customWidth="1"/>
    <col min="3594" max="3594" width="3" customWidth="1"/>
    <col min="3595" max="3595" width="11.88671875" bestFit="1" customWidth="1"/>
    <col min="3596" max="3596" width="3.109375" customWidth="1"/>
    <col min="3597" max="3597" width="13.5546875" bestFit="1" customWidth="1"/>
    <col min="3598" max="3599" width="9.33203125" customWidth="1"/>
    <col min="3845" max="3845" width="3.44140625" bestFit="1" customWidth="1"/>
    <col min="3846" max="3846" width="3.44140625" customWidth="1"/>
    <col min="3847" max="3847" width="13.33203125" customWidth="1"/>
    <col min="3848" max="3848" width="2.77734375" customWidth="1"/>
    <col min="3849" max="3849" width="15.33203125" customWidth="1"/>
    <col min="3850" max="3850" width="3" customWidth="1"/>
    <col min="3851" max="3851" width="11.88671875" bestFit="1" customWidth="1"/>
    <col min="3852" max="3852" width="3.109375" customWidth="1"/>
    <col min="3853" max="3853" width="13.5546875" bestFit="1" customWidth="1"/>
    <col min="3854" max="3855" width="9.33203125" customWidth="1"/>
    <col min="4101" max="4101" width="3.44140625" bestFit="1" customWidth="1"/>
    <col min="4102" max="4102" width="3.44140625" customWidth="1"/>
    <col min="4103" max="4103" width="13.33203125" customWidth="1"/>
    <col min="4104" max="4104" width="2.77734375" customWidth="1"/>
    <col min="4105" max="4105" width="15.33203125" customWidth="1"/>
    <col min="4106" max="4106" width="3" customWidth="1"/>
    <col min="4107" max="4107" width="11.88671875" bestFit="1" customWidth="1"/>
    <col min="4108" max="4108" width="3.109375" customWidth="1"/>
    <col min="4109" max="4109" width="13.5546875" bestFit="1" customWidth="1"/>
    <col min="4110" max="4111" width="9.33203125" customWidth="1"/>
    <col min="4357" max="4357" width="3.44140625" bestFit="1" customWidth="1"/>
    <col min="4358" max="4358" width="3.44140625" customWidth="1"/>
    <col min="4359" max="4359" width="13.33203125" customWidth="1"/>
    <col min="4360" max="4360" width="2.77734375" customWidth="1"/>
    <col min="4361" max="4361" width="15.33203125" customWidth="1"/>
    <col min="4362" max="4362" width="3" customWidth="1"/>
    <col min="4363" max="4363" width="11.88671875" bestFit="1" customWidth="1"/>
    <col min="4364" max="4364" width="3.109375" customWidth="1"/>
    <col min="4365" max="4365" width="13.5546875" bestFit="1" customWidth="1"/>
    <col min="4366" max="4367" width="9.33203125" customWidth="1"/>
    <col min="4613" max="4613" width="3.44140625" bestFit="1" customWidth="1"/>
    <col min="4614" max="4614" width="3.44140625" customWidth="1"/>
    <col min="4615" max="4615" width="13.33203125" customWidth="1"/>
    <col min="4616" max="4616" width="2.77734375" customWidth="1"/>
    <col min="4617" max="4617" width="15.33203125" customWidth="1"/>
    <col min="4618" max="4618" width="3" customWidth="1"/>
    <col min="4619" max="4619" width="11.88671875" bestFit="1" customWidth="1"/>
    <col min="4620" max="4620" width="3.109375" customWidth="1"/>
    <col min="4621" max="4621" width="13.5546875" bestFit="1" customWidth="1"/>
    <col min="4622" max="4623" width="9.33203125" customWidth="1"/>
    <col min="4869" max="4869" width="3.44140625" bestFit="1" customWidth="1"/>
    <col min="4870" max="4870" width="3.44140625" customWidth="1"/>
    <col min="4871" max="4871" width="13.33203125" customWidth="1"/>
    <col min="4872" max="4872" width="2.77734375" customWidth="1"/>
    <col min="4873" max="4873" width="15.33203125" customWidth="1"/>
    <col min="4874" max="4874" width="3" customWidth="1"/>
    <col min="4875" max="4875" width="11.88671875" bestFit="1" customWidth="1"/>
    <col min="4876" max="4876" width="3.109375" customWidth="1"/>
    <col min="4877" max="4877" width="13.5546875" bestFit="1" customWidth="1"/>
    <col min="4878" max="4879" width="9.33203125" customWidth="1"/>
    <col min="5125" max="5125" width="3.44140625" bestFit="1" customWidth="1"/>
    <col min="5126" max="5126" width="3.44140625" customWidth="1"/>
    <col min="5127" max="5127" width="13.33203125" customWidth="1"/>
    <col min="5128" max="5128" width="2.77734375" customWidth="1"/>
    <col min="5129" max="5129" width="15.33203125" customWidth="1"/>
    <col min="5130" max="5130" width="3" customWidth="1"/>
    <col min="5131" max="5131" width="11.88671875" bestFit="1" customWidth="1"/>
    <col min="5132" max="5132" width="3.109375" customWidth="1"/>
    <col min="5133" max="5133" width="13.5546875" bestFit="1" customWidth="1"/>
    <col min="5134" max="5135" width="9.33203125" customWidth="1"/>
    <col min="5381" max="5381" width="3.44140625" bestFit="1" customWidth="1"/>
    <col min="5382" max="5382" width="3.44140625" customWidth="1"/>
    <col min="5383" max="5383" width="13.33203125" customWidth="1"/>
    <col min="5384" max="5384" width="2.77734375" customWidth="1"/>
    <col min="5385" max="5385" width="15.33203125" customWidth="1"/>
    <col min="5386" max="5386" width="3" customWidth="1"/>
    <col min="5387" max="5387" width="11.88671875" bestFit="1" customWidth="1"/>
    <col min="5388" max="5388" width="3.109375" customWidth="1"/>
    <col min="5389" max="5389" width="13.5546875" bestFit="1" customWidth="1"/>
    <col min="5390" max="5391" width="9.33203125" customWidth="1"/>
    <col min="5637" max="5637" width="3.44140625" bestFit="1" customWidth="1"/>
    <col min="5638" max="5638" width="3.44140625" customWidth="1"/>
    <col min="5639" max="5639" width="13.33203125" customWidth="1"/>
    <col min="5640" max="5640" width="2.77734375" customWidth="1"/>
    <col min="5641" max="5641" width="15.33203125" customWidth="1"/>
    <col min="5642" max="5642" width="3" customWidth="1"/>
    <col min="5643" max="5643" width="11.88671875" bestFit="1" customWidth="1"/>
    <col min="5644" max="5644" width="3.109375" customWidth="1"/>
    <col min="5645" max="5645" width="13.5546875" bestFit="1" customWidth="1"/>
    <col min="5646" max="5647" width="9.33203125" customWidth="1"/>
    <col min="5893" max="5893" width="3.44140625" bestFit="1" customWidth="1"/>
    <col min="5894" max="5894" width="3.44140625" customWidth="1"/>
    <col min="5895" max="5895" width="13.33203125" customWidth="1"/>
    <col min="5896" max="5896" width="2.77734375" customWidth="1"/>
    <col min="5897" max="5897" width="15.33203125" customWidth="1"/>
    <col min="5898" max="5898" width="3" customWidth="1"/>
    <col min="5899" max="5899" width="11.88671875" bestFit="1" customWidth="1"/>
    <col min="5900" max="5900" width="3.109375" customWidth="1"/>
    <col min="5901" max="5901" width="13.5546875" bestFit="1" customWidth="1"/>
    <col min="5902" max="5903" width="9.33203125" customWidth="1"/>
    <col min="6149" max="6149" width="3.44140625" bestFit="1" customWidth="1"/>
    <col min="6150" max="6150" width="3.44140625" customWidth="1"/>
    <col min="6151" max="6151" width="13.33203125" customWidth="1"/>
    <col min="6152" max="6152" width="2.77734375" customWidth="1"/>
    <col min="6153" max="6153" width="15.33203125" customWidth="1"/>
    <col min="6154" max="6154" width="3" customWidth="1"/>
    <col min="6155" max="6155" width="11.88671875" bestFit="1" customWidth="1"/>
    <col min="6156" max="6156" width="3.109375" customWidth="1"/>
    <col min="6157" max="6157" width="13.5546875" bestFit="1" customWidth="1"/>
    <col min="6158" max="6159" width="9.33203125" customWidth="1"/>
    <col min="6405" max="6405" width="3.44140625" bestFit="1" customWidth="1"/>
    <col min="6406" max="6406" width="3.44140625" customWidth="1"/>
    <col min="6407" max="6407" width="13.33203125" customWidth="1"/>
    <col min="6408" max="6408" width="2.77734375" customWidth="1"/>
    <col min="6409" max="6409" width="15.33203125" customWidth="1"/>
    <col min="6410" max="6410" width="3" customWidth="1"/>
    <col min="6411" max="6411" width="11.88671875" bestFit="1" customWidth="1"/>
    <col min="6412" max="6412" width="3.109375" customWidth="1"/>
    <col min="6413" max="6413" width="13.5546875" bestFit="1" customWidth="1"/>
    <col min="6414" max="6415" width="9.33203125" customWidth="1"/>
    <col min="6661" max="6661" width="3.44140625" bestFit="1" customWidth="1"/>
    <col min="6662" max="6662" width="3.44140625" customWidth="1"/>
    <col min="6663" max="6663" width="13.33203125" customWidth="1"/>
    <col min="6664" max="6664" width="2.77734375" customWidth="1"/>
    <col min="6665" max="6665" width="15.33203125" customWidth="1"/>
    <col min="6666" max="6666" width="3" customWidth="1"/>
    <col min="6667" max="6667" width="11.88671875" bestFit="1" customWidth="1"/>
    <col min="6668" max="6668" width="3.109375" customWidth="1"/>
    <col min="6669" max="6669" width="13.5546875" bestFit="1" customWidth="1"/>
    <col min="6670" max="6671" width="9.33203125" customWidth="1"/>
    <col min="6917" max="6917" width="3.44140625" bestFit="1" customWidth="1"/>
    <col min="6918" max="6918" width="3.44140625" customWidth="1"/>
    <col min="6919" max="6919" width="13.33203125" customWidth="1"/>
    <col min="6920" max="6920" width="2.77734375" customWidth="1"/>
    <col min="6921" max="6921" width="15.33203125" customWidth="1"/>
    <col min="6922" max="6922" width="3" customWidth="1"/>
    <col min="6923" max="6923" width="11.88671875" bestFit="1" customWidth="1"/>
    <col min="6924" max="6924" width="3.109375" customWidth="1"/>
    <col min="6925" max="6925" width="13.5546875" bestFit="1" customWidth="1"/>
    <col min="6926" max="6927" width="9.33203125" customWidth="1"/>
    <col min="7173" max="7173" width="3.44140625" bestFit="1" customWidth="1"/>
    <col min="7174" max="7174" width="3.44140625" customWidth="1"/>
    <col min="7175" max="7175" width="13.33203125" customWidth="1"/>
    <col min="7176" max="7176" width="2.77734375" customWidth="1"/>
    <col min="7177" max="7177" width="15.33203125" customWidth="1"/>
    <col min="7178" max="7178" width="3" customWidth="1"/>
    <col min="7179" max="7179" width="11.88671875" bestFit="1" customWidth="1"/>
    <col min="7180" max="7180" width="3.109375" customWidth="1"/>
    <col min="7181" max="7181" width="13.5546875" bestFit="1" customWidth="1"/>
    <col min="7182" max="7183" width="9.33203125" customWidth="1"/>
    <col min="7429" max="7429" width="3.44140625" bestFit="1" customWidth="1"/>
    <col min="7430" max="7430" width="3.44140625" customWidth="1"/>
    <col min="7431" max="7431" width="13.33203125" customWidth="1"/>
    <col min="7432" max="7432" width="2.77734375" customWidth="1"/>
    <col min="7433" max="7433" width="15.33203125" customWidth="1"/>
    <col min="7434" max="7434" width="3" customWidth="1"/>
    <col min="7435" max="7435" width="11.88671875" bestFit="1" customWidth="1"/>
    <col min="7436" max="7436" width="3.109375" customWidth="1"/>
    <col min="7437" max="7437" width="13.5546875" bestFit="1" customWidth="1"/>
    <col min="7438" max="7439" width="9.33203125" customWidth="1"/>
    <col min="7685" max="7685" width="3.44140625" bestFit="1" customWidth="1"/>
    <col min="7686" max="7686" width="3.44140625" customWidth="1"/>
    <col min="7687" max="7687" width="13.33203125" customWidth="1"/>
    <col min="7688" max="7688" width="2.77734375" customWidth="1"/>
    <col min="7689" max="7689" width="15.33203125" customWidth="1"/>
    <col min="7690" max="7690" width="3" customWidth="1"/>
    <col min="7691" max="7691" width="11.88671875" bestFit="1" customWidth="1"/>
    <col min="7692" max="7692" width="3.109375" customWidth="1"/>
    <col min="7693" max="7693" width="13.5546875" bestFit="1" customWidth="1"/>
    <col min="7694" max="7695" width="9.33203125" customWidth="1"/>
    <col min="7941" max="7941" width="3.44140625" bestFit="1" customWidth="1"/>
    <col min="7942" max="7942" width="3.44140625" customWidth="1"/>
    <col min="7943" max="7943" width="13.33203125" customWidth="1"/>
    <col min="7944" max="7944" width="2.77734375" customWidth="1"/>
    <col min="7945" max="7945" width="15.33203125" customWidth="1"/>
    <col min="7946" max="7946" width="3" customWidth="1"/>
    <col min="7947" max="7947" width="11.88671875" bestFit="1" customWidth="1"/>
    <col min="7948" max="7948" width="3.109375" customWidth="1"/>
    <col min="7949" max="7949" width="13.5546875" bestFit="1" customWidth="1"/>
    <col min="7950" max="7951" width="9.33203125" customWidth="1"/>
    <col min="8197" max="8197" width="3.44140625" bestFit="1" customWidth="1"/>
    <col min="8198" max="8198" width="3.44140625" customWidth="1"/>
    <col min="8199" max="8199" width="13.33203125" customWidth="1"/>
    <col min="8200" max="8200" width="2.77734375" customWidth="1"/>
    <col min="8201" max="8201" width="15.33203125" customWidth="1"/>
    <col min="8202" max="8202" width="3" customWidth="1"/>
    <col min="8203" max="8203" width="11.88671875" bestFit="1" customWidth="1"/>
    <col min="8204" max="8204" width="3.109375" customWidth="1"/>
    <col min="8205" max="8205" width="13.5546875" bestFit="1" customWidth="1"/>
    <col min="8206" max="8207" width="9.33203125" customWidth="1"/>
    <col min="8453" max="8453" width="3.44140625" bestFit="1" customWidth="1"/>
    <col min="8454" max="8454" width="3.44140625" customWidth="1"/>
    <col min="8455" max="8455" width="13.33203125" customWidth="1"/>
    <col min="8456" max="8456" width="2.77734375" customWidth="1"/>
    <col min="8457" max="8457" width="15.33203125" customWidth="1"/>
    <col min="8458" max="8458" width="3" customWidth="1"/>
    <col min="8459" max="8459" width="11.88671875" bestFit="1" customWidth="1"/>
    <col min="8460" max="8460" width="3.109375" customWidth="1"/>
    <col min="8461" max="8461" width="13.5546875" bestFit="1" customWidth="1"/>
    <col min="8462" max="8463" width="9.33203125" customWidth="1"/>
    <col min="8709" max="8709" width="3.44140625" bestFit="1" customWidth="1"/>
    <col min="8710" max="8710" width="3.44140625" customWidth="1"/>
    <col min="8711" max="8711" width="13.33203125" customWidth="1"/>
    <col min="8712" max="8712" width="2.77734375" customWidth="1"/>
    <col min="8713" max="8713" width="15.33203125" customWidth="1"/>
    <col min="8714" max="8714" width="3" customWidth="1"/>
    <col min="8715" max="8715" width="11.88671875" bestFit="1" customWidth="1"/>
    <col min="8716" max="8716" width="3.109375" customWidth="1"/>
    <col min="8717" max="8717" width="13.5546875" bestFit="1" customWidth="1"/>
    <col min="8718" max="8719" width="9.33203125" customWidth="1"/>
    <col min="8965" max="8965" width="3.44140625" bestFit="1" customWidth="1"/>
    <col min="8966" max="8966" width="3.44140625" customWidth="1"/>
    <col min="8967" max="8967" width="13.33203125" customWidth="1"/>
    <col min="8968" max="8968" width="2.77734375" customWidth="1"/>
    <col min="8969" max="8969" width="15.33203125" customWidth="1"/>
    <col min="8970" max="8970" width="3" customWidth="1"/>
    <col min="8971" max="8971" width="11.88671875" bestFit="1" customWidth="1"/>
    <col min="8972" max="8972" width="3.109375" customWidth="1"/>
    <col min="8973" max="8973" width="13.5546875" bestFit="1" customWidth="1"/>
    <col min="8974" max="8975" width="9.33203125" customWidth="1"/>
    <col min="9221" max="9221" width="3.44140625" bestFit="1" customWidth="1"/>
    <col min="9222" max="9222" width="3.44140625" customWidth="1"/>
    <col min="9223" max="9223" width="13.33203125" customWidth="1"/>
    <col min="9224" max="9224" width="2.77734375" customWidth="1"/>
    <col min="9225" max="9225" width="15.33203125" customWidth="1"/>
    <col min="9226" max="9226" width="3" customWidth="1"/>
    <col min="9227" max="9227" width="11.88671875" bestFit="1" customWidth="1"/>
    <col min="9228" max="9228" width="3.109375" customWidth="1"/>
    <col min="9229" max="9229" width="13.5546875" bestFit="1" customWidth="1"/>
    <col min="9230" max="9231" width="9.33203125" customWidth="1"/>
    <col min="9477" max="9477" width="3.44140625" bestFit="1" customWidth="1"/>
    <col min="9478" max="9478" width="3.44140625" customWidth="1"/>
    <col min="9479" max="9479" width="13.33203125" customWidth="1"/>
    <col min="9480" max="9480" width="2.77734375" customWidth="1"/>
    <col min="9481" max="9481" width="15.33203125" customWidth="1"/>
    <col min="9482" max="9482" width="3" customWidth="1"/>
    <col min="9483" max="9483" width="11.88671875" bestFit="1" customWidth="1"/>
    <col min="9484" max="9484" width="3.109375" customWidth="1"/>
    <col min="9485" max="9485" width="13.5546875" bestFit="1" customWidth="1"/>
    <col min="9486" max="9487" width="9.33203125" customWidth="1"/>
    <col min="9733" max="9733" width="3.44140625" bestFit="1" customWidth="1"/>
    <col min="9734" max="9734" width="3.44140625" customWidth="1"/>
    <col min="9735" max="9735" width="13.33203125" customWidth="1"/>
    <col min="9736" max="9736" width="2.77734375" customWidth="1"/>
    <col min="9737" max="9737" width="15.33203125" customWidth="1"/>
    <col min="9738" max="9738" width="3" customWidth="1"/>
    <col min="9739" max="9739" width="11.88671875" bestFit="1" customWidth="1"/>
    <col min="9740" max="9740" width="3.109375" customWidth="1"/>
    <col min="9741" max="9741" width="13.5546875" bestFit="1" customWidth="1"/>
    <col min="9742" max="9743" width="9.33203125" customWidth="1"/>
    <col min="9989" max="9989" width="3.44140625" bestFit="1" customWidth="1"/>
    <col min="9990" max="9990" width="3.44140625" customWidth="1"/>
    <col min="9991" max="9991" width="13.33203125" customWidth="1"/>
    <col min="9992" max="9992" width="2.77734375" customWidth="1"/>
    <col min="9993" max="9993" width="15.33203125" customWidth="1"/>
    <col min="9994" max="9994" width="3" customWidth="1"/>
    <col min="9995" max="9995" width="11.88671875" bestFit="1" customWidth="1"/>
    <col min="9996" max="9996" width="3.109375" customWidth="1"/>
    <col min="9997" max="9997" width="13.5546875" bestFit="1" customWidth="1"/>
    <col min="9998" max="9999" width="9.33203125" customWidth="1"/>
    <col min="10245" max="10245" width="3.44140625" bestFit="1" customWidth="1"/>
    <col min="10246" max="10246" width="3.44140625" customWidth="1"/>
    <col min="10247" max="10247" width="13.33203125" customWidth="1"/>
    <col min="10248" max="10248" width="2.77734375" customWidth="1"/>
    <col min="10249" max="10249" width="15.33203125" customWidth="1"/>
    <col min="10250" max="10250" width="3" customWidth="1"/>
    <col min="10251" max="10251" width="11.88671875" bestFit="1" customWidth="1"/>
    <col min="10252" max="10252" width="3.109375" customWidth="1"/>
    <col min="10253" max="10253" width="13.5546875" bestFit="1" customWidth="1"/>
    <col min="10254" max="10255" width="9.33203125" customWidth="1"/>
    <col min="10501" max="10501" width="3.44140625" bestFit="1" customWidth="1"/>
    <col min="10502" max="10502" width="3.44140625" customWidth="1"/>
    <col min="10503" max="10503" width="13.33203125" customWidth="1"/>
    <col min="10504" max="10504" width="2.77734375" customWidth="1"/>
    <col min="10505" max="10505" width="15.33203125" customWidth="1"/>
    <col min="10506" max="10506" width="3" customWidth="1"/>
    <col min="10507" max="10507" width="11.88671875" bestFit="1" customWidth="1"/>
    <col min="10508" max="10508" width="3.109375" customWidth="1"/>
    <col min="10509" max="10509" width="13.5546875" bestFit="1" customWidth="1"/>
    <col min="10510" max="10511" width="9.33203125" customWidth="1"/>
    <col min="10757" max="10757" width="3.44140625" bestFit="1" customWidth="1"/>
    <col min="10758" max="10758" width="3.44140625" customWidth="1"/>
    <col min="10759" max="10759" width="13.33203125" customWidth="1"/>
    <col min="10760" max="10760" width="2.77734375" customWidth="1"/>
    <col min="10761" max="10761" width="15.33203125" customWidth="1"/>
    <col min="10762" max="10762" width="3" customWidth="1"/>
    <col min="10763" max="10763" width="11.88671875" bestFit="1" customWidth="1"/>
    <col min="10764" max="10764" width="3.109375" customWidth="1"/>
    <col min="10765" max="10765" width="13.5546875" bestFit="1" customWidth="1"/>
    <col min="10766" max="10767" width="9.33203125" customWidth="1"/>
    <col min="11013" max="11013" width="3.44140625" bestFit="1" customWidth="1"/>
    <col min="11014" max="11014" width="3.44140625" customWidth="1"/>
    <col min="11015" max="11015" width="13.33203125" customWidth="1"/>
    <col min="11016" max="11016" width="2.77734375" customWidth="1"/>
    <col min="11017" max="11017" width="15.33203125" customWidth="1"/>
    <col min="11018" max="11018" width="3" customWidth="1"/>
    <col min="11019" max="11019" width="11.88671875" bestFit="1" customWidth="1"/>
    <col min="11020" max="11020" width="3.109375" customWidth="1"/>
    <col min="11021" max="11021" width="13.5546875" bestFit="1" customWidth="1"/>
    <col min="11022" max="11023" width="9.33203125" customWidth="1"/>
    <col min="11269" max="11269" width="3.44140625" bestFit="1" customWidth="1"/>
    <col min="11270" max="11270" width="3.44140625" customWidth="1"/>
    <col min="11271" max="11271" width="13.33203125" customWidth="1"/>
    <col min="11272" max="11272" width="2.77734375" customWidth="1"/>
    <col min="11273" max="11273" width="15.33203125" customWidth="1"/>
    <col min="11274" max="11274" width="3" customWidth="1"/>
    <col min="11275" max="11275" width="11.88671875" bestFit="1" customWidth="1"/>
    <col min="11276" max="11276" width="3.109375" customWidth="1"/>
    <col min="11277" max="11277" width="13.5546875" bestFit="1" customWidth="1"/>
    <col min="11278" max="11279" width="9.33203125" customWidth="1"/>
    <col min="11525" max="11525" width="3.44140625" bestFit="1" customWidth="1"/>
    <col min="11526" max="11526" width="3.44140625" customWidth="1"/>
    <col min="11527" max="11527" width="13.33203125" customWidth="1"/>
    <col min="11528" max="11528" width="2.77734375" customWidth="1"/>
    <col min="11529" max="11529" width="15.33203125" customWidth="1"/>
    <col min="11530" max="11530" width="3" customWidth="1"/>
    <col min="11531" max="11531" width="11.88671875" bestFit="1" customWidth="1"/>
    <col min="11532" max="11532" width="3.109375" customWidth="1"/>
    <col min="11533" max="11533" width="13.5546875" bestFit="1" customWidth="1"/>
    <col min="11534" max="11535" width="9.33203125" customWidth="1"/>
    <col min="11781" max="11781" width="3.44140625" bestFit="1" customWidth="1"/>
    <col min="11782" max="11782" width="3.44140625" customWidth="1"/>
    <col min="11783" max="11783" width="13.33203125" customWidth="1"/>
    <col min="11784" max="11784" width="2.77734375" customWidth="1"/>
    <col min="11785" max="11785" width="15.33203125" customWidth="1"/>
    <col min="11786" max="11786" width="3" customWidth="1"/>
    <col min="11787" max="11787" width="11.88671875" bestFit="1" customWidth="1"/>
    <col min="11788" max="11788" width="3.109375" customWidth="1"/>
    <col min="11789" max="11789" width="13.5546875" bestFit="1" customWidth="1"/>
    <col min="11790" max="11791" width="9.33203125" customWidth="1"/>
    <col min="12037" max="12037" width="3.44140625" bestFit="1" customWidth="1"/>
    <col min="12038" max="12038" width="3.44140625" customWidth="1"/>
    <col min="12039" max="12039" width="13.33203125" customWidth="1"/>
    <col min="12040" max="12040" width="2.77734375" customWidth="1"/>
    <col min="12041" max="12041" width="15.33203125" customWidth="1"/>
    <col min="12042" max="12042" width="3" customWidth="1"/>
    <col min="12043" max="12043" width="11.88671875" bestFit="1" customWidth="1"/>
    <col min="12044" max="12044" width="3.109375" customWidth="1"/>
    <col min="12045" max="12045" width="13.5546875" bestFit="1" customWidth="1"/>
    <col min="12046" max="12047" width="9.33203125" customWidth="1"/>
    <col min="12293" max="12293" width="3.44140625" bestFit="1" customWidth="1"/>
    <col min="12294" max="12294" width="3.44140625" customWidth="1"/>
    <col min="12295" max="12295" width="13.33203125" customWidth="1"/>
    <col min="12296" max="12296" width="2.77734375" customWidth="1"/>
    <col min="12297" max="12297" width="15.33203125" customWidth="1"/>
    <col min="12298" max="12298" width="3" customWidth="1"/>
    <col min="12299" max="12299" width="11.88671875" bestFit="1" customWidth="1"/>
    <col min="12300" max="12300" width="3.109375" customWidth="1"/>
    <col min="12301" max="12301" width="13.5546875" bestFit="1" customWidth="1"/>
    <col min="12302" max="12303" width="9.33203125" customWidth="1"/>
    <col min="12549" max="12549" width="3.44140625" bestFit="1" customWidth="1"/>
    <col min="12550" max="12550" width="3.44140625" customWidth="1"/>
    <col min="12551" max="12551" width="13.33203125" customWidth="1"/>
    <col min="12552" max="12552" width="2.77734375" customWidth="1"/>
    <col min="12553" max="12553" width="15.33203125" customWidth="1"/>
    <col min="12554" max="12554" width="3" customWidth="1"/>
    <col min="12555" max="12555" width="11.88671875" bestFit="1" customWidth="1"/>
    <col min="12556" max="12556" width="3.109375" customWidth="1"/>
    <col min="12557" max="12557" width="13.5546875" bestFit="1" customWidth="1"/>
    <col min="12558" max="12559" width="9.33203125" customWidth="1"/>
    <col min="12805" max="12805" width="3.44140625" bestFit="1" customWidth="1"/>
    <col min="12806" max="12806" width="3.44140625" customWidth="1"/>
    <col min="12807" max="12807" width="13.33203125" customWidth="1"/>
    <col min="12808" max="12808" width="2.77734375" customWidth="1"/>
    <col min="12809" max="12809" width="15.33203125" customWidth="1"/>
    <col min="12810" max="12810" width="3" customWidth="1"/>
    <col min="12811" max="12811" width="11.88671875" bestFit="1" customWidth="1"/>
    <col min="12812" max="12812" width="3.109375" customWidth="1"/>
    <col min="12813" max="12813" width="13.5546875" bestFit="1" customWidth="1"/>
    <col min="12814" max="12815" width="9.33203125" customWidth="1"/>
    <col min="13061" max="13061" width="3.44140625" bestFit="1" customWidth="1"/>
    <col min="13062" max="13062" width="3.44140625" customWidth="1"/>
    <col min="13063" max="13063" width="13.33203125" customWidth="1"/>
    <col min="13064" max="13064" width="2.77734375" customWidth="1"/>
    <col min="13065" max="13065" width="15.33203125" customWidth="1"/>
    <col min="13066" max="13066" width="3" customWidth="1"/>
    <col min="13067" max="13067" width="11.88671875" bestFit="1" customWidth="1"/>
    <col min="13068" max="13068" width="3.109375" customWidth="1"/>
    <col min="13069" max="13069" width="13.5546875" bestFit="1" customWidth="1"/>
    <col min="13070" max="13071" width="9.33203125" customWidth="1"/>
    <col min="13317" max="13317" width="3.44140625" bestFit="1" customWidth="1"/>
    <col min="13318" max="13318" width="3.44140625" customWidth="1"/>
    <col min="13319" max="13319" width="13.33203125" customWidth="1"/>
    <col min="13320" max="13320" width="2.77734375" customWidth="1"/>
    <col min="13321" max="13321" width="15.33203125" customWidth="1"/>
    <col min="13322" max="13322" width="3" customWidth="1"/>
    <col min="13323" max="13323" width="11.88671875" bestFit="1" customWidth="1"/>
    <col min="13324" max="13324" width="3.109375" customWidth="1"/>
    <col min="13325" max="13325" width="13.5546875" bestFit="1" customWidth="1"/>
    <col min="13326" max="13327" width="9.33203125" customWidth="1"/>
    <col min="13573" max="13573" width="3.44140625" bestFit="1" customWidth="1"/>
    <col min="13574" max="13574" width="3.44140625" customWidth="1"/>
    <col min="13575" max="13575" width="13.33203125" customWidth="1"/>
    <col min="13576" max="13576" width="2.77734375" customWidth="1"/>
    <col min="13577" max="13577" width="15.33203125" customWidth="1"/>
    <col min="13578" max="13578" width="3" customWidth="1"/>
    <col min="13579" max="13579" width="11.88671875" bestFit="1" customWidth="1"/>
    <col min="13580" max="13580" width="3.109375" customWidth="1"/>
    <col min="13581" max="13581" width="13.5546875" bestFit="1" customWidth="1"/>
    <col min="13582" max="13583" width="9.33203125" customWidth="1"/>
    <col min="13829" max="13829" width="3.44140625" bestFit="1" customWidth="1"/>
    <col min="13830" max="13830" width="3.44140625" customWidth="1"/>
    <col min="13831" max="13831" width="13.33203125" customWidth="1"/>
    <col min="13832" max="13832" width="2.77734375" customWidth="1"/>
    <col min="13833" max="13833" width="15.33203125" customWidth="1"/>
    <col min="13834" max="13834" width="3" customWidth="1"/>
    <col min="13835" max="13835" width="11.88671875" bestFit="1" customWidth="1"/>
    <col min="13836" max="13836" width="3.109375" customWidth="1"/>
    <col min="13837" max="13837" width="13.5546875" bestFit="1" customWidth="1"/>
    <col min="13838" max="13839" width="9.33203125" customWidth="1"/>
    <col min="14085" max="14085" width="3.44140625" bestFit="1" customWidth="1"/>
    <col min="14086" max="14086" width="3.44140625" customWidth="1"/>
    <col min="14087" max="14087" width="13.33203125" customWidth="1"/>
    <col min="14088" max="14088" width="2.77734375" customWidth="1"/>
    <col min="14089" max="14089" width="15.33203125" customWidth="1"/>
    <col min="14090" max="14090" width="3" customWidth="1"/>
    <col min="14091" max="14091" width="11.88671875" bestFit="1" customWidth="1"/>
    <col min="14092" max="14092" width="3.109375" customWidth="1"/>
    <col min="14093" max="14093" width="13.5546875" bestFit="1" customWidth="1"/>
    <col min="14094" max="14095" width="9.33203125" customWidth="1"/>
    <col min="14341" max="14341" width="3.44140625" bestFit="1" customWidth="1"/>
    <col min="14342" max="14342" width="3.44140625" customWidth="1"/>
    <col min="14343" max="14343" width="13.33203125" customWidth="1"/>
    <col min="14344" max="14344" width="2.77734375" customWidth="1"/>
    <col min="14345" max="14345" width="15.33203125" customWidth="1"/>
    <col min="14346" max="14346" width="3" customWidth="1"/>
    <col min="14347" max="14347" width="11.88671875" bestFit="1" customWidth="1"/>
    <col min="14348" max="14348" width="3.109375" customWidth="1"/>
    <col min="14349" max="14349" width="13.5546875" bestFit="1" customWidth="1"/>
    <col min="14350" max="14351" width="9.33203125" customWidth="1"/>
    <col min="14597" max="14597" width="3.44140625" bestFit="1" customWidth="1"/>
    <col min="14598" max="14598" width="3.44140625" customWidth="1"/>
    <col min="14599" max="14599" width="13.33203125" customWidth="1"/>
    <col min="14600" max="14600" width="2.77734375" customWidth="1"/>
    <col min="14601" max="14601" width="15.33203125" customWidth="1"/>
    <col min="14602" max="14602" width="3" customWidth="1"/>
    <col min="14603" max="14603" width="11.88671875" bestFit="1" customWidth="1"/>
    <col min="14604" max="14604" width="3.109375" customWidth="1"/>
    <col min="14605" max="14605" width="13.5546875" bestFit="1" customWidth="1"/>
    <col min="14606" max="14607" width="9.33203125" customWidth="1"/>
    <col min="14853" max="14853" width="3.44140625" bestFit="1" customWidth="1"/>
    <col min="14854" max="14854" width="3.44140625" customWidth="1"/>
    <col min="14855" max="14855" width="13.33203125" customWidth="1"/>
    <col min="14856" max="14856" width="2.77734375" customWidth="1"/>
    <col min="14857" max="14857" width="15.33203125" customWidth="1"/>
    <col min="14858" max="14858" width="3" customWidth="1"/>
    <col min="14859" max="14859" width="11.88671875" bestFit="1" customWidth="1"/>
    <col min="14860" max="14860" width="3.109375" customWidth="1"/>
    <col min="14861" max="14861" width="13.5546875" bestFit="1" customWidth="1"/>
    <col min="14862" max="14863" width="9.33203125" customWidth="1"/>
    <col min="15109" max="15109" width="3.44140625" bestFit="1" customWidth="1"/>
    <col min="15110" max="15110" width="3.44140625" customWidth="1"/>
    <col min="15111" max="15111" width="13.33203125" customWidth="1"/>
    <col min="15112" max="15112" width="2.77734375" customWidth="1"/>
    <col min="15113" max="15113" width="15.33203125" customWidth="1"/>
    <col min="15114" max="15114" width="3" customWidth="1"/>
    <col min="15115" max="15115" width="11.88671875" bestFit="1" customWidth="1"/>
    <col min="15116" max="15116" width="3.109375" customWidth="1"/>
    <col min="15117" max="15117" width="13.5546875" bestFit="1" customWidth="1"/>
    <col min="15118" max="15119" width="9.33203125" customWidth="1"/>
    <col min="15365" max="15365" width="3.44140625" bestFit="1" customWidth="1"/>
    <col min="15366" max="15366" width="3.44140625" customWidth="1"/>
    <col min="15367" max="15367" width="13.33203125" customWidth="1"/>
    <col min="15368" max="15368" width="2.77734375" customWidth="1"/>
    <col min="15369" max="15369" width="15.33203125" customWidth="1"/>
    <col min="15370" max="15370" width="3" customWidth="1"/>
    <col min="15371" max="15371" width="11.88671875" bestFit="1" customWidth="1"/>
    <col min="15372" max="15372" width="3.109375" customWidth="1"/>
    <col min="15373" max="15373" width="13.5546875" bestFit="1" customWidth="1"/>
    <col min="15374" max="15375" width="9.33203125" customWidth="1"/>
    <col min="15621" max="15621" width="3.44140625" bestFit="1" customWidth="1"/>
    <col min="15622" max="15622" width="3.44140625" customWidth="1"/>
    <col min="15623" max="15623" width="13.33203125" customWidth="1"/>
    <col min="15624" max="15624" width="2.77734375" customWidth="1"/>
    <col min="15625" max="15625" width="15.33203125" customWidth="1"/>
    <col min="15626" max="15626" width="3" customWidth="1"/>
    <col min="15627" max="15627" width="11.88671875" bestFit="1" customWidth="1"/>
    <col min="15628" max="15628" width="3.109375" customWidth="1"/>
    <col min="15629" max="15629" width="13.5546875" bestFit="1" customWidth="1"/>
    <col min="15630" max="15631" width="9.33203125" customWidth="1"/>
    <col min="15877" max="15877" width="3.44140625" bestFit="1" customWidth="1"/>
    <col min="15878" max="15878" width="3.44140625" customWidth="1"/>
    <col min="15879" max="15879" width="13.33203125" customWidth="1"/>
    <col min="15880" max="15880" width="2.77734375" customWidth="1"/>
    <col min="15881" max="15881" width="15.33203125" customWidth="1"/>
    <col min="15882" max="15882" width="3" customWidth="1"/>
    <col min="15883" max="15883" width="11.88671875" bestFit="1" customWidth="1"/>
    <col min="15884" max="15884" width="3.109375" customWidth="1"/>
    <col min="15885" max="15885" width="13.5546875" bestFit="1" customWidth="1"/>
    <col min="15886" max="15887" width="9.33203125" customWidth="1"/>
    <col min="16133" max="16133" width="3.44140625" bestFit="1" customWidth="1"/>
    <col min="16134" max="16134" width="3.44140625" customWidth="1"/>
    <col min="16135" max="16135" width="13.33203125" customWidth="1"/>
    <col min="16136" max="16136" width="2.77734375" customWidth="1"/>
    <col min="16137" max="16137" width="15.33203125" customWidth="1"/>
    <col min="16138" max="16138" width="3" customWidth="1"/>
    <col min="16139" max="16139" width="11.88671875" bestFit="1" customWidth="1"/>
    <col min="16140" max="16140" width="3.109375" customWidth="1"/>
    <col min="16141" max="16141" width="13.5546875" bestFit="1" customWidth="1"/>
    <col min="16142" max="16143" width="9.33203125" customWidth="1"/>
  </cols>
  <sheetData>
    <row r="3" spans="1:22" s="30" customFormat="1" ht="15" customHeight="1">
      <c r="A3" s="203" t="s">
        <v>215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10"/>
      <c r="O3" s="10"/>
    </row>
    <row r="4" spans="1:22" s="30" customFormat="1" ht="15" customHeight="1">
      <c r="A4" s="203" t="s">
        <v>214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10"/>
      <c r="O4" s="10"/>
    </row>
    <row r="5" spans="1:22" s="30" customFormat="1" ht="15" customHeight="1">
      <c r="A5" s="203" t="s">
        <v>2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10"/>
      <c r="O5" s="10"/>
    </row>
    <row r="6" spans="1:22" s="30" customFormat="1" ht="15.75">
      <c r="A6" s="64"/>
      <c r="B6" s="64"/>
      <c r="C6" s="57"/>
      <c r="D6" s="57"/>
      <c r="E6" s="57"/>
      <c r="F6" s="57"/>
      <c r="G6" s="57"/>
      <c r="H6" s="57"/>
      <c r="I6" s="57"/>
      <c r="J6" s="57"/>
      <c r="K6" s="57"/>
      <c r="L6" s="57"/>
      <c r="M6" s="57" t="s">
        <v>290</v>
      </c>
      <c r="N6" s="64"/>
      <c r="O6" s="10"/>
    </row>
    <row r="7" spans="1:22" s="30" customFormat="1" ht="16.5">
      <c r="C7" s="57" t="s">
        <v>22</v>
      </c>
      <c r="D7" s="57"/>
      <c r="E7" s="57" t="s">
        <v>213</v>
      </c>
      <c r="F7" s="57"/>
      <c r="G7" s="4" t="s">
        <v>212</v>
      </c>
      <c r="H7" s="57"/>
      <c r="I7" s="4" t="s">
        <v>219</v>
      </c>
      <c r="J7" s="4"/>
      <c r="K7" s="57" t="s">
        <v>218</v>
      </c>
      <c r="L7" s="4"/>
      <c r="M7" s="4" t="s">
        <v>289</v>
      </c>
    </row>
    <row r="8" spans="1:22" s="30" customFormat="1" ht="12.75">
      <c r="A8" s="57" t="s">
        <v>3</v>
      </c>
      <c r="B8" s="57"/>
      <c r="C8" s="57"/>
      <c r="D8" s="57"/>
      <c r="E8" s="57" t="s">
        <v>210</v>
      </c>
      <c r="F8" s="57"/>
      <c r="G8" s="57" t="s">
        <v>209</v>
      </c>
      <c r="H8" s="57"/>
      <c r="I8" s="57"/>
      <c r="J8" s="57"/>
      <c r="K8" s="57" t="s">
        <v>287</v>
      </c>
      <c r="L8" s="57"/>
      <c r="M8" s="57" t="s">
        <v>208</v>
      </c>
    </row>
    <row r="9" spans="1:22" s="30" customFormat="1" ht="12.75">
      <c r="A9" s="5" t="s">
        <v>5</v>
      </c>
      <c r="B9" s="5"/>
      <c r="C9" s="5" t="s">
        <v>207</v>
      </c>
      <c r="D9" s="5"/>
      <c r="E9" s="73" t="s">
        <v>206</v>
      </c>
      <c r="F9" s="73"/>
      <c r="G9" s="72" t="s">
        <v>205</v>
      </c>
      <c r="H9" s="73"/>
      <c r="I9" s="5" t="s">
        <v>220</v>
      </c>
      <c r="J9" s="5"/>
      <c r="K9" s="5" t="s">
        <v>288</v>
      </c>
      <c r="L9" s="72"/>
      <c r="M9" s="71" t="s">
        <v>204</v>
      </c>
    </row>
    <row r="10" spans="1:22" s="30" customFormat="1" ht="12.75">
      <c r="A10" s="57"/>
      <c r="B10" s="70" t="s">
        <v>203</v>
      </c>
      <c r="D10" s="69"/>
      <c r="E10" s="68"/>
      <c r="F10" s="68"/>
      <c r="G10" s="67"/>
      <c r="H10" s="68"/>
      <c r="I10" s="67"/>
      <c r="J10" s="67"/>
      <c r="K10" s="67"/>
      <c r="L10" s="67"/>
      <c r="M10" s="6"/>
    </row>
    <row r="11" spans="1:22" s="30" customFormat="1">
      <c r="A11" s="57">
        <v>1</v>
      </c>
      <c r="B11" s="57"/>
      <c r="C11" s="77">
        <v>44531</v>
      </c>
      <c r="D11" s="77"/>
      <c r="E11" s="75">
        <v>27243496.280582614</v>
      </c>
      <c r="F11" s="4"/>
      <c r="G11" s="75">
        <v>4419430.1150747519</v>
      </c>
      <c r="H11" s="4"/>
      <c r="I11" s="75">
        <v>10644024.921569485</v>
      </c>
      <c r="J11" s="75"/>
      <c r="K11" s="75">
        <v>12218199.116375163</v>
      </c>
      <c r="L11" s="4"/>
      <c r="M11" s="4">
        <f>E11+G11+I11-K11</f>
        <v>30088752.200851694</v>
      </c>
      <c r="N11" s="4"/>
      <c r="O11" s="100"/>
      <c r="R11" s="78"/>
      <c r="S11" s="78"/>
    </row>
    <row r="12" spans="1:22" s="30" customFormat="1">
      <c r="A12" s="61">
        <f t="shared" ref="A12:A28" si="0">A11+1</f>
        <v>2</v>
      </c>
      <c r="B12" s="61"/>
      <c r="C12" s="77">
        <v>44562</v>
      </c>
      <c r="D12" s="77"/>
      <c r="E12" s="75">
        <v>24815932.266017627</v>
      </c>
      <c r="F12" s="4"/>
      <c r="G12" s="75">
        <v>4462046.7850234183</v>
      </c>
      <c r="H12" s="4"/>
      <c r="I12" s="75">
        <v>10928743.658585202</v>
      </c>
      <c r="J12" s="75"/>
      <c r="K12" s="75">
        <v>12327359.099626247</v>
      </c>
      <c r="L12" s="4"/>
      <c r="M12" s="4">
        <f t="shared" ref="M12:M23" si="1">E12+G12+I12-K12</f>
        <v>27879363.609999996</v>
      </c>
      <c r="N12" s="63"/>
      <c r="O12" s="63"/>
      <c r="R12" s="78"/>
      <c r="S12" s="78"/>
    </row>
    <row r="13" spans="1:22">
      <c r="A13" s="61">
        <f t="shared" si="0"/>
        <v>3</v>
      </c>
      <c r="B13" s="61"/>
      <c r="C13" s="77">
        <v>44593</v>
      </c>
      <c r="D13" s="77"/>
      <c r="E13" s="75">
        <v>25192608.374926157</v>
      </c>
      <c r="F13" s="4"/>
      <c r="G13" s="75">
        <v>4504677.2859258354</v>
      </c>
      <c r="H13" s="4"/>
      <c r="I13" s="75">
        <v>11134836.585285004</v>
      </c>
      <c r="J13" s="75"/>
      <c r="K13" s="75">
        <v>12441629.776136998</v>
      </c>
      <c r="L13" s="4"/>
      <c r="M13" s="4">
        <f t="shared" si="1"/>
        <v>28390492.469999995</v>
      </c>
      <c r="N13" s="62"/>
      <c r="O13" s="62"/>
      <c r="P13" s="30"/>
      <c r="R13" s="78"/>
      <c r="S13" s="78"/>
      <c r="T13" s="30"/>
      <c r="V13" s="30"/>
    </row>
    <row r="14" spans="1:22">
      <c r="A14" s="61">
        <f t="shared" si="0"/>
        <v>4</v>
      </c>
      <c r="B14" s="61"/>
      <c r="C14" s="77">
        <v>44621</v>
      </c>
      <c r="D14" s="77"/>
      <c r="E14" s="75">
        <v>25146991.505832523</v>
      </c>
      <c r="F14" s="4"/>
      <c r="G14" s="75">
        <v>4547730.9644960016</v>
      </c>
      <c r="H14" s="4"/>
      <c r="I14" s="75">
        <v>11384334.838947894</v>
      </c>
      <c r="J14" s="75"/>
      <c r="K14" s="75">
        <v>12555934.969276415</v>
      </c>
      <c r="L14" s="4"/>
      <c r="M14" s="4">
        <f t="shared" si="1"/>
        <v>28523122.340000004</v>
      </c>
      <c r="N14" s="56"/>
      <c r="O14" s="56"/>
      <c r="P14" s="30"/>
      <c r="R14" s="78"/>
      <c r="S14" s="78"/>
      <c r="T14" s="30"/>
      <c r="V14" s="30"/>
    </row>
    <row r="15" spans="1:22">
      <c r="A15" s="61">
        <f t="shared" si="0"/>
        <v>5</v>
      </c>
      <c r="B15" s="61"/>
      <c r="C15" s="77">
        <v>44652</v>
      </c>
      <c r="D15" s="77"/>
      <c r="E15" s="75">
        <v>25559092.61182493</v>
      </c>
      <c r="F15" s="4"/>
      <c r="G15" s="75">
        <v>4591063.4553460013</v>
      </c>
      <c r="H15" s="4"/>
      <c r="I15" s="75">
        <v>11608792.928661814</v>
      </c>
      <c r="J15" s="75"/>
      <c r="K15" s="75">
        <v>12670252.445832748</v>
      </c>
      <c r="L15" s="4"/>
      <c r="M15" s="4">
        <f t="shared" si="1"/>
        <v>29088696.550000001</v>
      </c>
      <c r="N15" s="56"/>
      <c r="O15" s="56"/>
      <c r="P15" s="30"/>
      <c r="R15" s="78"/>
      <c r="S15" s="78"/>
      <c r="T15" s="30"/>
      <c r="V15" s="30"/>
    </row>
    <row r="16" spans="1:22">
      <c r="A16" s="61">
        <f t="shared" si="0"/>
        <v>6</v>
      </c>
      <c r="B16" s="61"/>
      <c r="C16" s="77">
        <v>44682</v>
      </c>
      <c r="D16" s="77"/>
      <c r="E16" s="75">
        <v>25819064.455717482</v>
      </c>
      <c r="F16" s="4"/>
      <c r="G16" s="75">
        <v>4634439.7738942523</v>
      </c>
      <c r="H16" s="4"/>
      <c r="I16" s="75">
        <v>11849081.831201844</v>
      </c>
      <c r="J16" s="75"/>
      <c r="K16" s="75">
        <v>12784633.280813582</v>
      </c>
      <c r="L16" s="4"/>
      <c r="M16" s="4">
        <f t="shared" si="1"/>
        <v>29517952.779999994</v>
      </c>
      <c r="N16" s="56"/>
      <c r="O16" s="56"/>
      <c r="P16" s="30"/>
      <c r="R16" s="78"/>
      <c r="S16" s="78"/>
      <c r="T16" s="30"/>
      <c r="V16" s="30"/>
    </row>
    <row r="17" spans="1:22">
      <c r="A17" s="61">
        <f t="shared" si="0"/>
        <v>7</v>
      </c>
      <c r="B17" s="61"/>
      <c r="C17" s="77">
        <v>44713</v>
      </c>
      <c r="D17" s="77"/>
      <c r="E17" s="75">
        <v>25567223.873780988</v>
      </c>
      <c r="F17" s="4"/>
      <c r="G17" s="75">
        <v>4673023.5869982522</v>
      </c>
      <c r="H17" s="4"/>
      <c r="I17" s="75">
        <v>12079910.118410772</v>
      </c>
      <c r="J17" s="75"/>
      <c r="K17" s="75">
        <v>12899185.419189999</v>
      </c>
      <c r="L17" s="4"/>
      <c r="M17" s="4">
        <f t="shared" si="1"/>
        <v>29420972.160000019</v>
      </c>
      <c r="P17" s="30"/>
      <c r="R17" s="78"/>
      <c r="S17" s="78"/>
      <c r="T17" s="30"/>
      <c r="V17" s="30"/>
    </row>
    <row r="18" spans="1:22">
      <c r="A18" s="61">
        <f t="shared" si="0"/>
        <v>8</v>
      </c>
      <c r="B18" s="61"/>
      <c r="C18" s="77">
        <v>44743</v>
      </c>
      <c r="D18" s="77"/>
      <c r="E18" s="75">
        <v>25725884.15843612</v>
      </c>
      <c r="F18" s="4"/>
      <c r="G18" s="75">
        <v>4717361.568234168</v>
      </c>
      <c r="H18" s="4"/>
      <c r="I18" s="75">
        <v>12306955.407380711</v>
      </c>
      <c r="J18" s="75"/>
      <c r="K18" s="75">
        <v>13013826.364050999</v>
      </c>
      <c r="L18" s="4"/>
      <c r="M18" s="4">
        <f t="shared" si="1"/>
        <v>29736374.769999996</v>
      </c>
      <c r="P18" s="30"/>
      <c r="R18" s="78"/>
      <c r="S18" s="78"/>
      <c r="T18" s="30"/>
      <c r="V18" s="30"/>
    </row>
    <row r="19" spans="1:22">
      <c r="A19" s="61">
        <f t="shared" si="0"/>
        <v>9</v>
      </c>
      <c r="B19" s="61"/>
      <c r="C19" s="77">
        <v>44774</v>
      </c>
      <c r="D19" s="77"/>
      <c r="E19" s="75">
        <v>25738294.442794893</v>
      </c>
      <c r="F19" s="4"/>
      <c r="G19" s="75">
        <v>4760724.6398271676</v>
      </c>
      <c r="H19" s="4"/>
      <c r="I19" s="75">
        <v>12534014.23698486</v>
      </c>
      <c r="J19" s="75"/>
      <c r="K19" s="75">
        <v>13128993.049606916</v>
      </c>
      <c r="L19" s="4"/>
      <c r="M19" s="4">
        <f t="shared" si="1"/>
        <v>29904040.27</v>
      </c>
      <c r="P19" s="30"/>
      <c r="R19" s="78"/>
      <c r="S19" s="78"/>
      <c r="T19" s="30"/>
      <c r="V19" s="30"/>
    </row>
    <row r="20" spans="1:22">
      <c r="A20" s="61">
        <f t="shared" si="0"/>
        <v>10</v>
      </c>
      <c r="B20" s="61"/>
      <c r="C20" s="77">
        <v>44805</v>
      </c>
      <c r="D20" s="77"/>
      <c r="E20" s="75">
        <v>25441256.187286921</v>
      </c>
      <c r="F20" s="4"/>
      <c r="G20" s="75">
        <v>4696076.6399911679</v>
      </c>
      <c r="H20" s="4"/>
      <c r="I20" s="75">
        <v>12759678.874713909</v>
      </c>
      <c r="J20" s="75"/>
      <c r="K20" s="75">
        <v>13243156.641951749</v>
      </c>
      <c r="L20" s="4"/>
      <c r="M20" s="4">
        <f t="shared" si="1"/>
        <v>29653855.06004025</v>
      </c>
      <c r="P20" s="30"/>
      <c r="R20" s="78"/>
      <c r="S20" s="78"/>
      <c r="T20" s="30"/>
      <c r="V20" s="30"/>
    </row>
    <row r="21" spans="1:22">
      <c r="A21" s="61">
        <f t="shared" si="0"/>
        <v>11</v>
      </c>
      <c r="B21" s="61"/>
      <c r="C21" s="77">
        <v>44835</v>
      </c>
      <c r="D21" s="77"/>
      <c r="E21" s="75">
        <v>25648827.372734666</v>
      </c>
      <c r="F21" s="4"/>
      <c r="G21" s="75">
        <v>4751221.0565810855</v>
      </c>
      <c r="H21" s="4"/>
      <c r="I21" s="75">
        <v>12986724.515686499</v>
      </c>
      <c r="J21" s="75"/>
      <c r="K21" s="75">
        <v>13357192.014961999</v>
      </c>
      <c r="L21" s="4"/>
      <c r="M21" s="4">
        <f t="shared" si="1"/>
        <v>30029580.930040251</v>
      </c>
      <c r="P21" s="30"/>
      <c r="R21" s="78"/>
      <c r="S21" s="78"/>
      <c r="T21" s="30"/>
      <c r="V21" s="30"/>
    </row>
    <row r="22" spans="1:22">
      <c r="A22" s="61">
        <f t="shared" si="0"/>
        <v>12</v>
      </c>
      <c r="B22" s="61"/>
      <c r="C22" s="77">
        <v>44866</v>
      </c>
      <c r="D22" s="77"/>
      <c r="E22" s="75">
        <v>25972383.872733817</v>
      </c>
      <c r="F22" s="4"/>
      <c r="G22" s="75">
        <v>4793908.6462066686</v>
      </c>
      <c r="H22" s="4"/>
      <c r="I22" s="75">
        <v>11448317.470342018</v>
      </c>
      <c r="J22" s="75"/>
      <c r="K22" s="75">
        <v>13472712.789242249</v>
      </c>
      <c r="L22" s="4"/>
      <c r="M22" s="4">
        <f t="shared" si="1"/>
        <v>28741897.200040255</v>
      </c>
      <c r="P22" s="30"/>
      <c r="R22" s="78"/>
      <c r="S22" s="78"/>
      <c r="T22" s="30"/>
      <c r="V22" s="30"/>
    </row>
    <row r="23" spans="1:22">
      <c r="A23" s="61">
        <f t="shared" si="0"/>
        <v>13</v>
      </c>
      <c r="B23" s="61"/>
      <c r="C23" s="77">
        <v>44896</v>
      </c>
      <c r="D23" s="77"/>
      <c r="E23" s="75">
        <v>26317690.337369852</v>
      </c>
      <c r="F23" s="4"/>
      <c r="G23" s="75">
        <v>4826786.4969788352</v>
      </c>
      <c r="H23" s="4"/>
      <c r="I23" s="75">
        <v>11662989.091221647</v>
      </c>
      <c r="J23" s="75"/>
      <c r="K23" s="75">
        <v>13589051.888506498</v>
      </c>
      <c r="L23" s="4"/>
      <c r="M23" s="4">
        <f t="shared" si="1"/>
        <v>29218414.037063833</v>
      </c>
      <c r="P23" s="30"/>
      <c r="R23" s="78"/>
      <c r="S23" s="78"/>
      <c r="T23" s="30"/>
      <c r="V23" s="30"/>
    </row>
    <row r="24" spans="1:22">
      <c r="A24" s="61">
        <f t="shared" si="0"/>
        <v>14</v>
      </c>
      <c r="B24" s="61"/>
      <c r="C24" s="79" t="s">
        <v>202</v>
      </c>
      <c r="D24" s="79"/>
      <c r="E24" s="4">
        <f>AVERAGE(E11:E23)</f>
        <v>25706826.595387582</v>
      </c>
      <c r="F24" s="4"/>
      <c r="G24" s="4">
        <f>AVERAGE(G11:G23)</f>
        <v>4644499.3088136623</v>
      </c>
      <c r="H24" s="4"/>
      <c r="I24" s="4">
        <f>AVERAGE(I11:I23)</f>
        <v>11794492.652230131</v>
      </c>
      <c r="J24" s="4"/>
      <c r="K24" s="4">
        <f>AVERAGE(K11:K23)</f>
        <v>12900163.604274737</v>
      </c>
      <c r="L24" s="4"/>
      <c r="M24" s="4">
        <f>AVERAGE(M11:M23)</f>
        <v>29245654.952156644</v>
      </c>
      <c r="P24" s="30"/>
      <c r="R24" s="78"/>
      <c r="T24" s="30"/>
      <c r="V24" s="30"/>
    </row>
    <row r="25" spans="1:22">
      <c r="A25" s="61">
        <f t="shared" si="0"/>
        <v>15</v>
      </c>
      <c r="B25" s="61"/>
      <c r="C25" s="66"/>
      <c r="D25" s="66"/>
    </row>
    <row r="26" spans="1:22">
      <c r="A26" s="61">
        <f t="shared" si="0"/>
        <v>16</v>
      </c>
      <c r="B26" s="65" t="s">
        <v>201</v>
      </c>
      <c r="D26" s="65"/>
    </row>
    <row r="27" spans="1:22">
      <c r="A27" s="61">
        <f t="shared" si="0"/>
        <v>17</v>
      </c>
      <c r="B27" s="65" t="s">
        <v>200</v>
      </c>
      <c r="D27" s="65"/>
    </row>
    <row r="28" spans="1:22">
      <c r="A28" s="61">
        <f t="shared" si="0"/>
        <v>18</v>
      </c>
      <c r="B28" s="65" t="s">
        <v>221</v>
      </c>
      <c r="D28" s="65"/>
    </row>
    <row r="29" spans="1:22">
      <c r="B29" s="65" t="s">
        <v>222</v>
      </c>
    </row>
    <row r="34" spans="1:13">
      <c r="A34" s="57"/>
      <c r="B34" s="57"/>
      <c r="C34" s="64"/>
      <c r="D34" s="64"/>
      <c r="E34" s="64"/>
      <c r="F34" s="64"/>
      <c r="G34" s="4"/>
      <c r="H34" s="64"/>
      <c r="I34" s="4"/>
      <c r="J34" s="4"/>
      <c r="K34" s="4"/>
      <c r="L34" s="4"/>
      <c r="M34" s="4"/>
    </row>
    <row r="35" spans="1:13">
      <c r="A35" s="57"/>
      <c r="B35" s="57"/>
      <c r="C35" s="18"/>
      <c r="D35" s="18"/>
      <c r="E35" s="18"/>
      <c r="F35" s="18"/>
      <c r="G35" s="63"/>
      <c r="H35" s="18"/>
      <c r="I35" s="63"/>
      <c r="J35" s="63"/>
      <c r="K35" s="63"/>
      <c r="L35" s="63"/>
      <c r="M35" s="63"/>
    </row>
    <row r="36" spans="1:13">
      <c r="A36" s="57"/>
      <c r="B36" s="57"/>
      <c r="C36" s="58"/>
      <c r="D36" s="58"/>
      <c r="G36" s="62"/>
      <c r="I36" s="62"/>
      <c r="J36" s="62"/>
      <c r="K36" s="62"/>
      <c r="L36" s="62"/>
      <c r="M36" s="62"/>
    </row>
    <row r="37" spans="1:13">
      <c r="A37" s="61"/>
      <c r="B37" s="61"/>
      <c r="C37" s="60"/>
      <c r="D37" s="60"/>
      <c r="E37" s="59"/>
      <c r="F37" s="59"/>
      <c r="G37" s="56"/>
      <c r="H37" s="59"/>
      <c r="I37" s="56"/>
      <c r="J37" s="56"/>
      <c r="K37" s="56"/>
      <c r="L37" s="56"/>
      <c r="M37" s="56"/>
    </row>
    <row r="38" spans="1:13">
      <c r="A38" s="57"/>
      <c r="B38" s="57"/>
      <c r="C38" s="58"/>
      <c r="D38" s="58"/>
      <c r="E38" s="30"/>
      <c r="F38" s="30"/>
      <c r="G38" s="56"/>
      <c r="H38" s="30"/>
      <c r="I38" s="56"/>
      <c r="J38" s="56"/>
      <c r="K38" s="56"/>
      <c r="L38" s="56"/>
      <c r="M38" s="56"/>
    </row>
    <row r="39" spans="1:13">
      <c r="A39" s="57"/>
      <c r="B39" s="57"/>
      <c r="C39" s="30"/>
      <c r="D39" s="30"/>
      <c r="E39" s="30"/>
      <c r="F39" s="30"/>
      <c r="G39" s="56"/>
      <c r="H39" s="30"/>
      <c r="I39" s="56"/>
      <c r="J39" s="56"/>
      <c r="K39" s="56"/>
      <c r="L39" s="56"/>
      <c r="M39" s="56"/>
    </row>
  </sheetData>
  <mergeCells count="3">
    <mergeCell ref="A3:M3"/>
    <mergeCell ref="A4:M4"/>
    <mergeCell ref="A5:M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T39"/>
  <sheetViews>
    <sheetView workbookViewId="0">
      <selection activeCell="L25" sqref="L25"/>
    </sheetView>
  </sheetViews>
  <sheetFormatPr defaultRowHeight="15"/>
  <cols>
    <col min="1" max="1" width="3.44140625" bestFit="1" customWidth="1"/>
    <col min="2" max="2" width="3.44140625" customWidth="1"/>
    <col min="3" max="3" width="13.33203125" customWidth="1"/>
    <col min="4" max="4" width="2.77734375" customWidth="1"/>
    <col min="5" max="5" width="15.3320312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.109375" customWidth="1"/>
    <col min="11" max="11" width="13.5546875" bestFit="1" customWidth="1"/>
    <col min="12" max="13" width="9.33203125" customWidth="1"/>
    <col min="14" max="14" width="10.33203125" bestFit="1" customWidth="1"/>
    <col min="16" max="16" width="9.21875" bestFit="1" customWidth="1"/>
    <col min="18" max="18" width="10.88671875" bestFit="1" customWidth="1"/>
    <col min="259" max="259" width="3.44140625" bestFit="1" customWidth="1"/>
    <col min="260" max="260" width="3.44140625" customWidth="1"/>
    <col min="261" max="261" width="13.33203125" customWidth="1"/>
    <col min="262" max="262" width="2.77734375" customWidth="1"/>
    <col min="263" max="263" width="15.33203125" customWidth="1"/>
    <col min="264" max="264" width="3" customWidth="1"/>
    <col min="265" max="265" width="11.88671875" bestFit="1" customWidth="1"/>
    <col min="266" max="266" width="3.109375" customWidth="1"/>
    <col min="267" max="267" width="13.5546875" bestFit="1" customWidth="1"/>
    <col min="268" max="269" width="9.33203125" customWidth="1"/>
    <col min="515" max="515" width="3.44140625" bestFit="1" customWidth="1"/>
    <col min="516" max="516" width="3.44140625" customWidth="1"/>
    <col min="517" max="517" width="13.33203125" customWidth="1"/>
    <col min="518" max="518" width="2.77734375" customWidth="1"/>
    <col min="519" max="519" width="15.33203125" customWidth="1"/>
    <col min="520" max="520" width="3" customWidth="1"/>
    <col min="521" max="521" width="11.88671875" bestFit="1" customWidth="1"/>
    <col min="522" max="522" width="3.109375" customWidth="1"/>
    <col min="523" max="523" width="13.5546875" bestFit="1" customWidth="1"/>
    <col min="524" max="525" width="9.33203125" customWidth="1"/>
    <col min="771" max="771" width="3.44140625" bestFit="1" customWidth="1"/>
    <col min="772" max="772" width="3.44140625" customWidth="1"/>
    <col min="773" max="773" width="13.33203125" customWidth="1"/>
    <col min="774" max="774" width="2.77734375" customWidth="1"/>
    <col min="775" max="775" width="15.33203125" customWidth="1"/>
    <col min="776" max="776" width="3" customWidth="1"/>
    <col min="777" max="777" width="11.88671875" bestFit="1" customWidth="1"/>
    <col min="778" max="778" width="3.109375" customWidth="1"/>
    <col min="779" max="779" width="13.5546875" bestFit="1" customWidth="1"/>
    <col min="780" max="781" width="9.33203125" customWidth="1"/>
    <col min="1027" max="1027" width="3.44140625" bestFit="1" customWidth="1"/>
    <col min="1028" max="1028" width="3.44140625" customWidth="1"/>
    <col min="1029" max="1029" width="13.33203125" customWidth="1"/>
    <col min="1030" max="1030" width="2.77734375" customWidth="1"/>
    <col min="1031" max="1031" width="15.33203125" customWidth="1"/>
    <col min="1032" max="1032" width="3" customWidth="1"/>
    <col min="1033" max="1033" width="11.88671875" bestFit="1" customWidth="1"/>
    <col min="1034" max="1034" width="3.109375" customWidth="1"/>
    <col min="1035" max="1035" width="13.5546875" bestFit="1" customWidth="1"/>
    <col min="1036" max="1037" width="9.33203125" customWidth="1"/>
    <col min="1283" max="1283" width="3.44140625" bestFit="1" customWidth="1"/>
    <col min="1284" max="1284" width="3.44140625" customWidth="1"/>
    <col min="1285" max="1285" width="13.33203125" customWidth="1"/>
    <col min="1286" max="1286" width="2.77734375" customWidth="1"/>
    <col min="1287" max="1287" width="15.33203125" customWidth="1"/>
    <col min="1288" max="1288" width="3" customWidth="1"/>
    <col min="1289" max="1289" width="11.88671875" bestFit="1" customWidth="1"/>
    <col min="1290" max="1290" width="3.109375" customWidth="1"/>
    <col min="1291" max="1291" width="13.5546875" bestFit="1" customWidth="1"/>
    <col min="1292" max="1293" width="9.33203125" customWidth="1"/>
    <col min="1539" max="1539" width="3.44140625" bestFit="1" customWidth="1"/>
    <col min="1540" max="1540" width="3.44140625" customWidth="1"/>
    <col min="1541" max="1541" width="13.33203125" customWidth="1"/>
    <col min="1542" max="1542" width="2.77734375" customWidth="1"/>
    <col min="1543" max="1543" width="15.33203125" customWidth="1"/>
    <col min="1544" max="1544" width="3" customWidth="1"/>
    <col min="1545" max="1545" width="11.88671875" bestFit="1" customWidth="1"/>
    <col min="1546" max="1546" width="3.109375" customWidth="1"/>
    <col min="1547" max="1547" width="13.5546875" bestFit="1" customWidth="1"/>
    <col min="1548" max="1549" width="9.33203125" customWidth="1"/>
    <col min="1795" max="1795" width="3.44140625" bestFit="1" customWidth="1"/>
    <col min="1796" max="1796" width="3.44140625" customWidth="1"/>
    <col min="1797" max="1797" width="13.33203125" customWidth="1"/>
    <col min="1798" max="1798" width="2.77734375" customWidth="1"/>
    <col min="1799" max="1799" width="15.33203125" customWidth="1"/>
    <col min="1800" max="1800" width="3" customWidth="1"/>
    <col min="1801" max="1801" width="11.88671875" bestFit="1" customWidth="1"/>
    <col min="1802" max="1802" width="3.109375" customWidth="1"/>
    <col min="1803" max="1803" width="13.5546875" bestFit="1" customWidth="1"/>
    <col min="1804" max="1805" width="9.33203125" customWidth="1"/>
    <col min="2051" max="2051" width="3.44140625" bestFit="1" customWidth="1"/>
    <col min="2052" max="2052" width="3.44140625" customWidth="1"/>
    <col min="2053" max="2053" width="13.33203125" customWidth="1"/>
    <col min="2054" max="2054" width="2.77734375" customWidth="1"/>
    <col min="2055" max="2055" width="15.33203125" customWidth="1"/>
    <col min="2056" max="2056" width="3" customWidth="1"/>
    <col min="2057" max="2057" width="11.88671875" bestFit="1" customWidth="1"/>
    <col min="2058" max="2058" width="3.109375" customWidth="1"/>
    <col min="2059" max="2059" width="13.5546875" bestFit="1" customWidth="1"/>
    <col min="2060" max="2061" width="9.33203125" customWidth="1"/>
    <col min="2307" max="2307" width="3.44140625" bestFit="1" customWidth="1"/>
    <col min="2308" max="2308" width="3.44140625" customWidth="1"/>
    <col min="2309" max="2309" width="13.33203125" customWidth="1"/>
    <col min="2310" max="2310" width="2.77734375" customWidth="1"/>
    <col min="2311" max="2311" width="15.33203125" customWidth="1"/>
    <col min="2312" max="2312" width="3" customWidth="1"/>
    <col min="2313" max="2313" width="11.88671875" bestFit="1" customWidth="1"/>
    <col min="2314" max="2314" width="3.109375" customWidth="1"/>
    <col min="2315" max="2315" width="13.5546875" bestFit="1" customWidth="1"/>
    <col min="2316" max="2317" width="9.33203125" customWidth="1"/>
    <col min="2563" max="2563" width="3.44140625" bestFit="1" customWidth="1"/>
    <col min="2564" max="2564" width="3.44140625" customWidth="1"/>
    <col min="2565" max="2565" width="13.33203125" customWidth="1"/>
    <col min="2566" max="2566" width="2.77734375" customWidth="1"/>
    <col min="2567" max="2567" width="15.33203125" customWidth="1"/>
    <col min="2568" max="2568" width="3" customWidth="1"/>
    <col min="2569" max="2569" width="11.88671875" bestFit="1" customWidth="1"/>
    <col min="2570" max="2570" width="3.109375" customWidth="1"/>
    <col min="2571" max="2571" width="13.5546875" bestFit="1" customWidth="1"/>
    <col min="2572" max="2573" width="9.33203125" customWidth="1"/>
    <col min="2819" max="2819" width="3.44140625" bestFit="1" customWidth="1"/>
    <col min="2820" max="2820" width="3.44140625" customWidth="1"/>
    <col min="2821" max="2821" width="13.33203125" customWidth="1"/>
    <col min="2822" max="2822" width="2.77734375" customWidth="1"/>
    <col min="2823" max="2823" width="15.33203125" customWidth="1"/>
    <col min="2824" max="2824" width="3" customWidth="1"/>
    <col min="2825" max="2825" width="11.88671875" bestFit="1" customWidth="1"/>
    <col min="2826" max="2826" width="3.109375" customWidth="1"/>
    <col min="2827" max="2827" width="13.5546875" bestFit="1" customWidth="1"/>
    <col min="2828" max="2829" width="9.33203125" customWidth="1"/>
    <col min="3075" max="3075" width="3.44140625" bestFit="1" customWidth="1"/>
    <col min="3076" max="3076" width="3.44140625" customWidth="1"/>
    <col min="3077" max="3077" width="13.33203125" customWidth="1"/>
    <col min="3078" max="3078" width="2.77734375" customWidth="1"/>
    <col min="3079" max="3079" width="15.33203125" customWidth="1"/>
    <col min="3080" max="3080" width="3" customWidth="1"/>
    <col min="3081" max="3081" width="11.88671875" bestFit="1" customWidth="1"/>
    <col min="3082" max="3082" width="3.109375" customWidth="1"/>
    <col min="3083" max="3083" width="13.5546875" bestFit="1" customWidth="1"/>
    <col min="3084" max="3085" width="9.33203125" customWidth="1"/>
    <col min="3331" max="3331" width="3.44140625" bestFit="1" customWidth="1"/>
    <col min="3332" max="3332" width="3.44140625" customWidth="1"/>
    <col min="3333" max="3333" width="13.33203125" customWidth="1"/>
    <col min="3334" max="3334" width="2.77734375" customWidth="1"/>
    <col min="3335" max="3335" width="15.33203125" customWidth="1"/>
    <col min="3336" max="3336" width="3" customWidth="1"/>
    <col min="3337" max="3337" width="11.88671875" bestFit="1" customWidth="1"/>
    <col min="3338" max="3338" width="3.109375" customWidth="1"/>
    <col min="3339" max="3339" width="13.5546875" bestFit="1" customWidth="1"/>
    <col min="3340" max="3341" width="9.33203125" customWidth="1"/>
    <col min="3587" max="3587" width="3.44140625" bestFit="1" customWidth="1"/>
    <col min="3588" max="3588" width="3.44140625" customWidth="1"/>
    <col min="3589" max="3589" width="13.33203125" customWidth="1"/>
    <col min="3590" max="3590" width="2.77734375" customWidth="1"/>
    <col min="3591" max="3591" width="15.33203125" customWidth="1"/>
    <col min="3592" max="3592" width="3" customWidth="1"/>
    <col min="3593" max="3593" width="11.88671875" bestFit="1" customWidth="1"/>
    <col min="3594" max="3594" width="3.109375" customWidth="1"/>
    <col min="3595" max="3595" width="13.5546875" bestFit="1" customWidth="1"/>
    <col min="3596" max="3597" width="9.33203125" customWidth="1"/>
    <col min="3843" max="3843" width="3.44140625" bestFit="1" customWidth="1"/>
    <col min="3844" max="3844" width="3.44140625" customWidth="1"/>
    <col min="3845" max="3845" width="13.33203125" customWidth="1"/>
    <col min="3846" max="3846" width="2.77734375" customWidth="1"/>
    <col min="3847" max="3847" width="15.33203125" customWidth="1"/>
    <col min="3848" max="3848" width="3" customWidth="1"/>
    <col min="3849" max="3849" width="11.88671875" bestFit="1" customWidth="1"/>
    <col min="3850" max="3850" width="3.109375" customWidth="1"/>
    <col min="3851" max="3851" width="13.5546875" bestFit="1" customWidth="1"/>
    <col min="3852" max="3853" width="9.33203125" customWidth="1"/>
    <col min="4099" max="4099" width="3.44140625" bestFit="1" customWidth="1"/>
    <col min="4100" max="4100" width="3.44140625" customWidth="1"/>
    <col min="4101" max="4101" width="13.33203125" customWidth="1"/>
    <col min="4102" max="4102" width="2.77734375" customWidth="1"/>
    <col min="4103" max="4103" width="15.33203125" customWidth="1"/>
    <col min="4104" max="4104" width="3" customWidth="1"/>
    <col min="4105" max="4105" width="11.88671875" bestFit="1" customWidth="1"/>
    <col min="4106" max="4106" width="3.109375" customWidth="1"/>
    <col min="4107" max="4107" width="13.5546875" bestFit="1" customWidth="1"/>
    <col min="4108" max="4109" width="9.33203125" customWidth="1"/>
    <col min="4355" max="4355" width="3.44140625" bestFit="1" customWidth="1"/>
    <col min="4356" max="4356" width="3.44140625" customWidth="1"/>
    <col min="4357" max="4357" width="13.33203125" customWidth="1"/>
    <col min="4358" max="4358" width="2.77734375" customWidth="1"/>
    <col min="4359" max="4359" width="15.33203125" customWidth="1"/>
    <col min="4360" max="4360" width="3" customWidth="1"/>
    <col min="4361" max="4361" width="11.88671875" bestFit="1" customWidth="1"/>
    <col min="4362" max="4362" width="3.109375" customWidth="1"/>
    <col min="4363" max="4363" width="13.5546875" bestFit="1" customWidth="1"/>
    <col min="4364" max="4365" width="9.33203125" customWidth="1"/>
    <col min="4611" max="4611" width="3.44140625" bestFit="1" customWidth="1"/>
    <col min="4612" max="4612" width="3.44140625" customWidth="1"/>
    <col min="4613" max="4613" width="13.33203125" customWidth="1"/>
    <col min="4614" max="4614" width="2.77734375" customWidth="1"/>
    <col min="4615" max="4615" width="15.33203125" customWidth="1"/>
    <col min="4616" max="4616" width="3" customWidth="1"/>
    <col min="4617" max="4617" width="11.88671875" bestFit="1" customWidth="1"/>
    <col min="4618" max="4618" width="3.109375" customWidth="1"/>
    <col min="4619" max="4619" width="13.5546875" bestFit="1" customWidth="1"/>
    <col min="4620" max="4621" width="9.33203125" customWidth="1"/>
    <col min="4867" max="4867" width="3.44140625" bestFit="1" customWidth="1"/>
    <col min="4868" max="4868" width="3.44140625" customWidth="1"/>
    <col min="4869" max="4869" width="13.33203125" customWidth="1"/>
    <col min="4870" max="4870" width="2.77734375" customWidth="1"/>
    <col min="4871" max="4871" width="15.33203125" customWidth="1"/>
    <col min="4872" max="4872" width="3" customWidth="1"/>
    <col min="4873" max="4873" width="11.88671875" bestFit="1" customWidth="1"/>
    <col min="4874" max="4874" width="3.109375" customWidth="1"/>
    <col min="4875" max="4875" width="13.5546875" bestFit="1" customWidth="1"/>
    <col min="4876" max="4877" width="9.33203125" customWidth="1"/>
    <col min="5123" max="5123" width="3.44140625" bestFit="1" customWidth="1"/>
    <col min="5124" max="5124" width="3.44140625" customWidth="1"/>
    <col min="5125" max="5125" width="13.33203125" customWidth="1"/>
    <col min="5126" max="5126" width="2.77734375" customWidth="1"/>
    <col min="5127" max="5127" width="15.33203125" customWidth="1"/>
    <col min="5128" max="5128" width="3" customWidth="1"/>
    <col min="5129" max="5129" width="11.88671875" bestFit="1" customWidth="1"/>
    <col min="5130" max="5130" width="3.109375" customWidth="1"/>
    <col min="5131" max="5131" width="13.5546875" bestFit="1" customWidth="1"/>
    <col min="5132" max="5133" width="9.33203125" customWidth="1"/>
    <col min="5379" max="5379" width="3.44140625" bestFit="1" customWidth="1"/>
    <col min="5380" max="5380" width="3.44140625" customWidth="1"/>
    <col min="5381" max="5381" width="13.33203125" customWidth="1"/>
    <col min="5382" max="5382" width="2.77734375" customWidth="1"/>
    <col min="5383" max="5383" width="15.33203125" customWidth="1"/>
    <col min="5384" max="5384" width="3" customWidth="1"/>
    <col min="5385" max="5385" width="11.88671875" bestFit="1" customWidth="1"/>
    <col min="5386" max="5386" width="3.109375" customWidth="1"/>
    <col min="5387" max="5387" width="13.5546875" bestFit="1" customWidth="1"/>
    <col min="5388" max="5389" width="9.33203125" customWidth="1"/>
    <col min="5635" max="5635" width="3.44140625" bestFit="1" customWidth="1"/>
    <col min="5636" max="5636" width="3.44140625" customWidth="1"/>
    <col min="5637" max="5637" width="13.33203125" customWidth="1"/>
    <col min="5638" max="5638" width="2.77734375" customWidth="1"/>
    <col min="5639" max="5639" width="15.33203125" customWidth="1"/>
    <col min="5640" max="5640" width="3" customWidth="1"/>
    <col min="5641" max="5641" width="11.88671875" bestFit="1" customWidth="1"/>
    <col min="5642" max="5642" width="3.109375" customWidth="1"/>
    <col min="5643" max="5643" width="13.5546875" bestFit="1" customWidth="1"/>
    <col min="5644" max="5645" width="9.33203125" customWidth="1"/>
    <col min="5891" max="5891" width="3.44140625" bestFit="1" customWidth="1"/>
    <col min="5892" max="5892" width="3.44140625" customWidth="1"/>
    <col min="5893" max="5893" width="13.33203125" customWidth="1"/>
    <col min="5894" max="5894" width="2.77734375" customWidth="1"/>
    <col min="5895" max="5895" width="15.33203125" customWidth="1"/>
    <col min="5896" max="5896" width="3" customWidth="1"/>
    <col min="5897" max="5897" width="11.88671875" bestFit="1" customWidth="1"/>
    <col min="5898" max="5898" width="3.109375" customWidth="1"/>
    <col min="5899" max="5899" width="13.5546875" bestFit="1" customWidth="1"/>
    <col min="5900" max="5901" width="9.33203125" customWidth="1"/>
    <col min="6147" max="6147" width="3.44140625" bestFit="1" customWidth="1"/>
    <col min="6148" max="6148" width="3.44140625" customWidth="1"/>
    <col min="6149" max="6149" width="13.33203125" customWidth="1"/>
    <col min="6150" max="6150" width="2.77734375" customWidth="1"/>
    <col min="6151" max="6151" width="15.33203125" customWidth="1"/>
    <col min="6152" max="6152" width="3" customWidth="1"/>
    <col min="6153" max="6153" width="11.88671875" bestFit="1" customWidth="1"/>
    <col min="6154" max="6154" width="3.109375" customWidth="1"/>
    <col min="6155" max="6155" width="13.5546875" bestFit="1" customWidth="1"/>
    <col min="6156" max="6157" width="9.33203125" customWidth="1"/>
    <col min="6403" max="6403" width="3.44140625" bestFit="1" customWidth="1"/>
    <col min="6404" max="6404" width="3.44140625" customWidth="1"/>
    <col min="6405" max="6405" width="13.33203125" customWidth="1"/>
    <col min="6406" max="6406" width="2.77734375" customWidth="1"/>
    <col min="6407" max="6407" width="15.33203125" customWidth="1"/>
    <col min="6408" max="6408" width="3" customWidth="1"/>
    <col min="6409" max="6409" width="11.88671875" bestFit="1" customWidth="1"/>
    <col min="6410" max="6410" width="3.109375" customWidth="1"/>
    <col min="6411" max="6411" width="13.5546875" bestFit="1" customWidth="1"/>
    <col min="6412" max="6413" width="9.33203125" customWidth="1"/>
    <col min="6659" max="6659" width="3.44140625" bestFit="1" customWidth="1"/>
    <col min="6660" max="6660" width="3.44140625" customWidth="1"/>
    <col min="6661" max="6661" width="13.33203125" customWidth="1"/>
    <col min="6662" max="6662" width="2.77734375" customWidth="1"/>
    <col min="6663" max="6663" width="15.33203125" customWidth="1"/>
    <col min="6664" max="6664" width="3" customWidth="1"/>
    <col min="6665" max="6665" width="11.88671875" bestFit="1" customWidth="1"/>
    <col min="6666" max="6666" width="3.109375" customWidth="1"/>
    <col min="6667" max="6667" width="13.5546875" bestFit="1" customWidth="1"/>
    <col min="6668" max="6669" width="9.33203125" customWidth="1"/>
    <col min="6915" max="6915" width="3.44140625" bestFit="1" customWidth="1"/>
    <col min="6916" max="6916" width="3.44140625" customWidth="1"/>
    <col min="6917" max="6917" width="13.33203125" customWidth="1"/>
    <col min="6918" max="6918" width="2.77734375" customWidth="1"/>
    <col min="6919" max="6919" width="15.33203125" customWidth="1"/>
    <col min="6920" max="6920" width="3" customWidth="1"/>
    <col min="6921" max="6921" width="11.88671875" bestFit="1" customWidth="1"/>
    <col min="6922" max="6922" width="3.109375" customWidth="1"/>
    <col min="6923" max="6923" width="13.5546875" bestFit="1" customWidth="1"/>
    <col min="6924" max="6925" width="9.33203125" customWidth="1"/>
    <col min="7171" max="7171" width="3.44140625" bestFit="1" customWidth="1"/>
    <col min="7172" max="7172" width="3.44140625" customWidth="1"/>
    <col min="7173" max="7173" width="13.33203125" customWidth="1"/>
    <col min="7174" max="7174" width="2.77734375" customWidth="1"/>
    <col min="7175" max="7175" width="15.33203125" customWidth="1"/>
    <col min="7176" max="7176" width="3" customWidth="1"/>
    <col min="7177" max="7177" width="11.88671875" bestFit="1" customWidth="1"/>
    <col min="7178" max="7178" width="3.109375" customWidth="1"/>
    <col min="7179" max="7179" width="13.5546875" bestFit="1" customWidth="1"/>
    <col min="7180" max="7181" width="9.33203125" customWidth="1"/>
    <col min="7427" max="7427" width="3.44140625" bestFit="1" customWidth="1"/>
    <col min="7428" max="7428" width="3.44140625" customWidth="1"/>
    <col min="7429" max="7429" width="13.33203125" customWidth="1"/>
    <col min="7430" max="7430" width="2.77734375" customWidth="1"/>
    <col min="7431" max="7431" width="15.33203125" customWidth="1"/>
    <col min="7432" max="7432" width="3" customWidth="1"/>
    <col min="7433" max="7433" width="11.88671875" bestFit="1" customWidth="1"/>
    <col min="7434" max="7434" width="3.109375" customWidth="1"/>
    <col min="7435" max="7435" width="13.5546875" bestFit="1" customWidth="1"/>
    <col min="7436" max="7437" width="9.33203125" customWidth="1"/>
    <col min="7683" max="7683" width="3.44140625" bestFit="1" customWidth="1"/>
    <col min="7684" max="7684" width="3.44140625" customWidth="1"/>
    <col min="7685" max="7685" width="13.33203125" customWidth="1"/>
    <col min="7686" max="7686" width="2.77734375" customWidth="1"/>
    <col min="7687" max="7687" width="15.33203125" customWidth="1"/>
    <col min="7688" max="7688" width="3" customWidth="1"/>
    <col min="7689" max="7689" width="11.88671875" bestFit="1" customWidth="1"/>
    <col min="7690" max="7690" width="3.109375" customWidth="1"/>
    <col min="7691" max="7691" width="13.5546875" bestFit="1" customWidth="1"/>
    <col min="7692" max="7693" width="9.33203125" customWidth="1"/>
    <col min="7939" max="7939" width="3.44140625" bestFit="1" customWidth="1"/>
    <col min="7940" max="7940" width="3.44140625" customWidth="1"/>
    <col min="7941" max="7941" width="13.33203125" customWidth="1"/>
    <col min="7942" max="7942" width="2.77734375" customWidth="1"/>
    <col min="7943" max="7943" width="15.33203125" customWidth="1"/>
    <col min="7944" max="7944" width="3" customWidth="1"/>
    <col min="7945" max="7945" width="11.88671875" bestFit="1" customWidth="1"/>
    <col min="7946" max="7946" width="3.109375" customWidth="1"/>
    <col min="7947" max="7947" width="13.5546875" bestFit="1" customWidth="1"/>
    <col min="7948" max="7949" width="9.33203125" customWidth="1"/>
    <col min="8195" max="8195" width="3.44140625" bestFit="1" customWidth="1"/>
    <col min="8196" max="8196" width="3.44140625" customWidth="1"/>
    <col min="8197" max="8197" width="13.33203125" customWidth="1"/>
    <col min="8198" max="8198" width="2.77734375" customWidth="1"/>
    <col min="8199" max="8199" width="15.33203125" customWidth="1"/>
    <col min="8200" max="8200" width="3" customWidth="1"/>
    <col min="8201" max="8201" width="11.88671875" bestFit="1" customWidth="1"/>
    <col min="8202" max="8202" width="3.109375" customWidth="1"/>
    <col min="8203" max="8203" width="13.5546875" bestFit="1" customWidth="1"/>
    <col min="8204" max="8205" width="9.33203125" customWidth="1"/>
    <col min="8451" max="8451" width="3.44140625" bestFit="1" customWidth="1"/>
    <col min="8452" max="8452" width="3.44140625" customWidth="1"/>
    <col min="8453" max="8453" width="13.33203125" customWidth="1"/>
    <col min="8454" max="8454" width="2.77734375" customWidth="1"/>
    <col min="8455" max="8455" width="15.33203125" customWidth="1"/>
    <col min="8456" max="8456" width="3" customWidth="1"/>
    <col min="8457" max="8457" width="11.88671875" bestFit="1" customWidth="1"/>
    <col min="8458" max="8458" width="3.109375" customWidth="1"/>
    <col min="8459" max="8459" width="13.5546875" bestFit="1" customWidth="1"/>
    <col min="8460" max="8461" width="9.33203125" customWidth="1"/>
    <col min="8707" max="8707" width="3.44140625" bestFit="1" customWidth="1"/>
    <col min="8708" max="8708" width="3.44140625" customWidth="1"/>
    <col min="8709" max="8709" width="13.33203125" customWidth="1"/>
    <col min="8710" max="8710" width="2.77734375" customWidth="1"/>
    <col min="8711" max="8711" width="15.33203125" customWidth="1"/>
    <col min="8712" max="8712" width="3" customWidth="1"/>
    <col min="8713" max="8713" width="11.88671875" bestFit="1" customWidth="1"/>
    <col min="8714" max="8714" width="3.109375" customWidth="1"/>
    <col min="8715" max="8715" width="13.5546875" bestFit="1" customWidth="1"/>
    <col min="8716" max="8717" width="9.33203125" customWidth="1"/>
    <col min="8963" max="8963" width="3.44140625" bestFit="1" customWidth="1"/>
    <col min="8964" max="8964" width="3.44140625" customWidth="1"/>
    <col min="8965" max="8965" width="13.33203125" customWidth="1"/>
    <col min="8966" max="8966" width="2.77734375" customWidth="1"/>
    <col min="8967" max="8967" width="15.33203125" customWidth="1"/>
    <col min="8968" max="8968" width="3" customWidth="1"/>
    <col min="8969" max="8969" width="11.88671875" bestFit="1" customWidth="1"/>
    <col min="8970" max="8970" width="3.109375" customWidth="1"/>
    <col min="8971" max="8971" width="13.5546875" bestFit="1" customWidth="1"/>
    <col min="8972" max="8973" width="9.33203125" customWidth="1"/>
    <col min="9219" max="9219" width="3.44140625" bestFit="1" customWidth="1"/>
    <col min="9220" max="9220" width="3.44140625" customWidth="1"/>
    <col min="9221" max="9221" width="13.33203125" customWidth="1"/>
    <col min="9222" max="9222" width="2.77734375" customWidth="1"/>
    <col min="9223" max="9223" width="15.33203125" customWidth="1"/>
    <col min="9224" max="9224" width="3" customWidth="1"/>
    <col min="9225" max="9225" width="11.88671875" bestFit="1" customWidth="1"/>
    <col min="9226" max="9226" width="3.109375" customWidth="1"/>
    <col min="9227" max="9227" width="13.5546875" bestFit="1" customWidth="1"/>
    <col min="9228" max="9229" width="9.33203125" customWidth="1"/>
    <col min="9475" max="9475" width="3.44140625" bestFit="1" customWidth="1"/>
    <col min="9476" max="9476" width="3.44140625" customWidth="1"/>
    <col min="9477" max="9477" width="13.33203125" customWidth="1"/>
    <col min="9478" max="9478" width="2.77734375" customWidth="1"/>
    <col min="9479" max="9479" width="15.33203125" customWidth="1"/>
    <col min="9480" max="9480" width="3" customWidth="1"/>
    <col min="9481" max="9481" width="11.88671875" bestFit="1" customWidth="1"/>
    <col min="9482" max="9482" width="3.109375" customWidth="1"/>
    <col min="9483" max="9483" width="13.5546875" bestFit="1" customWidth="1"/>
    <col min="9484" max="9485" width="9.33203125" customWidth="1"/>
    <col min="9731" max="9731" width="3.44140625" bestFit="1" customWidth="1"/>
    <col min="9732" max="9732" width="3.44140625" customWidth="1"/>
    <col min="9733" max="9733" width="13.33203125" customWidth="1"/>
    <col min="9734" max="9734" width="2.77734375" customWidth="1"/>
    <col min="9735" max="9735" width="15.33203125" customWidth="1"/>
    <col min="9736" max="9736" width="3" customWidth="1"/>
    <col min="9737" max="9737" width="11.88671875" bestFit="1" customWidth="1"/>
    <col min="9738" max="9738" width="3.109375" customWidth="1"/>
    <col min="9739" max="9739" width="13.5546875" bestFit="1" customWidth="1"/>
    <col min="9740" max="9741" width="9.33203125" customWidth="1"/>
    <col min="9987" max="9987" width="3.44140625" bestFit="1" customWidth="1"/>
    <col min="9988" max="9988" width="3.44140625" customWidth="1"/>
    <col min="9989" max="9989" width="13.33203125" customWidth="1"/>
    <col min="9990" max="9990" width="2.77734375" customWidth="1"/>
    <col min="9991" max="9991" width="15.33203125" customWidth="1"/>
    <col min="9992" max="9992" width="3" customWidth="1"/>
    <col min="9993" max="9993" width="11.88671875" bestFit="1" customWidth="1"/>
    <col min="9994" max="9994" width="3.109375" customWidth="1"/>
    <col min="9995" max="9995" width="13.5546875" bestFit="1" customWidth="1"/>
    <col min="9996" max="9997" width="9.33203125" customWidth="1"/>
    <col min="10243" max="10243" width="3.44140625" bestFit="1" customWidth="1"/>
    <col min="10244" max="10244" width="3.44140625" customWidth="1"/>
    <col min="10245" max="10245" width="13.33203125" customWidth="1"/>
    <col min="10246" max="10246" width="2.77734375" customWidth="1"/>
    <col min="10247" max="10247" width="15.33203125" customWidth="1"/>
    <col min="10248" max="10248" width="3" customWidth="1"/>
    <col min="10249" max="10249" width="11.88671875" bestFit="1" customWidth="1"/>
    <col min="10250" max="10250" width="3.109375" customWidth="1"/>
    <col min="10251" max="10251" width="13.5546875" bestFit="1" customWidth="1"/>
    <col min="10252" max="10253" width="9.33203125" customWidth="1"/>
    <col min="10499" max="10499" width="3.44140625" bestFit="1" customWidth="1"/>
    <col min="10500" max="10500" width="3.44140625" customWidth="1"/>
    <col min="10501" max="10501" width="13.33203125" customWidth="1"/>
    <col min="10502" max="10502" width="2.77734375" customWidth="1"/>
    <col min="10503" max="10503" width="15.33203125" customWidth="1"/>
    <col min="10504" max="10504" width="3" customWidth="1"/>
    <col min="10505" max="10505" width="11.88671875" bestFit="1" customWidth="1"/>
    <col min="10506" max="10506" width="3.109375" customWidth="1"/>
    <col min="10507" max="10507" width="13.5546875" bestFit="1" customWidth="1"/>
    <col min="10508" max="10509" width="9.33203125" customWidth="1"/>
    <col min="10755" max="10755" width="3.44140625" bestFit="1" customWidth="1"/>
    <col min="10756" max="10756" width="3.44140625" customWidth="1"/>
    <col min="10757" max="10757" width="13.33203125" customWidth="1"/>
    <col min="10758" max="10758" width="2.77734375" customWidth="1"/>
    <col min="10759" max="10759" width="15.33203125" customWidth="1"/>
    <col min="10760" max="10760" width="3" customWidth="1"/>
    <col min="10761" max="10761" width="11.88671875" bestFit="1" customWidth="1"/>
    <col min="10762" max="10762" width="3.109375" customWidth="1"/>
    <col min="10763" max="10763" width="13.5546875" bestFit="1" customWidth="1"/>
    <col min="10764" max="10765" width="9.33203125" customWidth="1"/>
    <col min="11011" max="11011" width="3.44140625" bestFit="1" customWidth="1"/>
    <col min="11012" max="11012" width="3.44140625" customWidth="1"/>
    <col min="11013" max="11013" width="13.33203125" customWidth="1"/>
    <col min="11014" max="11014" width="2.77734375" customWidth="1"/>
    <col min="11015" max="11015" width="15.33203125" customWidth="1"/>
    <col min="11016" max="11016" width="3" customWidth="1"/>
    <col min="11017" max="11017" width="11.88671875" bestFit="1" customWidth="1"/>
    <col min="11018" max="11018" width="3.109375" customWidth="1"/>
    <col min="11019" max="11019" width="13.5546875" bestFit="1" customWidth="1"/>
    <col min="11020" max="11021" width="9.33203125" customWidth="1"/>
    <col min="11267" max="11267" width="3.44140625" bestFit="1" customWidth="1"/>
    <col min="11268" max="11268" width="3.44140625" customWidth="1"/>
    <col min="11269" max="11269" width="13.33203125" customWidth="1"/>
    <col min="11270" max="11270" width="2.77734375" customWidth="1"/>
    <col min="11271" max="11271" width="15.33203125" customWidth="1"/>
    <col min="11272" max="11272" width="3" customWidth="1"/>
    <col min="11273" max="11273" width="11.88671875" bestFit="1" customWidth="1"/>
    <col min="11274" max="11274" width="3.109375" customWidth="1"/>
    <col min="11275" max="11275" width="13.5546875" bestFit="1" customWidth="1"/>
    <col min="11276" max="11277" width="9.33203125" customWidth="1"/>
    <col min="11523" max="11523" width="3.44140625" bestFit="1" customWidth="1"/>
    <col min="11524" max="11524" width="3.44140625" customWidth="1"/>
    <col min="11525" max="11525" width="13.33203125" customWidth="1"/>
    <col min="11526" max="11526" width="2.77734375" customWidth="1"/>
    <col min="11527" max="11527" width="15.33203125" customWidth="1"/>
    <col min="11528" max="11528" width="3" customWidth="1"/>
    <col min="11529" max="11529" width="11.88671875" bestFit="1" customWidth="1"/>
    <col min="11530" max="11530" width="3.109375" customWidth="1"/>
    <col min="11531" max="11531" width="13.5546875" bestFit="1" customWidth="1"/>
    <col min="11532" max="11533" width="9.33203125" customWidth="1"/>
    <col min="11779" max="11779" width="3.44140625" bestFit="1" customWidth="1"/>
    <col min="11780" max="11780" width="3.44140625" customWidth="1"/>
    <col min="11781" max="11781" width="13.33203125" customWidth="1"/>
    <col min="11782" max="11782" width="2.77734375" customWidth="1"/>
    <col min="11783" max="11783" width="15.33203125" customWidth="1"/>
    <col min="11784" max="11784" width="3" customWidth="1"/>
    <col min="11785" max="11785" width="11.88671875" bestFit="1" customWidth="1"/>
    <col min="11786" max="11786" width="3.109375" customWidth="1"/>
    <col min="11787" max="11787" width="13.5546875" bestFit="1" customWidth="1"/>
    <col min="11788" max="11789" width="9.33203125" customWidth="1"/>
    <col min="12035" max="12035" width="3.44140625" bestFit="1" customWidth="1"/>
    <col min="12036" max="12036" width="3.44140625" customWidth="1"/>
    <col min="12037" max="12037" width="13.33203125" customWidth="1"/>
    <col min="12038" max="12038" width="2.77734375" customWidth="1"/>
    <col min="12039" max="12039" width="15.33203125" customWidth="1"/>
    <col min="12040" max="12040" width="3" customWidth="1"/>
    <col min="12041" max="12041" width="11.88671875" bestFit="1" customWidth="1"/>
    <col min="12042" max="12042" width="3.109375" customWidth="1"/>
    <col min="12043" max="12043" width="13.5546875" bestFit="1" customWidth="1"/>
    <col min="12044" max="12045" width="9.33203125" customWidth="1"/>
    <col min="12291" max="12291" width="3.44140625" bestFit="1" customWidth="1"/>
    <col min="12292" max="12292" width="3.44140625" customWidth="1"/>
    <col min="12293" max="12293" width="13.33203125" customWidth="1"/>
    <col min="12294" max="12294" width="2.77734375" customWidth="1"/>
    <col min="12295" max="12295" width="15.33203125" customWidth="1"/>
    <col min="12296" max="12296" width="3" customWidth="1"/>
    <col min="12297" max="12297" width="11.88671875" bestFit="1" customWidth="1"/>
    <col min="12298" max="12298" width="3.109375" customWidth="1"/>
    <col min="12299" max="12299" width="13.5546875" bestFit="1" customWidth="1"/>
    <col min="12300" max="12301" width="9.33203125" customWidth="1"/>
    <col min="12547" max="12547" width="3.44140625" bestFit="1" customWidth="1"/>
    <col min="12548" max="12548" width="3.44140625" customWidth="1"/>
    <col min="12549" max="12549" width="13.33203125" customWidth="1"/>
    <col min="12550" max="12550" width="2.77734375" customWidth="1"/>
    <col min="12551" max="12551" width="15.33203125" customWidth="1"/>
    <col min="12552" max="12552" width="3" customWidth="1"/>
    <col min="12553" max="12553" width="11.88671875" bestFit="1" customWidth="1"/>
    <col min="12554" max="12554" width="3.109375" customWidth="1"/>
    <col min="12555" max="12555" width="13.5546875" bestFit="1" customWidth="1"/>
    <col min="12556" max="12557" width="9.33203125" customWidth="1"/>
    <col min="12803" max="12803" width="3.44140625" bestFit="1" customWidth="1"/>
    <col min="12804" max="12804" width="3.44140625" customWidth="1"/>
    <col min="12805" max="12805" width="13.33203125" customWidth="1"/>
    <col min="12806" max="12806" width="2.77734375" customWidth="1"/>
    <col min="12807" max="12807" width="15.33203125" customWidth="1"/>
    <col min="12808" max="12808" width="3" customWidth="1"/>
    <col min="12809" max="12809" width="11.88671875" bestFit="1" customWidth="1"/>
    <col min="12810" max="12810" width="3.109375" customWidth="1"/>
    <col min="12811" max="12811" width="13.5546875" bestFit="1" customWidth="1"/>
    <col min="12812" max="12813" width="9.33203125" customWidth="1"/>
    <col min="13059" max="13059" width="3.44140625" bestFit="1" customWidth="1"/>
    <col min="13060" max="13060" width="3.44140625" customWidth="1"/>
    <col min="13061" max="13061" width="13.33203125" customWidth="1"/>
    <col min="13062" max="13062" width="2.77734375" customWidth="1"/>
    <col min="13063" max="13063" width="15.33203125" customWidth="1"/>
    <col min="13064" max="13064" width="3" customWidth="1"/>
    <col min="13065" max="13065" width="11.88671875" bestFit="1" customWidth="1"/>
    <col min="13066" max="13066" width="3.109375" customWidth="1"/>
    <col min="13067" max="13067" width="13.5546875" bestFit="1" customWidth="1"/>
    <col min="13068" max="13069" width="9.33203125" customWidth="1"/>
    <col min="13315" max="13315" width="3.44140625" bestFit="1" customWidth="1"/>
    <col min="13316" max="13316" width="3.44140625" customWidth="1"/>
    <col min="13317" max="13317" width="13.33203125" customWidth="1"/>
    <col min="13318" max="13318" width="2.77734375" customWidth="1"/>
    <col min="13319" max="13319" width="15.33203125" customWidth="1"/>
    <col min="13320" max="13320" width="3" customWidth="1"/>
    <col min="13321" max="13321" width="11.88671875" bestFit="1" customWidth="1"/>
    <col min="13322" max="13322" width="3.109375" customWidth="1"/>
    <col min="13323" max="13323" width="13.5546875" bestFit="1" customWidth="1"/>
    <col min="13324" max="13325" width="9.33203125" customWidth="1"/>
    <col min="13571" max="13571" width="3.44140625" bestFit="1" customWidth="1"/>
    <col min="13572" max="13572" width="3.44140625" customWidth="1"/>
    <col min="13573" max="13573" width="13.33203125" customWidth="1"/>
    <col min="13574" max="13574" width="2.77734375" customWidth="1"/>
    <col min="13575" max="13575" width="15.33203125" customWidth="1"/>
    <col min="13576" max="13576" width="3" customWidth="1"/>
    <col min="13577" max="13577" width="11.88671875" bestFit="1" customWidth="1"/>
    <col min="13578" max="13578" width="3.109375" customWidth="1"/>
    <col min="13579" max="13579" width="13.5546875" bestFit="1" customWidth="1"/>
    <col min="13580" max="13581" width="9.33203125" customWidth="1"/>
    <col min="13827" max="13827" width="3.44140625" bestFit="1" customWidth="1"/>
    <col min="13828" max="13828" width="3.44140625" customWidth="1"/>
    <col min="13829" max="13829" width="13.33203125" customWidth="1"/>
    <col min="13830" max="13830" width="2.77734375" customWidth="1"/>
    <col min="13831" max="13831" width="15.33203125" customWidth="1"/>
    <col min="13832" max="13832" width="3" customWidth="1"/>
    <col min="13833" max="13833" width="11.88671875" bestFit="1" customWidth="1"/>
    <col min="13834" max="13834" width="3.109375" customWidth="1"/>
    <col min="13835" max="13835" width="13.5546875" bestFit="1" customWidth="1"/>
    <col min="13836" max="13837" width="9.33203125" customWidth="1"/>
    <col min="14083" max="14083" width="3.44140625" bestFit="1" customWidth="1"/>
    <col min="14084" max="14084" width="3.44140625" customWidth="1"/>
    <col min="14085" max="14085" width="13.33203125" customWidth="1"/>
    <col min="14086" max="14086" width="2.77734375" customWidth="1"/>
    <col min="14087" max="14087" width="15.33203125" customWidth="1"/>
    <col min="14088" max="14088" width="3" customWidth="1"/>
    <col min="14089" max="14089" width="11.88671875" bestFit="1" customWidth="1"/>
    <col min="14090" max="14090" width="3.109375" customWidth="1"/>
    <col min="14091" max="14091" width="13.5546875" bestFit="1" customWidth="1"/>
    <col min="14092" max="14093" width="9.33203125" customWidth="1"/>
    <col min="14339" max="14339" width="3.44140625" bestFit="1" customWidth="1"/>
    <col min="14340" max="14340" width="3.44140625" customWidth="1"/>
    <col min="14341" max="14341" width="13.33203125" customWidth="1"/>
    <col min="14342" max="14342" width="2.77734375" customWidth="1"/>
    <col min="14343" max="14343" width="15.33203125" customWidth="1"/>
    <col min="14344" max="14344" width="3" customWidth="1"/>
    <col min="14345" max="14345" width="11.88671875" bestFit="1" customWidth="1"/>
    <col min="14346" max="14346" width="3.109375" customWidth="1"/>
    <col min="14347" max="14347" width="13.5546875" bestFit="1" customWidth="1"/>
    <col min="14348" max="14349" width="9.33203125" customWidth="1"/>
    <col min="14595" max="14595" width="3.44140625" bestFit="1" customWidth="1"/>
    <col min="14596" max="14596" width="3.44140625" customWidth="1"/>
    <col min="14597" max="14597" width="13.33203125" customWidth="1"/>
    <col min="14598" max="14598" width="2.77734375" customWidth="1"/>
    <col min="14599" max="14599" width="15.33203125" customWidth="1"/>
    <col min="14600" max="14600" width="3" customWidth="1"/>
    <col min="14601" max="14601" width="11.88671875" bestFit="1" customWidth="1"/>
    <col min="14602" max="14602" width="3.109375" customWidth="1"/>
    <col min="14603" max="14603" width="13.5546875" bestFit="1" customWidth="1"/>
    <col min="14604" max="14605" width="9.33203125" customWidth="1"/>
    <col min="14851" max="14851" width="3.44140625" bestFit="1" customWidth="1"/>
    <col min="14852" max="14852" width="3.44140625" customWidth="1"/>
    <col min="14853" max="14853" width="13.33203125" customWidth="1"/>
    <col min="14854" max="14854" width="2.77734375" customWidth="1"/>
    <col min="14855" max="14855" width="15.33203125" customWidth="1"/>
    <col min="14856" max="14856" width="3" customWidth="1"/>
    <col min="14857" max="14857" width="11.88671875" bestFit="1" customWidth="1"/>
    <col min="14858" max="14858" width="3.109375" customWidth="1"/>
    <col min="14859" max="14859" width="13.5546875" bestFit="1" customWidth="1"/>
    <col min="14860" max="14861" width="9.33203125" customWidth="1"/>
    <col min="15107" max="15107" width="3.44140625" bestFit="1" customWidth="1"/>
    <col min="15108" max="15108" width="3.44140625" customWidth="1"/>
    <col min="15109" max="15109" width="13.33203125" customWidth="1"/>
    <col min="15110" max="15110" width="2.77734375" customWidth="1"/>
    <col min="15111" max="15111" width="15.33203125" customWidth="1"/>
    <col min="15112" max="15112" width="3" customWidth="1"/>
    <col min="15113" max="15113" width="11.88671875" bestFit="1" customWidth="1"/>
    <col min="15114" max="15114" width="3.109375" customWidth="1"/>
    <col min="15115" max="15115" width="13.5546875" bestFit="1" customWidth="1"/>
    <col min="15116" max="15117" width="9.33203125" customWidth="1"/>
    <col min="15363" max="15363" width="3.44140625" bestFit="1" customWidth="1"/>
    <col min="15364" max="15364" width="3.44140625" customWidth="1"/>
    <col min="15365" max="15365" width="13.33203125" customWidth="1"/>
    <col min="15366" max="15366" width="2.77734375" customWidth="1"/>
    <col min="15367" max="15367" width="15.33203125" customWidth="1"/>
    <col min="15368" max="15368" width="3" customWidth="1"/>
    <col min="15369" max="15369" width="11.88671875" bestFit="1" customWidth="1"/>
    <col min="15370" max="15370" width="3.109375" customWidth="1"/>
    <col min="15371" max="15371" width="13.5546875" bestFit="1" customWidth="1"/>
    <col min="15372" max="15373" width="9.33203125" customWidth="1"/>
    <col min="15619" max="15619" width="3.44140625" bestFit="1" customWidth="1"/>
    <col min="15620" max="15620" width="3.44140625" customWidth="1"/>
    <col min="15621" max="15621" width="13.33203125" customWidth="1"/>
    <col min="15622" max="15622" width="2.77734375" customWidth="1"/>
    <col min="15623" max="15623" width="15.33203125" customWidth="1"/>
    <col min="15624" max="15624" width="3" customWidth="1"/>
    <col min="15625" max="15625" width="11.88671875" bestFit="1" customWidth="1"/>
    <col min="15626" max="15626" width="3.109375" customWidth="1"/>
    <col min="15627" max="15627" width="13.5546875" bestFit="1" customWidth="1"/>
    <col min="15628" max="15629" width="9.33203125" customWidth="1"/>
    <col min="15875" max="15875" width="3.44140625" bestFit="1" customWidth="1"/>
    <col min="15876" max="15876" width="3.44140625" customWidth="1"/>
    <col min="15877" max="15877" width="13.33203125" customWidth="1"/>
    <col min="15878" max="15878" width="2.77734375" customWidth="1"/>
    <col min="15879" max="15879" width="15.33203125" customWidth="1"/>
    <col min="15880" max="15880" width="3" customWidth="1"/>
    <col min="15881" max="15881" width="11.88671875" bestFit="1" customWidth="1"/>
    <col min="15882" max="15882" width="3.109375" customWidth="1"/>
    <col min="15883" max="15883" width="13.5546875" bestFit="1" customWidth="1"/>
    <col min="15884" max="15885" width="9.33203125" customWidth="1"/>
    <col min="16131" max="16131" width="3.44140625" bestFit="1" customWidth="1"/>
    <col min="16132" max="16132" width="3.44140625" customWidth="1"/>
    <col min="16133" max="16133" width="13.33203125" customWidth="1"/>
    <col min="16134" max="16134" width="2.77734375" customWidth="1"/>
    <col min="16135" max="16135" width="15.33203125" customWidth="1"/>
    <col min="16136" max="16136" width="3" customWidth="1"/>
    <col min="16137" max="16137" width="11.88671875" bestFit="1" customWidth="1"/>
    <col min="16138" max="16138" width="3.109375" customWidth="1"/>
    <col min="16139" max="16139" width="13.5546875" bestFit="1" customWidth="1"/>
    <col min="16140" max="16141" width="9.33203125" customWidth="1"/>
  </cols>
  <sheetData>
    <row r="3" spans="1:20" s="30" customFormat="1" ht="15" customHeight="1">
      <c r="A3" s="203" t="s">
        <v>252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10"/>
      <c r="M3" s="10"/>
    </row>
    <row r="4" spans="1:20" s="30" customFormat="1" ht="15" customHeight="1">
      <c r="A4" s="203" t="s">
        <v>253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10"/>
      <c r="M4" s="10"/>
    </row>
    <row r="5" spans="1:20" s="30" customFormat="1" ht="15" customHeight="1">
      <c r="A5" s="203" t="s">
        <v>2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10"/>
      <c r="M5" s="10"/>
    </row>
    <row r="6" spans="1:20" s="30" customFormat="1" ht="15.75">
      <c r="A6" s="64"/>
      <c r="B6" s="64"/>
      <c r="C6" s="57"/>
      <c r="D6" s="57"/>
      <c r="E6" s="57"/>
      <c r="F6" s="57"/>
      <c r="G6" s="57"/>
      <c r="H6" s="57"/>
      <c r="I6" s="57"/>
      <c r="J6" s="57"/>
      <c r="K6" s="57" t="s">
        <v>218</v>
      </c>
      <c r="L6" s="64"/>
      <c r="M6" s="10"/>
    </row>
    <row r="7" spans="1:20" s="30" customFormat="1" ht="16.5">
      <c r="C7" s="57" t="s">
        <v>22</v>
      </c>
      <c r="D7" s="57"/>
      <c r="E7" s="57" t="s">
        <v>213</v>
      </c>
      <c r="F7" s="57"/>
      <c r="G7" s="4" t="s">
        <v>212</v>
      </c>
      <c r="H7" s="57"/>
      <c r="I7" s="4" t="s">
        <v>219</v>
      </c>
      <c r="J7" s="4"/>
      <c r="K7" s="4" t="s">
        <v>211</v>
      </c>
    </row>
    <row r="8" spans="1:20" s="30" customFormat="1" ht="12.75">
      <c r="A8" s="57" t="s">
        <v>3</v>
      </c>
      <c r="B8" s="57"/>
      <c r="C8" s="57"/>
      <c r="D8" s="57"/>
      <c r="E8" s="57" t="s">
        <v>210</v>
      </c>
      <c r="F8" s="57"/>
      <c r="G8" s="57" t="s">
        <v>209</v>
      </c>
      <c r="H8" s="57"/>
      <c r="I8" s="57"/>
      <c r="J8" s="57"/>
      <c r="K8" s="57" t="s">
        <v>208</v>
      </c>
    </row>
    <row r="9" spans="1:20" s="30" customFormat="1" ht="12.75">
      <c r="A9" s="5" t="s">
        <v>5</v>
      </c>
      <c r="B9" s="5"/>
      <c r="C9" s="5" t="s">
        <v>207</v>
      </c>
      <c r="D9" s="5"/>
      <c r="E9" s="73" t="s">
        <v>206</v>
      </c>
      <c r="F9" s="73"/>
      <c r="G9" s="72" t="s">
        <v>205</v>
      </c>
      <c r="H9" s="73"/>
      <c r="I9" s="5" t="s">
        <v>220</v>
      </c>
      <c r="J9" s="72"/>
      <c r="K9" s="71" t="s">
        <v>204</v>
      </c>
    </row>
    <row r="10" spans="1:20" s="30" customFormat="1" ht="12.75">
      <c r="A10" s="57"/>
      <c r="B10" s="70" t="s">
        <v>203</v>
      </c>
      <c r="D10" s="69"/>
      <c r="E10" s="68"/>
      <c r="F10" s="68"/>
      <c r="G10" s="67"/>
      <c r="H10" s="68"/>
      <c r="I10" s="67"/>
      <c r="J10" s="67"/>
      <c r="K10" s="6"/>
    </row>
    <row r="11" spans="1:20" s="30" customFormat="1">
      <c r="A11" s="57">
        <v>1</v>
      </c>
      <c r="B11" s="57"/>
      <c r="C11" s="77">
        <v>44531</v>
      </c>
      <c r="D11" s="77"/>
      <c r="E11" s="75">
        <v>61453596.25</v>
      </c>
      <c r="F11" s="4"/>
      <c r="G11" s="75">
        <v>6862228.2400000002</v>
      </c>
      <c r="H11" s="4"/>
      <c r="I11" s="75">
        <v>75546228.610000014</v>
      </c>
      <c r="J11" s="4"/>
      <c r="K11" s="4">
        <f>E11+G11+I11</f>
        <v>143862053.10000002</v>
      </c>
      <c r="L11" s="4"/>
      <c r="M11" s="100"/>
      <c r="P11" s="78"/>
      <c r="Q11" s="78"/>
    </row>
    <row r="12" spans="1:20" s="30" customFormat="1">
      <c r="A12" s="61">
        <f t="shared" ref="A12:A28" si="0">A11+1</f>
        <v>2</v>
      </c>
      <c r="B12" s="61"/>
      <c r="C12" s="77">
        <v>44562</v>
      </c>
      <c r="D12" s="77"/>
      <c r="E12" s="75">
        <v>61719960.189999983</v>
      </c>
      <c r="F12" s="4"/>
      <c r="G12" s="75">
        <v>6862228.2400000002</v>
      </c>
      <c r="H12" s="4"/>
      <c r="I12" s="75">
        <v>75544873.290000007</v>
      </c>
      <c r="J12" s="4"/>
      <c r="K12" s="4">
        <f t="shared" ref="K12:K23" si="1">E12+G12+I12</f>
        <v>144127061.71999997</v>
      </c>
      <c r="L12" s="63"/>
      <c r="M12" s="63"/>
      <c r="P12" s="78"/>
      <c r="Q12" s="78"/>
    </row>
    <row r="13" spans="1:20">
      <c r="A13" s="61">
        <f t="shared" si="0"/>
        <v>3</v>
      </c>
      <c r="B13" s="61"/>
      <c r="C13" s="77">
        <v>44593</v>
      </c>
      <c r="D13" s="77"/>
      <c r="E13" s="75">
        <v>64927103.000000045</v>
      </c>
      <c r="F13" s="4"/>
      <c r="G13" s="75">
        <v>6865992.1900000013</v>
      </c>
      <c r="H13" s="4"/>
      <c r="I13" s="75">
        <v>75544873.290000007</v>
      </c>
      <c r="J13" s="4"/>
      <c r="K13" s="4">
        <f t="shared" si="1"/>
        <v>147337968.48000005</v>
      </c>
      <c r="L13" s="62"/>
      <c r="M13" s="62"/>
      <c r="N13" s="30"/>
      <c r="P13" s="78"/>
      <c r="Q13" s="78"/>
      <c r="R13" s="30"/>
      <c r="T13" s="30"/>
    </row>
    <row r="14" spans="1:20">
      <c r="A14" s="61">
        <f t="shared" si="0"/>
        <v>4</v>
      </c>
      <c r="B14" s="61"/>
      <c r="C14" s="77">
        <v>44621</v>
      </c>
      <c r="D14" s="77"/>
      <c r="E14" s="75">
        <v>64835770.410000011</v>
      </c>
      <c r="F14" s="4"/>
      <c r="G14" s="75">
        <v>6979010.620000001</v>
      </c>
      <c r="H14" s="4"/>
      <c r="I14" s="75">
        <v>75544873.290000007</v>
      </c>
      <c r="J14" s="4"/>
      <c r="K14" s="4">
        <f t="shared" si="1"/>
        <v>147359654.32000002</v>
      </c>
      <c r="L14" s="56"/>
      <c r="M14" s="56"/>
      <c r="N14" s="30"/>
      <c r="P14" s="78"/>
      <c r="Q14" s="78"/>
      <c r="R14" s="30"/>
      <c r="T14" s="30"/>
    </row>
    <row r="15" spans="1:20">
      <c r="A15" s="61">
        <f t="shared" si="0"/>
        <v>5</v>
      </c>
      <c r="B15" s="61"/>
      <c r="C15" s="77">
        <v>44652</v>
      </c>
      <c r="D15" s="77"/>
      <c r="E15" s="75">
        <v>64831976.359999985</v>
      </c>
      <c r="F15" s="4"/>
      <c r="G15" s="75">
        <v>6990522</v>
      </c>
      <c r="H15" s="4"/>
      <c r="I15" s="75">
        <v>75544873.290000021</v>
      </c>
      <c r="J15" s="4"/>
      <c r="K15" s="4">
        <f t="shared" si="1"/>
        <v>147367371.65000001</v>
      </c>
      <c r="L15" s="56"/>
      <c r="M15" s="56"/>
      <c r="N15" s="30"/>
      <c r="P15" s="78"/>
      <c r="Q15" s="78"/>
      <c r="R15" s="30"/>
      <c r="T15" s="30"/>
    </row>
    <row r="16" spans="1:20">
      <c r="A16" s="61">
        <f t="shared" si="0"/>
        <v>6</v>
      </c>
      <c r="B16" s="61"/>
      <c r="C16" s="77">
        <v>44682</v>
      </c>
      <c r="D16" s="77"/>
      <c r="E16" s="75">
        <v>64866670.010000005</v>
      </c>
      <c r="F16" s="4"/>
      <c r="G16" s="75">
        <v>6995634.6900000004</v>
      </c>
      <c r="H16" s="4"/>
      <c r="I16" s="75">
        <v>75552943.320000008</v>
      </c>
      <c r="J16" s="4"/>
      <c r="K16" s="4">
        <f t="shared" si="1"/>
        <v>147415248.02000001</v>
      </c>
      <c r="L16" s="56"/>
      <c r="M16" s="56"/>
      <c r="N16" s="30"/>
      <c r="P16" s="78"/>
      <c r="Q16" s="78"/>
      <c r="R16" s="30"/>
      <c r="T16" s="30"/>
    </row>
    <row r="17" spans="1:20">
      <c r="A17" s="61">
        <f t="shared" si="0"/>
        <v>7</v>
      </c>
      <c r="B17" s="61"/>
      <c r="C17" s="77">
        <v>44713</v>
      </c>
      <c r="D17" s="77"/>
      <c r="E17" s="75">
        <v>64498520.590000018</v>
      </c>
      <c r="F17" s="4"/>
      <c r="G17" s="75">
        <v>7471409.2800000012</v>
      </c>
      <c r="H17" s="4"/>
      <c r="I17" s="75">
        <v>75547724.260000005</v>
      </c>
      <c r="J17" s="4"/>
      <c r="K17" s="4">
        <f t="shared" si="1"/>
        <v>147517654.13000003</v>
      </c>
      <c r="N17" s="30"/>
      <c r="P17" s="78"/>
      <c r="Q17" s="78"/>
      <c r="R17" s="30"/>
      <c r="T17" s="30"/>
    </row>
    <row r="18" spans="1:20">
      <c r="A18" s="61">
        <f t="shared" si="0"/>
        <v>8</v>
      </c>
      <c r="B18" s="61"/>
      <c r="C18" s="77">
        <v>44743</v>
      </c>
      <c r="D18" s="77"/>
      <c r="E18" s="75">
        <v>65039154.110000029</v>
      </c>
      <c r="F18" s="4"/>
      <c r="G18" s="75">
        <v>6986570.4100000001</v>
      </c>
      <c r="H18" s="4"/>
      <c r="I18" s="75">
        <v>75547724.260000005</v>
      </c>
      <c r="J18" s="4"/>
      <c r="K18" s="4">
        <f t="shared" si="1"/>
        <v>147573448.78000003</v>
      </c>
      <c r="N18" s="30"/>
      <c r="P18" s="78"/>
      <c r="Q18" s="78"/>
      <c r="R18" s="30"/>
      <c r="T18" s="30"/>
    </row>
    <row r="19" spans="1:20">
      <c r="A19" s="61">
        <f t="shared" si="0"/>
        <v>9</v>
      </c>
      <c r="B19" s="61"/>
      <c r="C19" s="77">
        <v>44774</v>
      </c>
      <c r="D19" s="77"/>
      <c r="E19" s="75">
        <v>65360126.050000027</v>
      </c>
      <c r="F19" s="4"/>
      <c r="G19" s="75">
        <v>6995906.7600000007</v>
      </c>
      <c r="H19" s="4"/>
      <c r="I19" s="75">
        <v>75662242.010000005</v>
      </c>
      <c r="J19" s="4"/>
      <c r="K19" s="4">
        <f t="shared" si="1"/>
        <v>148018274.82000005</v>
      </c>
      <c r="N19" s="30"/>
      <c r="P19" s="78"/>
      <c r="Q19" s="78"/>
      <c r="R19" s="30"/>
      <c r="T19" s="30"/>
    </row>
    <row r="20" spans="1:20">
      <c r="A20" s="61">
        <f t="shared" si="0"/>
        <v>10</v>
      </c>
      <c r="B20" s="61"/>
      <c r="C20" s="77">
        <v>44805</v>
      </c>
      <c r="D20" s="77"/>
      <c r="E20" s="75">
        <v>64865988.830000028</v>
      </c>
      <c r="F20" s="4"/>
      <c r="G20" s="75">
        <v>6859828.3500000015</v>
      </c>
      <c r="H20" s="4"/>
      <c r="I20" s="75">
        <v>75805397.820000008</v>
      </c>
      <c r="J20" s="4"/>
      <c r="K20" s="4">
        <f t="shared" si="1"/>
        <v>147531215.00000006</v>
      </c>
      <c r="N20" s="30"/>
      <c r="P20" s="78"/>
      <c r="Q20" s="78"/>
      <c r="R20" s="30"/>
      <c r="T20" s="30"/>
    </row>
    <row r="21" spans="1:20">
      <c r="A21" s="61">
        <f t="shared" si="0"/>
        <v>11</v>
      </c>
      <c r="B21" s="61"/>
      <c r="C21" s="77">
        <v>44835</v>
      </c>
      <c r="D21" s="77"/>
      <c r="E21" s="75">
        <v>64755710.840000018</v>
      </c>
      <c r="F21" s="4"/>
      <c r="G21" s="75">
        <v>6889549.6900000013</v>
      </c>
      <c r="H21" s="4"/>
      <c r="I21" s="75">
        <v>75862842.600000009</v>
      </c>
      <c r="J21" s="4"/>
      <c r="K21" s="4">
        <f t="shared" si="1"/>
        <v>147508103.13000003</v>
      </c>
      <c r="N21" s="30"/>
      <c r="P21" s="78"/>
      <c r="Q21" s="78"/>
      <c r="R21" s="30"/>
      <c r="T21" s="30"/>
    </row>
    <row r="22" spans="1:20">
      <c r="A22" s="61">
        <f t="shared" si="0"/>
        <v>12</v>
      </c>
      <c r="B22" s="61"/>
      <c r="C22" s="77">
        <v>44866</v>
      </c>
      <c r="D22" s="77"/>
      <c r="E22" s="75">
        <v>65707008.159999996</v>
      </c>
      <c r="F22" s="4"/>
      <c r="G22" s="75">
        <v>6871488.7700000014</v>
      </c>
      <c r="H22" s="4"/>
      <c r="I22" s="75">
        <v>73922075.210000008</v>
      </c>
      <c r="J22" s="4"/>
      <c r="K22" s="4">
        <f t="shared" si="1"/>
        <v>146500572.13999999</v>
      </c>
      <c r="N22" s="30"/>
      <c r="P22" s="78"/>
      <c r="Q22" s="78"/>
      <c r="R22" s="30"/>
      <c r="T22" s="30"/>
    </row>
    <row r="23" spans="1:20">
      <c r="A23" s="61">
        <f t="shared" si="0"/>
        <v>13</v>
      </c>
      <c r="B23" s="61"/>
      <c r="C23" s="77">
        <v>44896</v>
      </c>
      <c r="D23" s="77"/>
      <c r="E23" s="75">
        <v>66227852.679999992</v>
      </c>
      <c r="F23" s="4"/>
      <c r="G23" s="75">
        <v>6864775.1299999999</v>
      </c>
      <c r="H23" s="4"/>
      <c r="I23" s="75">
        <v>74534622.500000015</v>
      </c>
      <c r="J23" s="4"/>
      <c r="K23" s="4">
        <f t="shared" si="1"/>
        <v>147627250.31</v>
      </c>
      <c r="N23" s="30"/>
      <c r="P23" s="78"/>
      <c r="Q23" s="78"/>
      <c r="R23" s="30"/>
      <c r="T23" s="30"/>
    </row>
    <row r="24" spans="1:20">
      <c r="A24" s="61">
        <f t="shared" si="0"/>
        <v>14</v>
      </c>
      <c r="B24" s="61"/>
      <c r="C24" s="79" t="s">
        <v>202</v>
      </c>
      <c r="D24" s="79"/>
      <c r="E24" s="4">
        <f>AVERAGE(E11:E23)</f>
        <v>64545341.344615392</v>
      </c>
      <c r="F24" s="4"/>
      <c r="G24" s="4">
        <f>AVERAGE(G11:G23)</f>
        <v>6961164.9515384603</v>
      </c>
      <c r="H24" s="4"/>
      <c r="I24" s="4">
        <f>AVERAGE(I11:I23)</f>
        <v>75397022.59615387</v>
      </c>
      <c r="J24" s="4"/>
      <c r="K24" s="4">
        <f>AVERAGE(K11:K23)</f>
        <v>146903528.8923077</v>
      </c>
      <c r="N24" s="30"/>
      <c r="P24" s="78"/>
      <c r="R24" s="30"/>
      <c r="T24" s="30"/>
    </row>
    <row r="25" spans="1:20">
      <c r="A25" s="61">
        <f t="shared" si="0"/>
        <v>15</v>
      </c>
      <c r="B25" s="61"/>
      <c r="C25" s="66"/>
      <c r="D25" s="66"/>
    </row>
    <row r="26" spans="1:20">
      <c r="A26" s="61">
        <f t="shared" si="0"/>
        <v>16</v>
      </c>
      <c r="B26" s="65" t="s">
        <v>201</v>
      </c>
      <c r="D26" s="65"/>
    </row>
    <row r="27" spans="1:20">
      <c r="A27" s="61">
        <f t="shared" si="0"/>
        <v>17</v>
      </c>
      <c r="B27" s="65" t="s">
        <v>200</v>
      </c>
      <c r="D27" s="65"/>
    </row>
    <row r="28" spans="1:20">
      <c r="A28" s="61">
        <f t="shared" si="0"/>
        <v>18</v>
      </c>
      <c r="B28" s="65" t="s">
        <v>221</v>
      </c>
      <c r="D28" s="65"/>
    </row>
    <row r="29" spans="1:20">
      <c r="B29" s="65" t="s">
        <v>222</v>
      </c>
    </row>
    <row r="34" spans="1:11">
      <c r="A34" s="57"/>
      <c r="B34" s="57"/>
      <c r="C34" s="64"/>
      <c r="D34" s="64"/>
      <c r="E34" s="64"/>
      <c r="F34" s="64"/>
      <c r="G34" s="4"/>
      <c r="H34" s="64"/>
      <c r="I34" s="4"/>
      <c r="J34" s="4"/>
      <c r="K34" s="4"/>
    </row>
    <row r="35" spans="1:11">
      <c r="A35" s="57"/>
      <c r="B35" s="57"/>
      <c r="C35" s="18"/>
      <c r="D35" s="18"/>
      <c r="E35" s="18"/>
      <c r="F35" s="18"/>
      <c r="G35" s="63"/>
      <c r="H35" s="18"/>
      <c r="I35" s="63"/>
      <c r="J35" s="63"/>
      <c r="K35" s="63"/>
    </row>
    <row r="36" spans="1:11">
      <c r="A36" s="57"/>
      <c r="B36" s="57"/>
      <c r="C36" s="58"/>
      <c r="D36" s="58"/>
      <c r="G36" s="62"/>
      <c r="I36" s="62"/>
      <c r="J36" s="62"/>
      <c r="K36" s="62"/>
    </row>
    <row r="37" spans="1:11">
      <c r="A37" s="61"/>
      <c r="B37" s="61"/>
      <c r="C37" s="60"/>
      <c r="D37" s="60"/>
      <c r="E37" s="59"/>
      <c r="F37" s="59"/>
      <c r="G37" s="56"/>
      <c r="H37" s="59"/>
      <c r="I37" s="56"/>
      <c r="J37" s="56"/>
      <c r="K37" s="56"/>
    </row>
    <row r="38" spans="1:11">
      <c r="A38" s="57"/>
      <c r="B38" s="57"/>
      <c r="C38" s="58"/>
      <c r="D38" s="58"/>
      <c r="E38" s="30"/>
      <c r="F38" s="30"/>
      <c r="G38" s="56"/>
      <c r="H38" s="30"/>
      <c r="I38" s="56"/>
      <c r="J38" s="56"/>
      <c r="K38" s="56"/>
    </row>
    <row r="39" spans="1:11">
      <c r="A39" s="57"/>
      <c r="B39" s="57"/>
      <c r="C39" s="30"/>
      <c r="D39" s="30"/>
      <c r="E39" s="30"/>
      <c r="F39" s="30"/>
      <c r="G39" s="56"/>
      <c r="H39" s="30"/>
      <c r="I39" s="56"/>
      <c r="J39" s="56"/>
      <c r="K39" s="56"/>
    </row>
  </sheetData>
  <mergeCells count="3">
    <mergeCell ref="A3:K3"/>
    <mergeCell ref="A4:K4"/>
    <mergeCell ref="A5:K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3:K39"/>
  <sheetViews>
    <sheetView workbookViewId="0">
      <selection activeCell="G18" sqref="G18"/>
    </sheetView>
  </sheetViews>
  <sheetFormatPr defaultRowHeight="15"/>
  <cols>
    <col min="1" max="1" width="3.44140625" bestFit="1" customWidth="1"/>
    <col min="2" max="2" width="3.44140625" customWidth="1"/>
    <col min="3" max="3" width="34.77734375" bestFit="1" customWidth="1"/>
    <col min="4" max="4" width="2.77734375" customWidth="1"/>
    <col min="5" max="5" width="13.44140625" customWidth="1"/>
    <col min="6" max="6" width="2.77734375" customWidth="1"/>
    <col min="7" max="7" width="15.33203125" customWidth="1"/>
    <col min="8" max="8" width="3" customWidth="1"/>
    <col min="12" max="12" width="11.5546875" bestFit="1" customWidth="1"/>
  </cols>
  <sheetData>
    <row r="3" spans="1:11" s="30" customFormat="1" ht="15" customHeight="1">
      <c r="A3" s="203" t="s">
        <v>254</v>
      </c>
      <c r="B3" s="203"/>
      <c r="C3" s="203"/>
      <c r="D3" s="203"/>
      <c r="E3" s="203"/>
      <c r="F3" s="203"/>
      <c r="G3" s="203"/>
      <c r="H3" s="203"/>
      <c r="I3" s="10"/>
      <c r="J3" s="10"/>
    </row>
    <row r="4" spans="1:11" s="30" customFormat="1" ht="15" customHeight="1">
      <c r="A4" s="203" t="s">
        <v>255</v>
      </c>
      <c r="B4" s="203"/>
      <c r="C4" s="203"/>
      <c r="D4" s="203"/>
      <c r="E4" s="203"/>
      <c r="F4" s="203"/>
      <c r="G4" s="203"/>
      <c r="H4" s="203"/>
      <c r="I4" s="10"/>
      <c r="J4" s="10"/>
    </row>
    <row r="5" spans="1:11" s="30" customFormat="1" ht="15" customHeight="1">
      <c r="A5" s="203" t="s">
        <v>2</v>
      </c>
      <c r="B5" s="203"/>
      <c r="C5" s="203"/>
      <c r="D5" s="203"/>
      <c r="E5" s="203"/>
      <c r="F5" s="203"/>
      <c r="G5" s="203"/>
      <c r="H5" s="203"/>
      <c r="I5" s="10"/>
      <c r="J5" s="10"/>
    </row>
    <row r="6" spans="1:11" s="30" customFormat="1" ht="12.75">
      <c r="A6" s="64"/>
      <c r="B6" s="64"/>
      <c r="C6" s="57"/>
      <c r="D6" s="57"/>
      <c r="E6" s="57"/>
      <c r="F6" s="57"/>
      <c r="G6" s="57"/>
      <c r="H6" s="57"/>
      <c r="I6" s="64"/>
      <c r="J6" s="10"/>
    </row>
    <row r="7" spans="1:11" s="30" customFormat="1" ht="12.75">
      <c r="C7" s="57" t="s">
        <v>22</v>
      </c>
      <c r="D7" s="57"/>
      <c r="E7" s="57" t="s">
        <v>23</v>
      </c>
      <c r="F7" s="57"/>
      <c r="G7" s="57" t="s">
        <v>256</v>
      </c>
      <c r="H7" s="57"/>
    </row>
    <row r="8" spans="1:11" s="30" customFormat="1" ht="12.75">
      <c r="A8" s="57" t="s">
        <v>3</v>
      </c>
      <c r="B8" s="57"/>
      <c r="C8" s="57"/>
      <c r="D8" s="57"/>
      <c r="E8" s="57"/>
      <c r="F8" s="57"/>
      <c r="G8" s="57"/>
      <c r="H8" s="57"/>
    </row>
    <row r="9" spans="1:11" s="30" customFormat="1" ht="12.75">
      <c r="A9" s="5" t="s">
        <v>5</v>
      </c>
      <c r="B9" s="5"/>
      <c r="C9" s="5" t="s">
        <v>26</v>
      </c>
      <c r="D9" s="5"/>
      <c r="E9" s="5" t="s">
        <v>257</v>
      </c>
      <c r="F9" s="5"/>
      <c r="G9" s="73" t="s">
        <v>258</v>
      </c>
      <c r="H9" s="73"/>
    </row>
    <row r="10" spans="1:11">
      <c r="A10" s="57"/>
      <c r="B10" s="70"/>
      <c r="C10" s="30"/>
      <c r="D10" s="69"/>
      <c r="E10" s="69"/>
      <c r="F10" s="69"/>
      <c r="G10" s="68"/>
      <c r="H10" s="68"/>
      <c r="K10" s="100"/>
    </row>
    <row r="11" spans="1:11">
      <c r="A11" s="57">
        <f>1+A10</f>
        <v>1</v>
      </c>
      <c r="B11" s="57"/>
      <c r="C11" s="77" t="s">
        <v>259</v>
      </c>
      <c r="D11" s="77"/>
      <c r="E11" s="77" t="s">
        <v>145</v>
      </c>
      <c r="F11" s="77"/>
      <c r="G11" s="75">
        <v>0</v>
      </c>
      <c r="H11" s="4"/>
    </row>
    <row r="12" spans="1:11">
      <c r="A12" s="57">
        <f t="shared" ref="A12:A16" si="0">1+A11</f>
        <v>2</v>
      </c>
      <c r="B12" s="61"/>
      <c r="C12" s="77" t="s">
        <v>260</v>
      </c>
      <c r="D12" s="77"/>
      <c r="E12" s="77" t="s">
        <v>383</v>
      </c>
      <c r="F12" s="77"/>
      <c r="G12" s="75">
        <v>9438284</v>
      </c>
      <c r="H12" s="4"/>
    </row>
    <row r="13" spans="1:11">
      <c r="A13" s="57">
        <f t="shared" si="0"/>
        <v>3</v>
      </c>
      <c r="B13" s="61"/>
      <c r="C13" s="77"/>
      <c r="D13" s="77"/>
      <c r="E13" s="77"/>
      <c r="F13" s="77"/>
      <c r="G13" s="75"/>
      <c r="H13" s="4"/>
    </row>
    <row r="14" spans="1:11">
      <c r="A14" s="57">
        <f t="shared" si="0"/>
        <v>4</v>
      </c>
      <c r="B14" s="61"/>
      <c r="C14" s="77" t="s">
        <v>261</v>
      </c>
      <c r="D14" s="77"/>
      <c r="E14" s="77" t="s">
        <v>51</v>
      </c>
      <c r="F14" s="77"/>
      <c r="G14" s="75">
        <v>-532023</v>
      </c>
      <c r="H14" s="4"/>
    </row>
    <row r="15" spans="1:11">
      <c r="A15" s="57">
        <f t="shared" si="0"/>
        <v>5</v>
      </c>
      <c r="B15" s="61"/>
      <c r="C15" s="77"/>
      <c r="D15" s="77"/>
      <c r="E15" s="77"/>
      <c r="F15" s="77"/>
      <c r="G15" s="75"/>
      <c r="H15" s="4"/>
    </row>
    <row r="16" spans="1:11">
      <c r="A16" s="57">
        <f t="shared" si="0"/>
        <v>6</v>
      </c>
      <c r="B16" s="61"/>
      <c r="C16" s="77" t="s">
        <v>262</v>
      </c>
      <c r="D16" s="77"/>
      <c r="E16" s="77" t="s">
        <v>263</v>
      </c>
      <c r="F16" s="77"/>
      <c r="G16" s="91">
        <f>SUM(G12:G15)</f>
        <v>8906261</v>
      </c>
      <c r="H16" s="4"/>
    </row>
    <row r="17" spans="1:8">
      <c r="A17" s="57"/>
      <c r="B17" s="61"/>
      <c r="C17" s="77"/>
      <c r="D17" s="77"/>
      <c r="E17" s="77"/>
      <c r="F17" s="77"/>
      <c r="G17" s="75"/>
      <c r="H17" s="4"/>
    </row>
    <row r="18" spans="1:8">
      <c r="A18" s="57"/>
      <c r="B18" s="61"/>
      <c r="C18" s="77"/>
      <c r="D18" s="77"/>
      <c r="E18" s="77"/>
      <c r="F18" s="77"/>
      <c r="G18" s="75"/>
      <c r="H18" s="4"/>
    </row>
    <row r="19" spans="1:8">
      <c r="A19" s="57"/>
      <c r="B19" s="61"/>
      <c r="C19" s="77"/>
      <c r="D19" s="77"/>
      <c r="E19" s="77"/>
      <c r="F19" s="77"/>
      <c r="G19" s="75"/>
      <c r="H19" s="4"/>
    </row>
    <row r="20" spans="1:8">
      <c r="A20" s="57"/>
      <c r="B20" s="61"/>
      <c r="C20" s="77"/>
      <c r="D20" s="77"/>
      <c r="E20" s="77"/>
      <c r="F20" s="77"/>
      <c r="G20" s="75"/>
      <c r="H20" s="4"/>
    </row>
    <row r="21" spans="1:8">
      <c r="A21" s="61"/>
      <c r="B21" s="61"/>
      <c r="C21" s="77"/>
      <c r="D21" s="77"/>
      <c r="E21" s="77"/>
      <c r="F21" s="77"/>
      <c r="G21" s="75"/>
      <c r="H21" s="4"/>
    </row>
    <row r="22" spans="1:8">
      <c r="A22" s="61"/>
      <c r="B22" s="61"/>
      <c r="C22" s="77"/>
      <c r="D22" s="77"/>
      <c r="E22" s="77"/>
      <c r="F22" s="77"/>
      <c r="G22" s="75"/>
      <c r="H22" s="4"/>
    </row>
    <row r="23" spans="1:8">
      <c r="A23" s="61"/>
      <c r="B23" s="61"/>
      <c r="C23" s="77"/>
      <c r="D23" s="77"/>
      <c r="E23" s="77"/>
      <c r="F23" s="77"/>
      <c r="G23" s="75"/>
      <c r="H23" s="4"/>
    </row>
    <row r="24" spans="1:8">
      <c r="A24" s="61"/>
      <c r="B24" s="61"/>
      <c r="C24" s="79"/>
      <c r="D24" s="79"/>
      <c r="E24" s="79"/>
      <c r="F24" s="79"/>
      <c r="G24" s="4"/>
      <c r="H24" s="4"/>
    </row>
    <row r="25" spans="1:8">
      <c r="A25" s="61"/>
      <c r="B25" s="61"/>
      <c r="C25" s="66"/>
      <c r="D25" s="66"/>
      <c r="E25" s="66"/>
      <c r="F25" s="66"/>
    </row>
    <row r="26" spans="1:8">
      <c r="A26" s="61"/>
      <c r="B26" s="65"/>
      <c r="D26" s="65"/>
      <c r="E26" s="65"/>
      <c r="F26" s="65"/>
    </row>
    <row r="27" spans="1:8">
      <c r="A27" s="61"/>
      <c r="B27" s="65"/>
      <c r="D27" s="65"/>
      <c r="E27" s="65"/>
      <c r="F27" s="65"/>
    </row>
    <row r="28" spans="1:8">
      <c r="A28" s="61"/>
      <c r="B28" s="65"/>
      <c r="D28" s="65"/>
      <c r="E28" s="65"/>
      <c r="F28" s="65"/>
    </row>
    <row r="29" spans="1:8">
      <c r="B29" s="65"/>
    </row>
    <row r="34" spans="1:8">
      <c r="A34" s="57"/>
      <c r="B34" s="57"/>
      <c r="C34" s="64"/>
      <c r="D34" s="64"/>
      <c r="E34" s="64"/>
      <c r="F34" s="64"/>
      <c r="G34" s="64"/>
      <c r="H34" s="64"/>
    </row>
    <row r="35" spans="1:8">
      <c r="A35" s="57"/>
      <c r="B35" s="57"/>
      <c r="C35" s="18"/>
      <c r="D35" s="18"/>
      <c r="E35" s="18"/>
      <c r="F35" s="18"/>
      <c r="G35" s="18"/>
      <c r="H35" s="18"/>
    </row>
    <row r="36" spans="1:8">
      <c r="A36" s="57"/>
      <c r="B36" s="57"/>
      <c r="C36" s="58"/>
      <c r="D36" s="58"/>
      <c r="E36" s="58"/>
      <c r="F36" s="58"/>
    </row>
    <row r="37" spans="1:8">
      <c r="A37" s="61"/>
      <c r="B37" s="61"/>
      <c r="C37" s="60"/>
      <c r="D37" s="60"/>
      <c r="E37" s="60"/>
      <c r="F37" s="60"/>
      <c r="G37" s="59"/>
      <c r="H37" s="59"/>
    </row>
    <row r="38" spans="1:8">
      <c r="A38" s="57"/>
      <c r="B38" s="57"/>
      <c r="C38" s="58"/>
      <c r="D38" s="58"/>
      <c r="E38" s="58"/>
      <c r="F38" s="58"/>
      <c r="G38" s="30"/>
      <c r="H38" s="30"/>
    </row>
    <row r="39" spans="1:8">
      <c r="A39" s="57"/>
      <c r="B39" s="57"/>
      <c r="C39" s="30"/>
      <c r="D39" s="30"/>
      <c r="E39" s="30"/>
      <c r="F39" s="30"/>
      <c r="G39" s="30"/>
      <c r="H39" s="30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3:J25"/>
  <sheetViews>
    <sheetView workbookViewId="0">
      <selection activeCell="J17" sqref="J17"/>
    </sheetView>
  </sheetViews>
  <sheetFormatPr defaultColWidth="8.88671875" defaultRowHeight="12.75"/>
  <cols>
    <col min="1" max="1" width="8.88671875" style="30"/>
    <col min="2" max="2" width="23" style="30" bestFit="1" customWidth="1"/>
    <col min="3" max="3" width="1.77734375" style="30" customWidth="1"/>
    <col min="4" max="4" width="15" style="30" customWidth="1"/>
    <col min="5" max="5" width="1.77734375" style="30" customWidth="1"/>
    <col min="6" max="8" width="13" style="30" customWidth="1"/>
    <col min="9" max="12" width="8.88671875" style="30"/>
    <col min="13" max="15" width="10.33203125" style="30" bestFit="1" customWidth="1"/>
    <col min="16" max="16384" width="8.88671875" style="30"/>
  </cols>
  <sheetData>
    <row r="3" spans="1:10" ht="15" customHeight="1">
      <c r="A3" s="203" t="s">
        <v>264</v>
      </c>
      <c r="B3" s="203"/>
      <c r="C3" s="203"/>
      <c r="D3" s="203"/>
      <c r="E3" s="203"/>
      <c r="F3" s="203"/>
      <c r="G3" s="203"/>
      <c r="H3" s="203"/>
      <c r="I3" s="10"/>
      <c r="J3" s="10"/>
    </row>
    <row r="4" spans="1:10" ht="15" customHeight="1">
      <c r="A4" s="203" t="s">
        <v>265</v>
      </c>
      <c r="B4" s="203"/>
      <c r="C4" s="203"/>
      <c r="D4" s="203"/>
      <c r="E4" s="203"/>
      <c r="F4" s="203"/>
      <c r="G4" s="203"/>
      <c r="H4" s="203"/>
      <c r="I4" s="10"/>
      <c r="J4" s="10"/>
    </row>
    <row r="5" spans="1:10" ht="15" customHeight="1">
      <c r="A5" s="203" t="s">
        <v>2</v>
      </c>
      <c r="B5" s="203"/>
      <c r="C5" s="203"/>
      <c r="D5" s="203"/>
      <c r="E5" s="203"/>
      <c r="F5" s="203"/>
      <c r="G5" s="203"/>
      <c r="H5" s="203"/>
      <c r="I5" s="10"/>
      <c r="J5" s="10"/>
    </row>
    <row r="6" spans="1:10" ht="15" customHeight="1">
      <c r="A6" s="64"/>
      <c r="B6" s="64"/>
      <c r="C6" s="64"/>
      <c r="D6" s="64"/>
      <c r="E6" s="64"/>
      <c r="F6" s="64">
        <v>2021</v>
      </c>
      <c r="G6" s="64">
        <v>2022</v>
      </c>
      <c r="H6" s="64"/>
      <c r="I6" s="10"/>
      <c r="J6" s="10"/>
    </row>
    <row r="7" spans="1:10">
      <c r="B7" s="57" t="s">
        <v>22</v>
      </c>
      <c r="C7" s="57"/>
      <c r="D7" s="57" t="s">
        <v>23</v>
      </c>
      <c r="E7" s="57"/>
      <c r="F7" s="57" t="s">
        <v>256</v>
      </c>
      <c r="G7" s="57" t="s">
        <v>226</v>
      </c>
      <c r="H7" s="57" t="s">
        <v>227</v>
      </c>
    </row>
    <row r="8" spans="1:10">
      <c r="A8" s="57" t="s">
        <v>3</v>
      </c>
    </row>
    <row r="9" spans="1:10">
      <c r="A9" s="5" t="s">
        <v>5</v>
      </c>
      <c r="B9" s="5" t="s">
        <v>26</v>
      </c>
      <c r="C9" s="5"/>
      <c r="D9" s="5" t="s">
        <v>257</v>
      </c>
      <c r="E9" s="5"/>
      <c r="F9" s="73" t="s">
        <v>266</v>
      </c>
      <c r="G9" s="73" t="s">
        <v>267</v>
      </c>
      <c r="H9" s="73" t="s">
        <v>268</v>
      </c>
    </row>
    <row r="10" spans="1:10">
      <c r="A10" s="57"/>
    </row>
    <row r="11" spans="1:10" ht="15">
      <c r="A11" s="57">
        <f>1+A10</f>
        <v>1</v>
      </c>
      <c r="B11" s="92" t="s">
        <v>269</v>
      </c>
      <c r="C11" s="77"/>
      <c r="D11" s="77" t="s">
        <v>270</v>
      </c>
      <c r="E11" s="77"/>
      <c r="F11" s="30">
        <v>-138786389</v>
      </c>
      <c r="G11" s="105">
        <v>-150803951</v>
      </c>
      <c r="H11" s="93">
        <f>SUM(F11:G11)/2</f>
        <v>-144795170</v>
      </c>
      <c r="J11"/>
    </row>
    <row r="12" spans="1:10">
      <c r="A12" s="57">
        <f t="shared" ref="A12:A25" si="0">1+A11</f>
        <v>2</v>
      </c>
      <c r="B12" s="92" t="s">
        <v>271</v>
      </c>
      <c r="G12" s="105"/>
      <c r="H12" s="93"/>
    </row>
    <row r="13" spans="1:10">
      <c r="A13" s="57">
        <f t="shared" si="0"/>
        <v>3</v>
      </c>
      <c r="B13" s="77" t="s">
        <v>220</v>
      </c>
      <c r="D13" s="30" t="s">
        <v>291</v>
      </c>
      <c r="F13" s="30">
        <v>-2569492</v>
      </c>
      <c r="G13" s="105">
        <v>-2426755</v>
      </c>
      <c r="H13" s="93">
        <f>SUM(F13:G13)/2</f>
        <v>-2498123.5</v>
      </c>
    </row>
    <row r="14" spans="1:10">
      <c r="A14" s="57">
        <f t="shared" si="0"/>
        <v>4</v>
      </c>
      <c r="B14" s="77" t="s">
        <v>292</v>
      </c>
      <c r="D14" s="30" t="s">
        <v>51</v>
      </c>
      <c r="F14" s="105">
        <v>2960749.5435074889</v>
      </c>
      <c r="G14" s="105">
        <v>3283225.2696799492</v>
      </c>
      <c r="H14" s="93">
        <f>SUM(F14:G14)/2</f>
        <v>3121987.406593719</v>
      </c>
    </row>
    <row r="15" spans="1:10">
      <c r="A15" s="57">
        <f t="shared" si="0"/>
        <v>5</v>
      </c>
      <c r="B15" s="77" t="s">
        <v>272</v>
      </c>
      <c r="D15" s="30" t="s">
        <v>273</v>
      </c>
      <c r="F15" s="167">
        <f>F11-F13-F14</f>
        <v>-139177646.54350749</v>
      </c>
      <c r="G15" s="167">
        <f>G11-G13-G14</f>
        <v>-151660421.26967996</v>
      </c>
      <c r="H15" s="87">
        <f>H11-H13-H14</f>
        <v>-145419033.90659371</v>
      </c>
    </row>
    <row r="16" spans="1:10">
      <c r="A16" s="57">
        <f t="shared" si="0"/>
        <v>6</v>
      </c>
      <c r="B16" s="77"/>
      <c r="F16" s="105"/>
      <c r="G16" s="105"/>
      <c r="H16" s="93"/>
    </row>
    <row r="17" spans="1:10">
      <c r="A17" s="57">
        <f t="shared" si="0"/>
        <v>7</v>
      </c>
    </row>
    <row r="18" spans="1:10">
      <c r="A18" s="57">
        <f t="shared" si="0"/>
        <v>8</v>
      </c>
      <c r="B18" s="92" t="s">
        <v>104</v>
      </c>
      <c r="C18" s="77"/>
      <c r="E18" s="77"/>
      <c r="F18" s="105"/>
      <c r="G18" s="105"/>
      <c r="H18" s="93"/>
    </row>
    <row r="19" spans="1:10" ht="15">
      <c r="A19" s="57">
        <f t="shared" si="0"/>
        <v>9</v>
      </c>
      <c r="B19" s="92" t="s">
        <v>274</v>
      </c>
      <c r="D19" s="77" t="s">
        <v>275</v>
      </c>
      <c r="F19" s="105">
        <v>4437843</v>
      </c>
      <c r="G19" s="105">
        <v>4184557</v>
      </c>
      <c r="H19" s="93">
        <f>SUM(F19:G19)/2</f>
        <v>4311200</v>
      </c>
      <c r="J19"/>
    </row>
    <row r="20" spans="1:10">
      <c r="A20" s="57">
        <f t="shared" si="0"/>
        <v>10</v>
      </c>
      <c r="B20" s="92" t="s">
        <v>276</v>
      </c>
      <c r="D20" s="77"/>
      <c r="F20" s="168">
        <v>0.21</v>
      </c>
      <c r="G20" s="168">
        <v>0.21</v>
      </c>
      <c r="H20" s="93"/>
    </row>
    <row r="21" spans="1:10">
      <c r="A21" s="57">
        <f t="shared" si="0"/>
        <v>11</v>
      </c>
      <c r="B21" s="92"/>
      <c r="D21" s="77"/>
      <c r="F21" s="169">
        <f>F19*F20</f>
        <v>931947.02999999991</v>
      </c>
      <c r="G21" s="169">
        <f>G19*G20</f>
        <v>878756.97</v>
      </c>
      <c r="H21" s="87">
        <f>SUM(F21:G21)/2</f>
        <v>905352</v>
      </c>
    </row>
    <row r="22" spans="1:10">
      <c r="A22" s="57">
        <f t="shared" si="0"/>
        <v>12</v>
      </c>
      <c r="D22" s="30" t="s">
        <v>277</v>
      </c>
      <c r="F22" s="105">
        <v>-93487982</v>
      </c>
      <c r="G22" s="105">
        <v>-90544371</v>
      </c>
      <c r="H22" s="93">
        <f>SUM(F22:G22)/2</f>
        <v>-92016176.5</v>
      </c>
    </row>
    <row r="23" spans="1:10">
      <c r="A23" s="57">
        <f t="shared" si="0"/>
        <v>13</v>
      </c>
      <c r="B23" s="77" t="s">
        <v>220</v>
      </c>
      <c r="D23" s="30" t="s">
        <v>51</v>
      </c>
      <c r="F23" s="105">
        <v>-882597</v>
      </c>
      <c r="G23" s="105">
        <v>-884948</v>
      </c>
      <c r="H23" s="93">
        <f>SUM(F23:G23)/2</f>
        <v>-883772.5</v>
      </c>
    </row>
    <row r="24" spans="1:10">
      <c r="A24" s="57">
        <f t="shared" si="0"/>
        <v>14</v>
      </c>
      <c r="B24" s="109" t="s">
        <v>292</v>
      </c>
      <c r="D24" s="30" t="s">
        <v>51</v>
      </c>
      <c r="F24" s="105">
        <v>-1280224.4467619362</v>
      </c>
      <c r="G24" s="105">
        <v>-1280224.4467619362</v>
      </c>
      <c r="H24" s="93">
        <f>SUM(F24:G24)/2</f>
        <v>-1280224.4467619362</v>
      </c>
    </row>
    <row r="25" spans="1:10">
      <c r="A25" s="57">
        <f t="shared" si="0"/>
        <v>15</v>
      </c>
      <c r="B25" s="77" t="s">
        <v>272</v>
      </c>
      <c r="D25" s="30" t="s">
        <v>278</v>
      </c>
      <c r="F25" s="167">
        <f>SUM(F21:F22)-F23+F24</f>
        <v>-92953662.416761935</v>
      </c>
      <c r="G25" s="167">
        <f>SUM(G21:G22)-G23+G24</f>
        <v>-90060890.476761937</v>
      </c>
      <c r="H25" s="87">
        <f>SUM(H21:H22)-H23+H24</f>
        <v>-91507276.446761936</v>
      </c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53184-F061-4A48-A0D1-45238B58C029}">
  <sheetPr>
    <tabColor rgb="FF92D050"/>
  </sheetPr>
  <dimension ref="A1:AJ41"/>
  <sheetViews>
    <sheetView workbookViewId="0">
      <pane xSplit="1" ySplit="2" topLeftCell="B3" activePane="bottomRight" state="frozen"/>
      <selection activeCell="V29" sqref="V29:V41"/>
      <selection pane="topRight" activeCell="V29" sqref="V29:V41"/>
      <selection pane="bottomLeft" activeCell="V29" sqref="V29:V41"/>
      <selection pane="bottomRight" activeCell="AG25" sqref="AG25"/>
    </sheetView>
  </sheetViews>
  <sheetFormatPr defaultRowHeight="15"/>
  <cols>
    <col min="2" max="3" width="16.21875" customWidth="1"/>
    <col min="4" max="4" width="12.44140625" customWidth="1"/>
    <col min="5" max="5" width="15.6640625" customWidth="1"/>
    <col min="6" max="6" width="17.88671875" customWidth="1"/>
    <col min="7" max="7" width="12.21875" customWidth="1"/>
    <col min="8" max="8" width="16.21875" customWidth="1"/>
    <col min="9" max="9" width="17" customWidth="1"/>
    <col min="10" max="10" width="11.6640625" customWidth="1"/>
    <col min="11" max="11" width="16.109375" customWidth="1"/>
    <col min="13" max="13" width="12.21875" customWidth="1"/>
    <col min="14" max="14" width="15.109375" customWidth="1"/>
    <col min="15" max="15" width="17.6640625" customWidth="1"/>
    <col min="16" max="16" width="13.109375" customWidth="1"/>
    <col min="17" max="17" width="16.21875" customWidth="1"/>
    <col min="18" max="18" width="17.5546875" customWidth="1"/>
    <col min="19" max="19" width="15.109375" customWidth="1"/>
    <col min="20" max="20" width="14.88671875" customWidth="1"/>
    <col min="21" max="21" width="19.21875" customWidth="1"/>
    <col min="22" max="22" width="14.6640625" customWidth="1"/>
    <col min="24" max="24" width="16.21875" customWidth="1"/>
    <col min="25" max="25" width="16.6640625" customWidth="1"/>
    <col min="30" max="30" width="17.6640625" customWidth="1"/>
    <col min="31" max="31" width="17.88671875" customWidth="1"/>
    <col min="32" max="32" width="13.109375" customWidth="1"/>
    <col min="34" max="34" width="13.21875" customWidth="1"/>
    <col min="35" max="35" width="11.21875" customWidth="1"/>
    <col min="36" max="36" width="18.21875" customWidth="1"/>
  </cols>
  <sheetData>
    <row r="1" spans="1:36">
      <c r="A1" s="170"/>
      <c r="B1" s="208" t="s">
        <v>389</v>
      </c>
      <c r="C1" s="209"/>
      <c r="D1" s="210"/>
      <c r="E1" s="208" t="s">
        <v>390</v>
      </c>
      <c r="F1" s="209"/>
      <c r="G1" s="209"/>
      <c r="H1" s="208" t="s">
        <v>391</v>
      </c>
      <c r="I1" s="209"/>
      <c r="J1" s="209"/>
      <c r="K1" s="208" t="s">
        <v>392</v>
      </c>
      <c r="L1" s="209"/>
      <c r="M1" s="209"/>
      <c r="N1" s="208" t="s">
        <v>393</v>
      </c>
      <c r="O1" s="209"/>
      <c r="P1" s="209"/>
      <c r="Q1" s="208" t="s">
        <v>394</v>
      </c>
      <c r="R1" s="209"/>
      <c r="S1" s="209"/>
      <c r="T1" s="208" t="s">
        <v>395</v>
      </c>
      <c r="U1" s="209"/>
      <c r="V1" s="209"/>
      <c r="W1" s="170"/>
      <c r="X1" s="171"/>
      <c r="Y1" s="171"/>
      <c r="Z1" s="208" t="s">
        <v>396</v>
      </c>
      <c r="AA1" s="209"/>
      <c r="AB1" s="209"/>
      <c r="AC1" s="209"/>
      <c r="AD1" s="172"/>
      <c r="AE1" s="171"/>
      <c r="AF1" s="170"/>
      <c r="AG1" s="173"/>
      <c r="AH1" s="174"/>
      <c r="AI1" s="170"/>
      <c r="AJ1" s="173"/>
    </row>
    <row r="2" spans="1:36">
      <c r="A2" s="175" t="s">
        <v>397</v>
      </c>
      <c r="B2" s="176" t="s">
        <v>78</v>
      </c>
      <c r="C2" s="72" t="s">
        <v>80</v>
      </c>
      <c r="D2" s="177" t="s">
        <v>229</v>
      </c>
      <c r="E2" s="176" t="s">
        <v>78</v>
      </c>
      <c r="F2" s="72" t="s">
        <v>80</v>
      </c>
      <c r="G2" s="72" t="s">
        <v>229</v>
      </c>
      <c r="H2" s="176" t="s">
        <v>78</v>
      </c>
      <c r="I2" s="72" t="s">
        <v>80</v>
      </c>
      <c r="J2" s="72" t="s">
        <v>229</v>
      </c>
      <c r="K2" s="176" t="s">
        <v>78</v>
      </c>
      <c r="L2" s="72" t="s">
        <v>80</v>
      </c>
      <c r="M2" s="72" t="s">
        <v>229</v>
      </c>
      <c r="N2" s="176" t="s">
        <v>78</v>
      </c>
      <c r="O2" s="72" t="s">
        <v>80</v>
      </c>
      <c r="P2" s="72" t="s">
        <v>229</v>
      </c>
      <c r="Q2" s="176" t="s">
        <v>78</v>
      </c>
      <c r="R2" s="72" t="s">
        <v>80</v>
      </c>
      <c r="S2" s="72" t="s">
        <v>229</v>
      </c>
      <c r="T2" s="176" t="s">
        <v>78</v>
      </c>
      <c r="U2" s="72" t="s">
        <v>80</v>
      </c>
      <c r="V2" s="72" t="s">
        <v>229</v>
      </c>
      <c r="W2" s="176" t="s">
        <v>398</v>
      </c>
      <c r="X2" s="176" t="s">
        <v>399</v>
      </c>
      <c r="Y2" s="176" t="s">
        <v>400</v>
      </c>
      <c r="Z2" s="176" t="s">
        <v>401</v>
      </c>
      <c r="AA2" s="72" t="s">
        <v>402</v>
      </c>
      <c r="AB2" s="72" t="s">
        <v>403</v>
      </c>
      <c r="AC2" s="72" t="s">
        <v>404</v>
      </c>
      <c r="AD2" s="178" t="s">
        <v>405</v>
      </c>
      <c r="AE2" s="176" t="s">
        <v>406</v>
      </c>
      <c r="AF2" s="176" t="s">
        <v>407</v>
      </c>
      <c r="AG2" s="179" t="s">
        <v>408</v>
      </c>
      <c r="AH2" s="72" t="s">
        <v>409</v>
      </c>
      <c r="AI2" s="180" t="s">
        <v>410</v>
      </c>
      <c r="AJ2" s="175" t="s">
        <v>411</v>
      </c>
    </row>
    <row r="3" spans="1:36" ht="16.5" customHeight="1">
      <c r="A3" s="181"/>
      <c r="B3" s="182"/>
      <c r="C3" s="67"/>
      <c r="D3" s="183"/>
      <c r="E3" s="182"/>
      <c r="F3" s="67"/>
      <c r="G3" s="67"/>
      <c r="H3" s="182"/>
      <c r="I3" s="67"/>
      <c r="J3" s="67"/>
      <c r="K3" s="182"/>
      <c r="L3" s="67"/>
      <c r="M3" s="67"/>
      <c r="N3" s="182"/>
      <c r="O3" s="67"/>
      <c r="P3" s="67"/>
      <c r="Q3" s="182"/>
      <c r="R3" s="67"/>
      <c r="S3" s="67"/>
      <c r="T3" s="182"/>
      <c r="U3" s="67"/>
      <c r="V3" s="67"/>
      <c r="W3" s="182"/>
      <c r="X3" s="182"/>
      <c r="Y3" s="182"/>
      <c r="Z3" s="182"/>
      <c r="AA3" s="67"/>
      <c r="AB3" s="67"/>
      <c r="AC3" s="67"/>
      <c r="AD3" s="184"/>
      <c r="AE3" s="182"/>
      <c r="AF3" s="182"/>
      <c r="AG3" s="185"/>
      <c r="AH3" s="182"/>
      <c r="AI3" s="181"/>
      <c r="AJ3" s="186"/>
    </row>
    <row r="4" spans="1:36" ht="16.5" customHeight="1">
      <c r="A4" s="181"/>
      <c r="B4" s="182"/>
      <c r="C4" s="67"/>
      <c r="D4" s="183"/>
      <c r="E4" s="182"/>
      <c r="F4" s="67"/>
      <c r="G4" s="67"/>
      <c r="H4" s="182"/>
      <c r="I4" s="67"/>
      <c r="J4" s="67"/>
      <c r="K4" s="182"/>
      <c r="L4" s="67"/>
      <c r="M4" s="67"/>
      <c r="N4" s="182"/>
      <c r="O4" s="67"/>
      <c r="P4" s="67"/>
      <c r="Q4" s="182"/>
      <c r="R4" s="67"/>
      <c r="S4" s="67"/>
      <c r="T4" s="182"/>
      <c r="U4" s="67"/>
      <c r="V4" s="67"/>
      <c r="W4" s="182"/>
      <c r="X4" s="182"/>
      <c r="Y4" s="182"/>
      <c r="Z4" s="182"/>
      <c r="AA4" s="67"/>
      <c r="AB4" s="67"/>
      <c r="AC4" s="67"/>
      <c r="AD4" s="184"/>
      <c r="AE4" s="182"/>
      <c r="AF4" s="182"/>
      <c r="AG4" s="185"/>
      <c r="AH4" s="182"/>
      <c r="AI4" s="181"/>
      <c r="AJ4" s="186"/>
    </row>
    <row r="5" spans="1:36" ht="16.5" customHeight="1">
      <c r="A5" s="187">
        <v>43800</v>
      </c>
      <c r="B5" s="188">
        <v>51072235.319999993</v>
      </c>
      <c r="C5" s="188">
        <v>7022205.6799999997</v>
      </c>
      <c r="D5" s="189">
        <v>235135831.94</v>
      </c>
      <c r="E5" s="190">
        <v>6.5299999999999997E-2</v>
      </c>
      <c r="F5" s="190">
        <v>6.5299999999999997E-2</v>
      </c>
      <c r="G5" s="190">
        <v>2.3199999999999998E-2</v>
      </c>
      <c r="H5" s="189">
        <f t="shared" ref="H5:J20" si="0">E5*B5/12</f>
        <v>277918.08053299994</v>
      </c>
      <c r="I5" s="189">
        <f t="shared" si="0"/>
        <v>38212.502575333332</v>
      </c>
      <c r="J5" s="189">
        <f t="shared" si="0"/>
        <v>454595.94175066659</v>
      </c>
      <c r="K5" s="190">
        <v>4.6199999999999998E-2</v>
      </c>
      <c r="L5" s="190">
        <v>4.6199999999999998E-2</v>
      </c>
      <c r="M5" s="190">
        <v>2.2599999999999999E-2</v>
      </c>
      <c r="N5" s="189">
        <f t="shared" ref="N5:P20" si="1">K5*B5/12</f>
        <v>196628.10598199998</v>
      </c>
      <c r="O5" s="189">
        <f t="shared" si="1"/>
        <v>27035.491867999997</v>
      </c>
      <c r="P5" s="189">
        <f t="shared" si="1"/>
        <v>442839.15015366668</v>
      </c>
      <c r="Q5" s="189">
        <f t="shared" ref="Q5:S20" si="2">H5-N5</f>
        <v>81289.974550999963</v>
      </c>
      <c r="R5" s="189">
        <f t="shared" si="2"/>
        <v>11177.010707333335</v>
      </c>
      <c r="S5" s="189">
        <f t="shared" si="2"/>
        <v>11756.791596999916</v>
      </c>
      <c r="T5" s="191">
        <v>8210964.2157948297</v>
      </c>
      <c r="U5" s="191">
        <v>1534068.7335359179</v>
      </c>
      <c r="V5" s="191">
        <v>1589790.1909509983</v>
      </c>
      <c r="W5" s="192">
        <v>0.21</v>
      </c>
      <c r="X5" s="193">
        <v>-2380312.8594591664</v>
      </c>
      <c r="Y5" s="193">
        <v>-1280224.4467619362</v>
      </c>
      <c r="Z5" s="194">
        <v>0.12907930019431649</v>
      </c>
      <c r="AA5" s="194">
        <v>0.32745510276006462</v>
      </c>
      <c r="AB5" s="194">
        <v>0.81793400000000005</v>
      </c>
      <c r="AC5" s="194">
        <v>0.16605692838435593</v>
      </c>
      <c r="AD5" s="189">
        <v>2138769.908593799</v>
      </c>
      <c r="AE5" s="190">
        <v>8.7575585376438198E-2</v>
      </c>
      <c r="AF5" s="190">
        <v>2.6015585376438194E-2</v>
      </c>
      <c r="AG5" s="190">
        <f t="shared" ref="AG5:AG17" si="3">(W5/(1-W5))*(1-AF5/AE5)</f>
        <v>0.18685630889672664</v>
      </c>
      <c r="AH5" s="195">
        <f t="shared" ref="AH5:AH7" si="4">AD5*AE5</f>
        <v>187304.02673061317</v>
      </c>
      <c r="AI5" s="195">
        <f t="shared" ref="AI5:AI41" si="5">AH5*AG5</f>
        <v>34998.939076376198</v>
      </c>
      <c r="AJ5" s="196"/>
    </row>
    <row r="6" spans="1:36" ht="16.5" customHeight="1">
      <c r="A6" s="187">
        <v>43831</v>
      </c>
      <c r="B6" s="189">
        <v>50906875.210000008</v>
      </c>
      <c r="C6" s="189">
        <v>7769749.8300000001</v>
      </c>
      <c r="D6" s="189">
        <v>235538607</v>
      </c>
      <c r="E6" s="190">
        <v>6.5299999999999997E-2</v>
      </c>
      <c r="F6" s="190">
        <v>6.5299999999999997E-2</v>
      </c>
      <c r="G6" s="190">
        <v>2.3199999999999998E-2</v>
      </c>
      <c r="H6" s="189">
        <f t="shared" si="0"/>
        <v>277018.24593441671</v>
      </c>
      <c r="I6" s="189">
        <f t="shared" si="0"/>
        <v>42280.388658249998</v>
      </c>
      <c r="J6" s="189">
        <f t="shared" si="0"/>
        <v>455374.64019999997</v>
      </c>
      <c r="K6" s="190">
        <v>4.6199999999999998E-2</v>
      </c>
      <c r="L6" s="190">
        <v>4.6199999999999998E-2</v>
      </c>
      <c r="M6" s="190">
        <v>2.2599999999999999E-2</v>
      </c>
      <c r="N6" s="189">
        <f t="shared" si="1"/>
        <v>195991.46955850002</v>
      </c>
      <c r="O6" s="189">
        <f t="shared" si="1"/>
        <v>29913.536845499999</v>
      </c>
      <c r="P6" s="189">
        <f t="shared" si="1"/>
        <v>443597.70984999998</v>
      </c>
      <c r="Q6" s="189">
        <f t="shared" si="2"/>
        <v>81026.776375916699</v>
      </c>
      <c r="R6" s="189">
        <f t="shared" si="2"/>
        <v>12366.851812749999</v>
      </c>
      <c r="S6" s="189">
        <f t="shared" si="2"/>
        <v>11776.930349999981</v>
      </c>
      <c r="T6" s="189">
        <f t="shared" ref="T6:V21" si="6">T5+Q6</f>
        <v>8291990.9921707464</v>
      </c>
      <c r="U6" s="189">
        <f t="shared" si="6"/>
        <v>1546435.585348668</v>
      </c>
      <c r="V6" s="189">
        <f t="shared" si="6"/>
        <v>1601567.1213009984</v>
      </c>
      <c r="W6" s="192">
        <v>0.21</v>
      </c>
      <c r="X6" s="197">
        <f t="shared" ref="X6:X41" si="7">SUM(T6:V6)*-W6</f>
        <v>-2402398.676752287</v>
      </c>
      <c r="Y6" s="197">
        <f t="shared" ref="Y6:Y41" si="8">Y5</f>
        <v>-1280224.4467619362</v>
      </c>
      <c r="Z6" s="194">
        <v>0.11500586957360617</v>
      </c>
      <c r="AA6" s="194">
        <v>0.32825383525594476</v>
      </c>
      <c r="AB6" s="194">
        <v>0.82734099999999999</v>
      </c>
      <c r="AC6" s="194">
        <v>0.17775024587979751</v>
      </c>
      <c r="AD6" s="189">
        <v>2021788.711191867</v>
      </c>
      <c r="AE6" s="190">
        <v>8.7839965026097311E-2</v>
      </c>
      <c r="AF6" s="190">
        <v>2.5999999999999999E-2</v>
      </c>
      <c r="AG6" s="190">
        <f t="shared" si="3"/>
        <v>0.18714114595690171</v>
      </c>
      <c r="AH6" s="195">
        <f t="shared" si="4"/>
        <v>177593.84968125194</v>
      </c>
      <c r="AI6" s="195">
        <f t="shared" si="5"/>
        <v>33235.116544247234</v>
      </c>
      <c r="AJ6" s="196"/>
    </row>
    <row r="7" spans="1:36" ht="16.5" customHeight="1">
      <c r="A7" s="187">
        <v>43862</v>
      </c>
      <c r="B7" s="189">
        <v>51496544.460000008</v>
      </c>
      <c r="C7" s="189">
        <v>7323717.5899999999</v>
      </c>
      <c r="D7" s="189">
        <v>235841096</v>
      </c>
      <c r="E7" s="190">
        <v>6.5299999999999997E-2</v>
      </c>
      <c r="F7" s="190">
        <v>6.5299999999999997E-2</v>
      </c>
      <c r="G7" s="190">
        <v>2.3199999999999998E-2</v>
      </c>
      <c r="H7" s="189">
        <f t="shared" si="0"/>
        <v>280227.02943650004</v>
      </c>
      <c r="I7" s="189">
        <f t="shared" si="0"/>
        <v>39853.229885583329</v>
      </c>
      <c r="J7" s="189">
        <f t="shared" si="0"/>
        <v>455959.45226666663</v>
      </c>
      <c r="K7" s="190">
        <v>4.6199999999999998E-2</v>
      </c>
      <c r="L7" s="190">
        <v>4.6199999999999998E-2</v>
      </c>
      <c r="M7" s="190">
        <v>2.2599999999999999E-2</v>
      </c>
      <c r="N7" s="189">
        <f t="shared" si="1"/>
        <v>198261.69617100002</v>
      </c>
      <c r="O7" s="189">
        <f t="shared" si="1"/>
        <v>28196.312721499999</v>
      </c>
      <c r="P7" s="189">
        <f t="shared" si="1"/>
        <v>444167.39746666659</v>
      </c>
      <c r="Q7" s="189">
        <f t="shared" si="2"/>
        <v>81965.333265500027</v>
      </c>
      <c r="R7" s="189">
        <f t="shared" si="2"/>
        <v>11656.91716408333</v>
      </c>
      <c r="S7" s="189">
        <f t="shared" si="2"/>
        <v>11792.054800000042</v>
      </c>
      <c r="T7" s="189">
        <f t="shared" si="6"/>
        <v>8373956.3254362466</v>
      </c>
      <c r="U7" s="189">
        <f t="shared" si="6"/>
        <v>1558092.5025127514</v>
      </c>
      <c r="V7" s="189">
        <f t="shared" si="6"/>
        <v>1613359.1761009984</v>
      </c>
      <c r="W7" s="192">
        <v>0.21</v>
      </c>
      <c r="X7" s="197">
        <f t="shared" si="7"/>
        <v>-2424535.6808504993</v>
      </c>
      <c r="Y7" s="197">
        <f t="shared" si="8"/>
        <v>-1280224.4467619362</v>
      </c>
      <c r="Z7" s="194">
        <v>0.11500586957360617</v>
      </c>
      <c r="AA7" s="194">
        <v>0.32825383525594476</v>
      </c>
      <c r="AB7" s="194">
        <v>0.82734099999999999</v>
      </c>
      <c r="AC7" s="194">
        <v>0.17775024587979751</v>
      </c>
      <c r="AD7" s="189">
        <v>2039835.0190592811</v>
      </c>
      <c r="AE7" s="190">
        <v>8.7839965026097311E-2</v>
      </c>
      <c r="AF7" s="190">
        <v>2.5999999999999999E-2</v>
      </c>
      <c r="AG7" s="190">
        <f t="shared" si="3"/>
        <v>0.18714114595690171</v>
      </c>
      <c r="AH7" s="195">
        <f t="shared" si="4"/>
        <v>179179.0367331758</v>
      </c>
      <c r="AI7" s="195">
        <f t="shared" si="5"/>
        <v>33531.770265700303</v>
      </c>
      <c r="AJ7" s="196"/>
    </row>
    <row r="8" spans="1:36" ht="16.5" customHeight="1">
      <c r="A8" s="187">
        <v>43891</v>
      </c>
      <c r="B8" s="189">
        <v>51687637.170000002</v>
      </c>
      <c r="C8" s="189">
        <v>7335249.5700000003</v>
      </c>
      <c r="D8" s="189">
        <v>236219400</v>
      </c>
      <c r="E8" s="190">
        <v>6.5299999999999997E-2</v>
      </c>
      <c r="F8" s="190">
        <v>6.5299999999999997E-2</v>
      </c>
      <c r="G8" s="190">
        <v>2.3199999999999998E-2</v>
      </c>
      <c r="H8" s="189">
        <f t="shared" si="0"/>
        <v>281266.89226674999</v>
      </c>
      <c r="I8" s="189">
        <f t="shared" si="0"/>
        <v>39915.983076750003</v>
      </c>
      <c r="J8" s="189">
        <f t="shared" si="0"/>
        <v>456690.84</v>
      </c>
      <c r="K8" s="190">
        <v>4.6199999999999998E-2</v>
      </c>
      <c r="L8" s="190">
        <v>4.6199999999999998E-2</v>
      </c>
      <c r="M8" s="190">
        <v>2.2599999999999999E-2</v>
      </c>
      <c r="N8" s="189">
        <f t="shared" si="1"/>
        <v>198997.4031045</v>
      </c>
      <c r="O8" s="189">
        <f t="shared" si="1"/>
        <v>28240.710844500001</v>
      </c>
      <c r="P8" s="189">
        <f t="shared" si="1"/>
        <v>444879.86999999994</v>
      </c>
      <c r="Q8" s="189">
        <f>H8-N8</f>
        <v>82269.489162249985</v>
      </c>
      <c r="R8" s="189">
        <f t="shared" si="2"/>
        <v>11675.272232250001</v>
      </c>
      <c r="S8" s="189">
        <f t="shared" si="2"/>
        <v>11810.970000000088</v>
      </c>
      <c r="T8" s="189">
        <f t="shared" si="6"/>
        <v>8456225.814598497</v>
      </c>
      <c r="U8" s="189">
        <f t="shared" si="6"/>
        <v>1569767.7747450015</v>
      </c>
      <c r="V8" s="189">
        <f t="shared" si="6"/>
        <v>1625170.1461009984</v>
      </c>
      <c r="W8" s="192">
        <v>0.21</v>
      </c>
      <c r="X8" s="197">
        <f t="shared" si="7"/>
        <v>-2446744.3844433445</v>
      </c>
      <c r="Y8" s="197">
        <f t="shared" si="8"/>
        <v>-1280224.4467619362</v>
      </c>
      <c r="Z8" s="194">
        <v>0.11500586957360617</v>
      </c>
      <c r="AA8" s="194">
        <v>0.32825383525594476</v>
      </c>
      <c r="AB8" s="194">
        <v>0.82734099999999999</v>
      </c>
      <c r="AC8" s="194">
        <v>0.17775024587979751</v>
      </c>
      <c r="AD8" s="189">
        <v>2057983.3989771481</v>
      </c>
      <c r="AE8" s="190">
        <v>8.7839965026097311E-2</v>
      </c>
      <c r="AF8" s="190">
        <v>2.5999999999999999E-2</v>
      </c>
      <c r="AG8" s="190">
        <f t="shared" si="3"/>
        <v>0.18714114595690171</v>
      </c>
      <c r="AH8" s="195">
        <f>AD8*AE8</f>
        <v>180773.18979044157</v>
      </c>
      <c r="AI8" s="195">
        <f t="shared" si="5"/>
        <v>33830.101895667722</v>
      </c>
      <c r="AJ8" s="196"/>
    </row>
    <row r="9" spans="1:36" ht="16.5" customHeight="1">
      <c r="A9" s="187">
        <v>43922</v>
      </c>
      <c r="B9" s="189">
        <v>51881060.170000002</v>
      </c>
      <c r="C9" s="189">
        <v>7346422.7800000003</v>
      </c>
      <c r="D9" s="189">
        <v>236620295</v>
      </c>
      <c r="E9" s="190">
        <v>6.5299999999999997E-2</v>
      </c>
      <c r="F9" s="190">
        <v>6.5299999999999997E-2</v>
      </c>
      <c r="G9" s="190">
        <v>2.3199999999999998E-2</v>
      </c>
      <c r="H9" s="189">
        <f t="shared" si="0"/>
        <v>282319.43575841666</v>
      </c>
      <c r="I9" s="189">
        <f t="shared" si="0"/>
        <v>39976.783961166664</v>
      </c>
      <c r="J9" s="189">
        <f t="shared" si="0"/>
        <v>457465.90366666665</v>
      </c>
      <c r="K9" s="190">
        <v>4.6199999999999998E-2</v>
      </c>
      <c r="L9" s="190">
        <v>4.6199999999999998E-2</v>
      </c>
      <c r="M9" s="190">
        <v>2.2599999999999999E-2</v>
      </c>
      <c r="N9" s="189">
        <f t="shared" si="1"/>
        <v>199742.08165449998</v>
      </c>
      <c r="O9" s="189">
        <f t="shared" si="1"/>
        <v>28283.727703</v>
      </c>
      <c r="P9" s="189">
        <f t="shared" si="1"/>
        <v>445634.88891666662</v>
      </c>
      <c r="Q9" s="189">
        <f t="shared" ref="Q9:S29" si="9">H9-N9</f>
        <v>82577.354103916674</v>
      </c>
      <c r="R9" s="189">
        <f t="shared" si="2"/>
        <v>11693.056258166664</v>
      </c>
      <c r="S9" s="189">
        <f t="shared" si="2"/>
        <v>11831.014750000031</v>
      </c>
      <c r="T9" s="189">
        <f t="shared" si="6"/>
        <v>8538803.1687024143</v>
      </c>
      <c r="U9" s="189">
        <f t="shared" si="6"/>
        <v>1581460.8310031681</v>
      </c>
      <c r="V9" s="189">
        <f t="shared" si="6"/>
        <v>1637001.1608509985</v>
      </c>
      <c r="W9" s="192">
        <v>0.21</v>
      </c>
      <c r="X9" s="197">
        <f t="shared" si="7"/>
        <v>-2469025.683716882</v>
      </c>
      <c r="Y9" s="197">
        <f t="shared" si="8"/>
        <v>-1280224.4467619362</v>
      </c>
      <c r="Z9" s="194">
        <v>0.11500586957360617</v>
      </c>
      <c r="AA9" s="194">
        <v>0.32825383525594476</v>
      </c>
      <c r="AB9" s="194">
        <v>0.82734099999999999</v>
      </c>
      <c r="AC9" s="194">
        <v>0.17775024587979751</v>
      </c>
      <c r="AD9" s="189">
        <v>2076275.3652726095</v>
      </c>
      <c r="AE9" s="190">
        <v>8.7839965026097311E-2</v>
      </c>
      <c r="AF9" s="190">
        <v>2.5999999999999999E-2</v>
      </c>
      <c r="AG9" s="190">
        <f t="shared" si="3"/>
        <v>0.18714114595690171</v>
      </c>
      <c r="AH9" s="195">
        <f t="shared" ref="AH9:AH41" si="10">AD9*AE9</f>
        <v>182379.95547009344</v>
      </c>
      <c r="AI9" s="195">
        <f t="shared" si="5"/>
        <v>34130.793866241991</v>
      </c>
      <c r="AJ9" s="196"/>
    </row>
    <row r="10" spans="1:36" ht="16.5" customHeight="1">
      <c r="A10" s="187">
        <v>43952</v>
      </c>
      <c r="B10" s="189">
        <v>51971375.170000002</v>
      </c>
      <c r="C10" s="189">
        <v>7405150.4100000001</v>
      </c>
      <c r="D10" s="189">
        <v>234677363</v>
      </c>
      <c r="E10" s="190">
        <v>6.5299999999999997E-2</v>
      </c>
      <c r="F10" s="190">
        <v>6.5299999999999997E-2</v>
      </c>
      <c r="G10" s="190">
        <v>2.3199999999999998E-2</v>
      </c>
      <c r="H10" s="189">
        <f t="shared" si="0"/>
        <v>282810.89988341666</v>
      </c>
      <c r="I10" s="189">
        <f t="shared" si="0"/>
        <v>40296.360147749998</v>
      </c>
      <c r="J10" s="189">
        <f t="shared" si="0"/>
        <v>453709.56846666662</v>
      </c>
      <c r="K10" s="190">
        <v>4.6199999999999998E-2</v>
      </c>
      <c r="L10" s="190">
        <v>4.6199999999999998E-2</v>
      </c>
      <c r="M10" s="190">
        <v>2.2599999999999999E-2</v>
      </c>
      <c r="N10" s="189">
        <f t="shared" si="1"/>
        <v>200089.79440450002</v>
      </c>
      <c r="O10" s="189">
        <f t="shared" si="1"/>
        <v>28509.829078499999</v>
      </c>
      <c r="P10" s="189">
        <f t="shared" si="1"/>
        <v>441975.70031666663</v>
      </c>
      <c r="Q10" s="189">
        <f t="shared" si="9"/>
        <v>82721.105478916637</v>
      </c>
      <c r="R10" s="189">
        <f t="shared" si="2"/>
        <v>11786.531069249999</v>
      </c>
      <c r="S10" s="189">
        <f t="shared" si="2"/>
        <v>11733.868149999995</v>
      </c>
      <c r="T10" s="189">
        <f t="shared" si="6"/>
        <v>8621524.2741813306</v>
      </c>
      <c r="U10" s="189">
        <f t="shared" si="6"/>
        <v>1593247.3620724182</v>
      </c>
      <c r="V10" s="189">
        <f t="shared" si="6"/>
        <v>1648735.0290009985</v>
      </c>
      <c r="W10" s="192">
        <v>0.21</v>
      </c>
      <c r="X10" s="197">
        <f t="shared" si="7"/>
        <v>-2491336.3997034966</v>
      </c>
      <c r="Y10" s="197">
        <f t="shared" si="8"/>
        <v>-1280224.4467619362</v>
      </c>
      <c r="Z10" s="194">
        <v>0.11500586957360617</v>
      </c>
      <c r="AA10" s="194">
        <v>0.32825383525594476</v>
      </c>
      <c r="AB10" s="194">
        <v>0.82734099999999999</v>
      </c>
      <c r="AC10" s="194">
        <v>0.17775024587979751</v>
      </c>
      <c r="AD10" s="189">
        <v>2094711.768244097</v>
      </c>
      <c r="AE10" s="190">
        <v>8.7839965026097311E-2</v>
      </c>
      <c r="AF10" s="190">
        <v>2.5999999999999999E-2</v>
      </c>
      <c r="AG10" s="190">
        <f t="shared" si="3"/>
        <v>0.18714114595690171</v>
      </c>
      <c r="AH10" s="195">
        <f t="shared" si="10"/>
        <v>183999.40846231594</v>
      </c>
      <c r="AI10" s="195">
        <f t="shared" si="5"/>
        <v>34433.860155029841</v>
      </c>
      <c r="AJ10" s="196"/>
    </row>
    <row r="11" spans="1:36" ht="16.5" customHeight="1">
      <c r="A11" s="187">
        <v>43983</v>
      </c>
      <c r="B11" s="189">
        <v>52047774.610000014</v>
      </c>
      <c r="C11" s="189">
        <v>7282998.3499999996</v>
      </c>
      <c r="D11" s="189">
        <v>234788635</v>
      </c>
      <c r="E11" s="190">
        <v>6.5299999999999997E-2</v>
      </c>
      <c r="F11" s="190">
        <v>6.5299999999999997E-2</v>
      </c>
      <c r="G11" s="190">
        <v>2.3199999999999998E-2</v>
      </c>
      <c r="H11" s="189">
        <f t="shared" si="0"/>
        <v>283226.64016941673</v>
      </c>
      <c r="I11" s="189">
        <f>F11*C11/12</f>
        <v>39631.649354583329</v>
      </c>
      <c r="J11" s="189">
        <f t="shared" si="0"/>
        <v>453924.69433333329</v>
      </c>
      <c r="K11" s="190">
        <v>4.6199999999999998E-2</v>
      </c>
      <c r="L11" s="190">
        <v>4.6199999999999998E-2</v>
      </c>
      <c r="M11" s="190">
        <v>2.2599999999999999E-2</v>
      </c>
      <c r="N11" s="189">
        <f t="shared" si="1"/>
        <v>200383.93224850006</v>
      </c>
      <c r="O11" s="189">
        <f t="shared" si="1"/>
        <v>28039.543647499999</v>
      </c>
      <c r="P11" s="189">
        <f t="shared" si="1"/>
        <v>442185.2625833333</v>
      </c>
      <c r="Q11" s="189">
        <f t="shared" si="9"/>
        <v>82842.70792091667</v>
      </c>
      <c r="R11" s="189">
        <f t="shared" si="2"/>
        <v>11592.10570708333</v>
      </c>
      <c r="S11" s="189">
        <f t="shared" si="2"/>
        <v>11739.431749999989</v>
      </c>
      <c r="T11" s="189">
        <f t="shared" si="6"/>
        <v>8704366.982102247</v>
      </c>
      <c r="U11" s="189">
        <f t="shared" si="6"/>
        <v>1604839.4677795016</v>
      </c>
      <c r="V11" s="189">
        <f t="shared" si="6"/>
        <v>1660474.4607509985</v>
      </c>
      <c r="W11" s="192">
        <v>0.21</v>
      </c>
      <c r="X11" s="197">
        <f t="shared" si="7"/>
        <v>-2513632.9912328771</v>
      </c>
      <c r="Y11" s="197">
        <f t="shared" si="8"/>
        <v>-1280224.4467619362</v>
      </c>
      <c r="Z11" s="194">
        <v>0.11500586957360617</v>
      </c>
      <c r="AA11" s="194">
        <v>0.32825383525594476</v>
      </c>
      <c r="AB11" s="194">
        <v>0.82734099999999999</v>
      </c>
      <c r="AC11" s="194">
        <v>0.17775024587979751</v>
      </c>
      <c r="AD11" s="189">
        <v>2113288.6154266139</v>
      </c>
      <c r="AE11" s="190">
        <v>8.7839965026097311E-2</v>
      </c>
      <c r="AF11" s="190">
        <v>2.5999999999999999E-2</v>
      </c>
      <c r="AG11" s="190">
        <f t="shared" si="3"/>
        <v>0.18714114595690171</v>
      </c>
      <c r="AH11" s="195">
        <f t="shared" si="10"/>
        <v>185631.19806912338</v>
      </c>
      <c r="AI11" s="195">
        <f t="shared" si="5"/>
        <v>34739.235132008347</v>
      </c>
      <c r="AJ11" s="196"/>
    </row>
    <row r="12" spans="1:36" ht="16.5" customHeight="1">
      <c r="A12" s="187">
        <v>44013</v>
      </c>
      <c r="B12" s="189">
        <v>52357202.150000006</v>
      </c>
      <c r="C12" s="189">
        <v>7282829.8400000008</v>
      </c>
      <c r="D12" s="189">
        <v>237708818</v>
      </c>
      <c r="E12" s="190">
        <v>6.5299999999999997E-2</v>
      </c>
      <c r="F12" s="190">
        <v>6.5299999999999997E-2</v>
      </c>
      <c r="G12" s="190">
        <v>2.3199999999999998E-2</v>
      </c>
      <c r="H12" s="189">
        <f t="shared" si="0"/>
        <v>284910.44169958337</v>
      </c>
      <c r="I12" s="189">
        <f t="shared" si="0"/>
        <v>39630.732379333334</v>
      </c>
      <c r="J12" s="189">
        <f t="shared" si="0"/>
        <v>459570.38146666664</v>
      </c>
      <c r="K12" s="190">
        <v>4.6199999999999998E-2</v>
      </c>
      <c r="L12" s="190">
        <v>4.6199999999999998E-2</v>
      </c>
      <c r="M12" s="190">
        <v>2.2599999999999999E-2</v>
      </c>
      <c r="N12" s="189">
        <f t="shared" si="1"/>
        <v>201575.22827750002</v>
      </c>
      <c r="O12" s="189">
        <f t="shared" si="1"/>
        <v>28038.894884000005</v>
      </c>
      <c r="P12" s="189">
        <f t="shared" si="1"/>
        <v>447684.94056666666</v>
      </c>
      <c r="Q12" s="189">
        <f t="shared" si="9"/>
        <v>83335.213422083354</v>
      </c>
      <c r="R12" s="189">
        <f t="shared" si="2"/>
        <v>11591.83749533333</v>
      </c>
      <c r="S12" s="189">
        <f t="shared" si="2"/>
        <v>11885.440899999987</v>
      </c>
      <c r="T12" s="189">
        <f t="shared" si="6"/>
        <v>8787702.1955243312</v>
      </c>
      <c r="U12" s="189">
        <f t="shared" si="6"/>
        <v>1616431.3052748349</v>
      </c>
      <c r="V12" s="189">
        <f t="shared" si="6"/>
        <v>1672359.9016509985</v>
      </c>
      <c r="W12" s="192">
        <v>0.21</v>
      </c>
      <c r="X12" s="197">
        <f t="shared" si="7"/>
        <v>-2536063.6145145344</v>
      </c>
      <c r="Y12" s="197">
        <f t="shared" si="8"/>
        <v>-1280224.4467619362</v>
      </c>
      <c r="Z12" s="194">
        <v>0.11500586957360617</v>
      </c>
      <c r="AA12" s="194">
        <v>0.32825383525594476</v>
      </c>
      <c r="AB12" s="194">
        <v>0.82734099999999999</v>
      </c>
      <c r="AC12" s="194">
        <v>0.17775024587979751</v>
      </c>
      <c r="AD12" s="189">
        <v>2132012.6799403969</v>
      </c>
      <c r="AE12" s="190">
        <v>8.7839965026097311E-2</v>
      </c>
      <c r="AF12" s="190">
        <v>2.5999999999999999E-2</v>
      </c>
      <c r="AG12" s="190">
        <f t="shared" si="3"/>
        <v>0.18714114595690171</v>
      </c>
      <c r="AH12" s="195">
        <f t="shared" si="10"/>
        <v>187275.91924116047</v>
      </c>
      <c r="AI12" s="195">
        <f t="shared" si="5"/>
        <v>35047.030136922949</v>
      </c>
      <c r="AJ12" s="196"/>
    </row>
    <row r="13" spans="1:36" ht="16.5" customHeight="1">
      <c r="A13" s="187">
        <v>44044</v>
      </c>
      <c r="B13" s="189">
        <v>52842613.88000001</v>
      </c>
      <c r="C13" s="189">
        <v>7282342.1500000004</v>
      </c>
      <c r="D13" s="189">
        <v>237741571</v>
      </c>
      <c r="E13" s="190">
        <v>6.5299999999999997E-2</v>
      </c>
      <c r="F13" s="190">
        <v>6.5299999999999997E-2</v>
      </c>
      <c r="G13" s="190">
        <v>2.3199999999999998E-2</v>
      </c>
      <c r="H13" s="189">
        <f t="shared" si="0"/>
        <v>287551.89053033339</v>
      </c>
      <c r="I13" s="189">
        <f t="shared" si="0"/>
        <v>39628.078532916668</v>
      </c>
      <c r="J13" s="189">
        <f t="shared" si="0"/>
        <v>459633.70393333328</v>
      </c>
      <c r="K13" s="190">
        <v>4.6199999999999998E-2</v>
      </c>
      <c r="L13" s="190">
        <v>4.6199999999999998E-2</v>
      </c>
      <c r="M13" s="190">
        <v>2.2599999999999999E-2</v>
      </c>
      <c r="N13" s="189">
        <f t="shared" si="1"/>
        <v>203444.06343800004</v>
      </c>
      <c r="O13" s="189">
        <f t="shared" si="1"/>
        <v>28037.017277499999</v>
      </c>
      <c r="P13" s="189">
        <f t="shared" si="1"/>
        <v>447746.6253833333</v>
      </c>
      <c r="Q13" s="189">
        <f t="shared" si="9"/>
        <v>84107.827092333348</v>
      </c>
      <c r="R13" s="189">
        <f t="shared" si="2"/>
        <v>11591.061255416669</v>
      </c>
      <c r="S13" s="189">
        <f t="shared" si="2"/>
        <v>11887.078549999977</v>
      </c>
      <c r="T13" s="189">
        <f t="shared" si="6"/>
        <v>8871810.0226166639</v>
      </c>
      <c r="U13" s="189">
        <f t="shared" si="6"/>
        <v>1628022.3665302515</v>
      </c>
      <c r="V13" s="189">
        <f t="shared" si="6"/>
        <v>1684246.9802009985</v>
      </c>
      <c r="W13" s="192">
        <v>0.21</v>
      </c>
      <c r="X13" s="197">
        <f t="shared" si="7"/>
        <v>-2558656.6675630617</v>
      </c>
      <c r="Y13" s="197">
        <f t="shared" si="8"/>
        <v>-1280224.4467619362</v>
      </c>
      <c r="Z13" s="194">
        <v>0.11500586957360617</v>
      </c>
      <c r="AA13" s="194">
        <v>0.32825383525594476</v>
      </c>
      <c r="AB13" s="194">
        <v>0.82734099999999999</v>
      </c>
      <c r="AC13" s="194">
        <v>0.17775024587979751</v>
      </c>
      <c r="AD13" s="189">
        <v>2150884.9664469147</v>
      </c>
      <c r="AE13" s="190">
        <v>8.7839965026097311E-2</v>
      </c>
      <c r="AF13" s="190">
        <v>2.5999999999999999E-2</v>
      </c>
      <c r="AG13" s="190">
        <f t="shared" si="3"/>
        <v>0.18714114595690171</v>
      </c>
      <c r="AH13" s="195">
        <f t="shared" si="10"/>
        <v>188933.66022785546</v>
      </c>
      <c r="AI13" s="195">
        <f t="shared" si="5"/>
        <v>35357.261684872778</v>
      </c>
      <c r="AJ13" s="196"/>
    </row>
    <row r="14" spans="1:36" ht="16.5" customHeight="1">
      <c r="A14" s="187">
        <v>44075</v>
      </c>
      <c r="B14" s="189">
        <v>52790086.890000001</v>
      </c>
      <c r="C14" s="189">
        <v>7277905.8000000007</v>
      </c>
      <c r="D14" s="189">
        <v>234479704</v>
      </c>
      <c r="E14" s="190">
        <v>6.5299999999999997E-2</v>
      </c>
      <c r="F14" s="190">
        <v>6.5299999999999997E-2</v>
      </c>
      <c r="G14" s="190">
        <v>2.3199999999999998E-2</v>
      </c>
      <c r="H14" s="189">
        <f t="shared" si="0"/>
        <v>287266.05615974998</v>
      </c>
      <c r="I14" s="189">
        <f t="shared" si="0"/>
        <v>39603.937395000001</v>
      </c>
      <c r="J14" s="189">
        <f t="shared" si="0"/>
        <v>453327.42773333332</v>
      </c>
      <c r="K14" s="190">
        <v>4.6199999999999998E-2</v>
      </c>
      <c r="L14" s="190">
        <v>4.6199999999999998E-2</v>
      </c>
      <c r="M14" s="190">
        <v>2.2599999999999999E-2</v>
      </c>
      <c r="N14" s="189">
        <f t="shared" si="1"/>
        <v>203241.8345265</v>
      </c>
      <c r="O14" s="189">
        <f t="shared" si="1"/>
        <v>28019.937330000001</v>
      </c>
      <c r="P14" s="189">
        <f t="shared" si="1"/>
        <v>441603.44253333332</v>
      </c>
      <c r="Q14" s="189">
        <f t="shared" si="9"/>
        <v>84024.221633249981</v>
      </c>
      <c r="R14" s="189">
        <f t="shared" si="2"/>
        <v>11584.000065</v>
      </c>
      <c r="S14" s="189">
        <f t="shared" si="2"/>
        <v>11723.985199999996</v>
      </c>
      <c r="T14" s="189">
        <f t="shared" si="6"/>
        <v>8955834.2442499138</v>
      </c>
      <c r="U14" s="189">
        <f t="shared" si="6"/>
        <v>1639606.3665952515</v>
      </c>
      <c r="V14" s="189">
        <f t="shared" si="6"/>
        <v>1695970.9654009985</v>
      </c>
      <c r="W14" s="192">
        <v>0.21</v>
      </c>
      <c r="X14" s="197">
        <f t="shared" si="7"/>
        <v>-2581196.4310116945</v>
      </c>
      <c r="Y14" s="197">
        <f t="shared" si="8"/>
        <v>-1280224.4467619362</v>
      </c>
      <c r="Z14" s="194">
        <v>0.11500586957360617</v>
      </c>
      <c r="AA14" s="194">
        <v>0.32825383525594476</v>
      </c>
      <c r="AB14" s="194">
        <v>0.82734099999999999</v>
      </c>
      <c r="AC14" s="194">
        <v>0.17775024587979751</v>
      </c>
      <c r="AD14" s="189">
        <v>2169944.9981524316</v>
      </c>
      <c r="AE14" s="190">
        <v>8.7839965026097311E-2</v>
      </c>
      <c r="AF14" s="190">
        <v>2.5999999999999999E-2</v>
      </c>
      <c r="AG14" s="190">
        <f t="shared" si="3"/>
        <v>0.18714114595690171</v>
      </c>
      <c r="AH14" s="195">
        <f t="shared" si="10"/>
        <v>190607.89274626438</v>
      </c>
      <c r="AI14" s="195">
        <f t="shared" si="5"/>
        <v>35670.57947696613</v>
      </c>
      <c r="AJ14" s="196"/>
    </row>
    <row r="15" spans="1:36" ht="16.5" customHeight="1">
      <c r="A15" s="187">
        <v>44105</v>
      </c>
      <c r="B15" s="189">
        <v>53835504.109999999</v>
      </c>
      <c r="C15" s="189">
        <v>7277956.3500000006</v>
      </c>
      <c r="D15" s="189">
        <v>234474426</v>
      </c>
      <c r="E15" s="190">
        <v>6.5299999999999997E-2</v>
      </c>
      <c r="F15" s="190">
        <v>6.5299999999999997E-2</v>
      </c>
      <c r="G15" s="190">
        <v>2.3199999999999998E-2</v>
      </c>
      <c r="H15" s="189">
        <f t="shared" si="0"/>
        <v>292954.86819858331</v>
      </c>
      <c r="I15" s="189">
        <f t="shared" si="0"/>
        <v>39604.212471250001</v>
      </c>
      <c r="J15" s="189">
        <f t="shared" si="0"/>
        <v>453317.22359999997</v>
      </c>
      <c r="K15" s="190">
        <v>4.6199999999999998E-2</v>
      </c>
      <c r="L15" s="190">
        <v>4.6199999999999998E-2</v>
      </c>
      <c r="M15" s="190">
        <v>2.2599999999999999E-2</v>
      </c>
      <c r="N15" s="189">
        <f t="shared" si="1"/>
        <v>207266.69082350002</v>
      </c>
      <c r="O15" s="189">
        <f t="shared" si="1"/>
        <v>28020.131947500002</v>
      </c>
      <c r="P15" s="189">
        <f t="shared" si="1"/>
        <v>441593.50229999999</v>
      </c>
      <c r="Q15" s="189">
        <f t="shared" si="9"/>
        <v>85688.177375083294</v>
      </c>
      <c r="R15" s="189">
        <f t="shared" si="2"/>
        <v>11584.080523749999</v>
      </c>
      <c r="S15" s="189">
        <f t="shared" si="2"/>
        <v>11723.721299999976</v>
      </c>
      <c r="T15" s="189">
        <f t="shared" si="6"/>
        <v>9041522.4216249976</v>
      </c>
      <c r="U15" s="189">
        <f t="shared" si="6"/>
        <v>1651190.4471190015</v>
      </c>
      <c r="V15" s="189">
        <f t="shared" si="6"/>
        <v>1707694.6867009983</v>
      </c>
      <c r="W15" s="192">
        <v>0.21</v>
      </c>
      <c r="X15" s="197">
        <f t="shared" si="7"/>
        <v>-2604085.586643449</v>
      </c>
      <c r="Y15" s="197">
        <f t="shared" si="8"/>
        <v>-1280224.4467619362</v>
      </c>
      <c r="Z15" s="194">
        <v>0.11500586957360617</v>
      </c>
      <c r="AA15" s="194">
        <v>0.32825383525594476</v>
      </c>
      <c r="AB15" s="194">
        <v>0.82734099999999999</v>
      </c>
      <c r="AC15" s="194">
        <v>0.17775024587979751</v>
      </c>
      <c r="AD15" s="189">
        <v>2189011.7916550143</v>
      </c>
      <c r="AE15" s="190">
        <v>8.7839965026097311E-2</v>
      </c>
      <c r="AF15" s="190">
        <v>2.5999999999999999E-2</v>
      </c>
      <c r="AG15" s="190">
        <f t="shared" si="3"/>
        <v>0.18714114595690171</v>
      </c>
      <c r="AH15" s="195">
        <f t="shared" si="10"/>
        <v>192282.71922069107</v>
      </c>
      <c r="AI15" s="195">
        <f t="shared" si="5"/>
        <v>35984.0084226693</v>
      </c>
      <c r="AJ15" s="196"/>
    </row>
    <row r="16" spans="1:36" ht="16.5" customHeight="1">
      <c r="A16" s="187">
        <v>44136</v>
      </c>
      <c r="B16" s="189">
        <v>56519131.470000014</v>
      </c>
      <c r="C16" s="189">
        <v>7278047.4200000009</v>
      </c>
      <c r="D16" s="189">
        <v>235297783</v>
      </c>
      <c r="E16" s="190">
        <v>6.5299999999999997E-2</v>
      </c>
      <c r="F16" s="190">
        <v>6.5299999999999997E-2</v>
      </c>
      <c r="G16" s="190">
        <v>2.3199999999999998E-2</v>
      </c>
      <c r="H16" s="189">
        <f t="shared" si="0"/>
        <v>307558.27374925005</v>
      </c>
      <c r="I16" s="189">
        <f t="shared" si="0"/>
        <v>39604.708043833336</v>
      </c>
      <c r="J16" s="189">
        <f t="shared" si="0"/>
        <v>454909.04713333328</v>
      </c>
      <c r="K16" s="190">
        <v>4.6199999999999998E-2</v>
      </c>
      <c r="L16" s="190">
        <v>4.6199999999999998E-2</v>
      </c>
      <c r="M16" s="190">
        <v>2.2599999999999999E-2</v>
      </c>
      <c r="N16" s="189">
        <f t="shared" si="1"/>
        <v>217598.65615950004</v>
      </c>
      <c r="O16" s="189">
        <f t="shared" si="1"/>
        <v>28020.482567000003</v>
      </c>
      <c r="P16" s="189">
        <f t="shared" si="1"/>
        <v>443144.15798333334</v>
      </c>
      <c r="Q16" s="189">
        <f t="shared" si="9"/>
        <v>89959.617589750007</v>
      </c>
      <c r="R16" s="189">
        <f t="shared" si="2"/>
        <v>11584.225476833333</v>
      </c>
      <c r="S16" s="189">
        <f t="shared" si="2"/>
        <v>11764.889149999944</v>
      </c>
      <c r="T16" s="189">
        <f t="shared" si="6"/>
        <v>9131482.039214747</v>
      </c>
      <c r="U16" s="189">
        <f t="shared" si="6"/>
        <v>1662774.6725958348</v>
      </c>
      <c r="V16" s="189">
        <f t="shared" si="6"/>
        <v>1719459.5758509983</v>
      </c>
      <c r="W16" s="192">
        <v>0.21</v>
      </c>
      <c r="X16" s="193">
        <f t="shared" si="7"/>
        <v>-2627880.4204089316</v>
      </c>
      <c r="Y16" s="193">
        <f t="shared" si="8"/>
        <v>-1280224.4467619362</v>
      </c>
      <c r="Z16" s="198">
        <v>0.11500586957360617</v>
      </c>
      <c r="AA16" s="198">
        <v>0.32825383525594476</v>
      </c>
      <c r="AB16" s="198">
        <v>0.82734099999999999</v>
      </c>
      <c r="AC16" s="198">
        <v>0.17775024587979751</v>
      </c>
      <c r="AD16" s="191">
        <v>2208115.6429655552</v>
      </c>
      <c r="AE16" s="190">
        <v>8.7839965026097311E-2</v>
      </c>
      <c r="AF16" s="190">
        <v>2.5999999999999999E-2</v>
      </c>
      <c r="AG16" s="190">
        <f t="shared" si="3"/>
        <v>0.18714114595690171</v>
      </c>
      <c r="AH16" s="195">
        <f t="shared" si="10"/>
        <v>193960.80085167274</v>
      </c>
      <c r="AI16" s="195">
        <f t="shared" si="5"/>
        <v>36298.046542100434</v>
      </c>
      <c r="AJ16" s="196"/>
    </row>
    <row r="17" spans="1:36">
      <c r="A17" s="187">
        <v>44166</v>
      </c>
      <c r="B17" s="189">
        <v>60489131.510000005</v>
      </c>
      <c r="C17" s="189">
        <v>7278054.4600000009</v>
      </c>
      <c r="D17" s="189">
        <v>241146841</v>
      </c>
      <c r="E17" s="190">
        <v>6.5299999999999997E-2</v>
      </c>
      <c r="F17" s="190">
        <v>6.5299999999999997E-2</v>
      </c>
      <c r="G17" s="190">
        <v>2.3199999999999998E-2</v>
      </c>
      <c r="H17" s="189">
        <f t="shared" si="0"/>
        <v>329161.69063358335</v>
      </c>
      <c r="I17" s="189">
        <f t="shared" si="0"/>
        <v>39604.746353166665</v>
      </c>
      <c r="J17" s="189">
        <f t="shared" si="0"/>
        <v>466217.22593333333</v>
      </c>
      <c r="K17" s="190">
        <v>4.6199999999999998E-2</v>
      </c>
      <c r="L17" s="190">
        <v>4.6199999999999998E-2</v>
      </c>
      <c r="M17" s="190">
        <v>2.2599999999999999E-2</v>
      </c>
      <c r="N17" s="189">
        <f t="shared" si="1"/>
        <v>232883.15631350002</v>
      </c>
      <c r="O17" s="189">
        <f t="shared" si="1"/>
        <v>28020.509671000003</v>
      </c>
      <c r="P17" s="189">
        <f t="shared" si="1"/>
        <v>454159.8838833333</v>
      </c>
      <c r="Q17" s="189">
        <f t="shared" si="9"/>
        <v>96278.53432008333</v>
      </c>
      <c r="R17" s="189">
        <f t="shared" si="2"/>
        <v>11584.236682166662</v>
      </c>
      <c r="S17" s="189">
        <f t="shared" si="2"/>
        <v>12057.342050000036</v>
      </c>
      <c r="T17" s="189">
        <f t="shared" si="6"/>
        <v>9227760.5735348295</v>
      </c>
      <c r="U17" s="189">
        <f t="shared" si="6"/>
        <v>1674358.9092780014</v>
      </c>
      <c r="V17" s="189">
        <f t="shared" si="6"/>
        <v>1731516.9179009984</v>
      </c>
      <c r="W17" s="192">
        <v>0.21</v>
      </c>
      <c r="X17" s="193">
        <f t="shared" si="7"/>
        <v>-2653063.6441499041</v>
      </c>
      <c r="Y17" s="193">
        <f t="shared" si="8"/>
        <v>-1280224.4467619362</v>
      </c>
      <c r="Z17" s="198">
        <v>0.11500586957360617</v>
      </c>
      <c r="AA17" s="198">
        <v>0.32825383525594476</v>
      </c>
      <c r="AB17" s="198">
        <v>0.82734099999999999</v>
      </c>
      <c r="AC17" s="198">
        <v>0.17775024587979751</v>
      </c>
      <c r="AD17" s="191">
        <v>2227239.1382763814</v>
      </c>
      <c r="AE17" s="190">
        <v>8.7839965026097311E-2</v>
      </c>
      <c r="AF17" s="190">
        <v>2.5999999999999999E-2</v>
      </c>
      <c r="AG17" s="190">
        <f t="shared" si="3"/>
        <v>0.18714114595690171</v>
      </c>
      <c r="AH17" s="195">
        <f t="shared" si="10"/>
        <v>195640.60801095245</v>
      </c>
      <c r="AI17" s="195">
        <f t="shared" si="5"/>
        <v>36612.407578874649</v>
      </c>
      <c r="AJ17" s="196"/>
    </row>
    <row r="18" spans="1:36">
      <c r="A18" s="187">
        <v>44197</v>
      </c>
      <c r="B18" s="191">
        <v>61170319.49999997</v>
      </c>
      <c r="C18" s="191">
        <v>7278065.7999999989</v>
      </c>
      <c r="D18" s="191">
        <v>242345926.87999997</v>
      </c>
      <c r="E18" s="190">
        <v>6.5299999999999997E-2</v>
      </c>
      <c r="F18" s="190">
        <v>6.5299999999999997E-2</v>
      </c>
      <c r="G18" s="190">
        <v>2.3199999999999998E-2</v>
      </c>
      <c r="H18" s="189">
        <f t="shared" si="0"/>
        <v>332868.48861249984</v>
      </c>
      <c r="I18" s="189">
        <f t="shared" si="0"/>
        <v>39604.808061666663</v>
      </c>
      <c r="J18" s="189">
        <f t="shared" si="0"/>
        <v>468535.45863466657</v>
      </c>
      <c r="K18" s="190">
        <v>4.6199999999999998E-2</v>
      </c>
      <c r="L18" s="190">
        <v>4.6199999999999998E-2</v>
      </c>
      <c r="M18" s="190">
        <v>2.2599999999999999E-2</v>
      </c>
      <c r="N18" s="189">
        <f t="shared" si="1"/>
        <v>235505.73007499988</v>
      </c>
      <c r="O18" s="189">
        <f t="shared" si="1"/>
        <v>28020.553329999995</v>
      </c>
      <c r="P18" s="189">
        <f t="shared" si="1"/>
        <v>456418.16229066654</v>
      </c>
      <c r="Q18" s="189">
        <f t="shared" si="9"/>
        <v>97362.758537499962</v>
      </c>
      <c r="R18" s="189">
        <f t="shared" si="2"/>
        <v>11584.254731666668</v>
      </c>
      <c r="S18" s="189">
        <f t="shared" si="2"/>
        <v>12117.296344000031</v>
      </c>
      <c r="T18" s="189">
        <f t="shared" si="6"/>
        <v>9325123.3320723288</v>
      </c>
      <c r="U18" s="189">
        <f t="shared" si="6"/>
        <v>1685943.1640096682</v>
      </c>
      <c r="V18" s="189">
        <f t="shared" si="6"/>
        <v>1743634.2142449985</v>
      </c>
      <c r="W18" s="192">
        <v>0.21</v>
      </c>
      <c r="X18" s="193">
        <f t="shared" si="7"/>
        <v>-2678487.1491686688</v>
      </c>
      <c r="Y18" s="193">
        <f t="shared" si="8"/>
        <v>-1280224.4467619362</v>
      </c>
      <c r="Z18" s="198">
        <v>0.1116818396207977</v>
      </c>
      <c r="AA18" s="198">
        <v>0.32055058246875617</v>
      </c>
      <c r="AB18" s="198">
        <v>0.78449000000000002</v>
      </c>
      <c r="AC18" s="198">
        <v>0.17246822636892989</v>
      </c>
      <c r="AD18" s="191">
        <f t="shared" ref="AD18:AD29" si="11">((SUM(T6:T18)/13)*Z18)+((SUM(U6:U18)/13)*AA18)+((SUM(V6:V18)/13)*AB18)+((X18+X6+Y6+Y18)/2*AC18)</f>
        <v>2153331.8750741463</v>
      </c>
      <c r="AE18" s="199">
        <v>8.7662452806149052E-2</v>
      </c>
      <c r="AF18" s="199">
        <v>2.6102770714801864E-2</v>
      </c>
      <c r="AG18" s="190">
        <v>0.18714114595690171</v>
      </c>
      <c r="AH18" s="195">
        <f t="shared" si="10"/>
        <v>188766.35387466379</v>
      </c>
      <c r="AI18" s="195">
        <f t="shared" si="5"/>
        <v>35325.951782210614</v>
      </c>
      <c r="AJ18" s="196"/>
    </row>
    <row r="19" spans="1:36">
      <c r="A19" s="187">
        <v>44228</v>
      </c>
      <c r="B19" s="191">
        <v>61343157.079999954</v>
      </c>
      <c r="C19" s="191">
        <v>7278065.7999999989</v>
      </c>
      <c r="D19" s="191">
        <v>241895006.59999999</v>
      </c>
      <c r="E19" s="190">
        <v>6.5299999999999997E-2</v>
      </c>
      <c r="F19" s="190">
        <v>6.5299999999999997E-2</v>
      </c>
      <c r="G19" s="190">
        <v>2.3199999999999998E-2</v>
      </c>
      <c r="H19" s="189">
        <f t="shared" si="0"/>
        <v>333809.01311033306</v>
      </c>
      <c r="I19" s="189">
        <f t="shared" si="0"/>
        <v>39604.808061666663</v>
      </c>
      <c r="J19" s="189">
        <f t="shared" si="0"/>
        <v>467663.67942666664</v>
      </c>
      <c r="K19" s="190">
        <v>4.6199999999999998E-2</v>
      </c>
      <c r="L19" s="190">
        <v>4.6199999999999998E-2</v>
      </c>
      <c r="M19" s="190">
        <v>2.2599999999999999E-2</v>
      </c>
      <c r="N19" s="189">
        <f t="shared" si="1"/>
        <v>236171.15475799982</v>
      </c>
      <c r="O19" s="189">
        <f t="shared" si="1"/>
        <v>28020.553329999995</v>
      </c>
      <c r="P19" s="189">
        <f t="shared" si="1"/>
        <v>455568.92909666663</v>
      </c>
      <c r="Q19" s="189">
        <f t="shared" si="9"/>
        <v>97637.858352333249</v>
      </c>
      <c r="R19" s="189">
        <f t="shared" si="2"/>
        <v>11584.254731666668</v>
      </c>
      <c r="S19" s="189">
        <f t="shared" si="2"/>
        <v>12094.75033000001</v>
      </c>
      <c r="T19" s="189">
        <f t="shared" si="6"/>
        <v>9422761.1904246621</v>
      </c>
      <c r="U19" s="189">
        <f t="shared" si="6"/>
        <v>1697527.4187413349</v>
      </c>
      <c r="V19" s="189">
        <f t="shared" si="6"/>
        <v>1755728.9645749985</v>
      </c>
      <c r="W19" s="192">
        <v>0.21</v>
      </c>
      <c r="X19" s="193">
        <f t="shared" si="7"/>
        <v>-2703963.6904856088</v>
      </c>
      <c r="Y19" s="193">
        <f t="shared" si="8"/>
        <v>-1280224.4467619362</v>
      </c>
      <c r="Z19" s="198">
        <v>0.1116818396207977</v>
      </c>
      <c r="AA19" s="198">
        <v>0.32055058246875617</v>
      </c>
      <c r="AB19" s="198">
        <v>0.78449000000000002</v>
      </c>
      <c r="AC19" s="198">
        <v>0.17246822636892989</v>
      </c>
      <c r="AD19" s="191">
        <f t="shared" si="11"/>
        <v>2171968.8474835246</v>
      </c>
      <c r="AE19" s="199">
        <v>8.7662452806149052E-2</v>
      </c>
      <c r="AF19" s="199">
        <v>2.6102770714801864E-2</v>
      </c>
      <c r="AG19" s="190">
        <v>0.18714114595690171</v>
      </c>
      <c r="AH19" s="195">
        <f t="shared" si="10"/>
        <v>190400.11658895042</v>
      </c>
      <c r="AI19" s="195">
        <f t="shared" si="5"/>
        <v>35631.696008783874</v>
      </c>
      <c r="AJ19" s="196"/>
    </row>
    <row r="20" spans="1:36">
      <c r="A20" s="187">
        <v>44256</v>
      </c>
      <c r="B20" s="191">
        <v>62065672.609999985</v>
      </c>
      <c r="C20" s="191">
        <v>7280146.5899999999</v>
      </c>
      <c r="D20" s="191">
        <v>241417596.26999998</v>
      </c>
      <c r="E20" s="190">
        <v>6.5299999999999997E-2</v>
      </c>
      <c r="F20" s="190">
        <v>6.5299999999999997E-2</v>
      </c>
      <c r="G20" s="190">
        <v>2.3199999999999998E-2</v>
      </c>
      <c r="H20" s="189">
        <f t="shared" si="0"/>
        <v>337740.70178608323</v>
      </c>
      <c r="I20" s="189">
        <f t="shared" si="0"/>
        <v>39616.131027249998</v>
      </c>
      <c r="J20" s="189">
        <f t="shared" si="0"/>
        <v>466740.68612199993</v>
      </c>
      <c r="K20" s="190">
        <v>4.6199999999999998E-2</v>
      </c>
      <c r="L20" s="190">
        <v>4.6199999999999998E-2</v>
      </c>
      <c r="M20" s="190">
        <v>2.2599999999999999E-2</v>
      </c>
      <c r="N20" s="189">
        <f t="shared" si="1"/>
        <v>238952.83954849993</v>
      </c>
      <c r="O20" s="189">
        <f t="shared" si="1"/>
        <v>28028.564371500001</v>
      </c>
      <c r="P20" s="189">
        <f t="shared" si="1"/>
        <v>454669.80630849994</v>
      </c>
      <c r="Q20" s="189">
        <f t="shared" si="9"/>
        <v>98787.862237583293</v>
      </c>
      <c r="R20" s="189">
        <f t="shared" si="2"/>
        <v>11587.566655749997</v>
      </c>
      <c r="S20" s="189">
        <f t="shared" si="2"/>
        <v>12070.879813499982</v>
      </c>
      <c r="T20" s="189">
        <f t="shared" si="6"/>
        <v>9521549.0526622459</v>
      </c>
      <c r="U20" s="189">
        <f t="shared" si="6"/>
        <v>1709114.9853970848</v>
      </c>
      <c r="V20" s="189">
        <f t="shared" si="6"/>
        <v>1767799.8443884985</v>
      </c>
      <c r="W20" s="192">
        <v>0.21</v>
      </c>
      <c r="X20" s="193">
        <f t="shared" si="7"/>
        <v>-2729677.4153140439</v>
      </c>
      <c r="Y20" s="193">
        <f t="shared" si="8"/>
        <v>-1280224.4467619362</v>
      </c>
      <c r="Z20" s="198">
        <v>0.1116818396207977</v>
      </c>
      <c r="AA20" s="198">
        <v>0.32055058246875617</v>
      </c>
      <c r="AB20" s="198">
        <v>0.78449000000000002</v>
      </c>
      <c r="AC20" s="198">
        <v>0.17246822636892989</v>
      </c>
      <c r="AD20" s="191">
        <f t="shared" si="11"/>
        <v>2190738.8202616889</v>
      </c>
      <c r="AE20" s="199">
        <v>8.7662452806149052E-2</v>
      </c>
      <c r="AF20" s="199">
        <v>2.6102770714801864E-2</v>
      </c>
      <c r="AG20" s="190">
        <v>0.18714114595690171</v>
      </c>
      <c r="AH20" s="195">
        <f t="shared" si="10"/>
        <v>192045.53844178896</v>
      </c>
      <c r="AI20" s="195">
        <f t="shared" si="5"/>
        <v>35939.622139906605</v>
      </c>
      <c r="AJ20" s="196"/>
    </row>
    <row r="21" spans="1:36">
      <c r="A21" s="187">
        <v>44287</v>
      </c>
      <c r="B21" s="191">
        <v>62321312.779999956</v>
      </c>
      <c r="C21" s="191">
        <v>7243998.7400000002</v>
      </c>
      <c r="D21" s="191">
        <v>244534297.96000001</v>
      </c>
      <c r="E21" s="190">
        <v>6.5299999999999997E-2</v>
      </c>
      <c r="F21" s="190">
        <v>6.5299999999999997E-2</v>
      </c>
      <c r="G21" s="190">
        <v>2.3199999999999998E-2</v>
      </c>
      <c r="H21" s="189">
        <f t="shared" ref="H21:J41" si="12">E21*B21/12</f>
        <v>339131.81037783308</v>
      </c>
      <c r="I21" s="189">
        <f t="shared" si="12"/>
        <v>39419.426476833331</v>
      </c>
      <c r="J21" s="189">
        <f t="shared" si="12"/>
        <v>472766.3093893333</v>
      </c>
      <c r="K21" s="190">
        <v>4.6199999999999998E-2</v>
      </c>
      <c r="L21" s="190">
        <v>4.6199999999999998E-2</v>
      </c>
      <c r="M21" s="190">
        <v>2.2599999999999999E-2</v>
      </c>
      <c r="N21" s="189">
        <f t="shared" ref="N21:P41" si="13">K21*B21/12</f>
        <v>239937.0542029998</v>
      </c>
      <c r="O21" s="189">
        <f t="shared" si="13"/>
        <v>27889.395149</v>
      </c>
      <c r="P21" s="189">
        <f t="shared" si="13"/>
        <v>460539.59449133329</v>
      </c>
      <c r="Q21" s="189">
        <f t="shared" si="9"/>
        <v>99194.756174833281</v>
      </c>
      <c r="R21" s="189">
        <f t="shared" si="9"/>
        <v>11530.031327833331</v>
      </c>
      <c r="S21" s="189">
        <f t="shared" si="9"/>
        <v>12226.714898000006</v>
      </c>
      <c r="T21" s="189">
        <f t="shared" si="6"/>
        <v>9620743.8088370785</v>
      </c>
      <c r="U21" s="189">
        <f t="shared" si="6"/>
        <v>1720645.0167249183</v>
      </c>
      <c r="V21" s="189">
        <f t="shared" si="6"/>
        <v>1780026.5592864985</v>
      </c>
      <c r="W21" s="192">
        <v>0.21</v>
      </c>
      <c r="X21" s="193">
        <f t="shared" si="7"/>
        <v>-2755497.2308181836</v>
      </c>
      <c r="Y21" s="193">
        <f t="shared" si="8"/>
        <v>-1280224.4467619362</v>
      </c>
      <c r="Z21" s="198">
        <v>0.1116818396207977</v>
      </c>
      <c r="AA21" s="198">
        <v>0.32055058246875617</v>
      </c>
      <c r="AB21" s="198">
        <v>0.78449000000000002</v>
      </c>
      <c r="AC21" s="198">
        <v>0.17246822636892989</v>
      </c>
      <c r="AD21" s="191">
        <f t="shared" si="11"/>
        <v>2209660.2946122619</v>
      </c>
      <c r="AE21" s="199">
        <v>8.7662452806149052E-2</v>
      </c>
      <c r="AF21" s="199">
        <v>2.6102770714801864E-2</v>
      </c>
      <c r="AG21" s="190">
        <v>0.18714114595690171</v>
      </c>
      <c r="AH21" s="195">
        <f t="shared" si="10"/>
        <v>193704.24129406881</v>
      </c>
      <c r="AI21" s="195">
        <f t="shared" si="5"/>
        <v>36250.033692484234</v>
      </c>
      <c r="AJ21" s="196"/>
    </row>
    <row r="22" spans="1:36">
      <c r="A22" s="187">
        <v>44317</v>
      </c>
      <c r="B22" s="191">
        <v>61893660.949999973</v>
      </c>
      <c r="C22" s="191">
        <v>7244011.5600000005</v>
      </c>
      <c r="D22" s="191">
        <v>251270240.08999994</v>
      </c>
      <c r="E22" s="190">
        <v>6.5299999999999997E-2</v>
      </c>
      <c r="F22" s="190">
        <v>6.5299999999999997E-2</v>
      </c>
      <c r="G22" s="190">
        <v>2.3199999999999998E-2</v>
      </c>
      <c r="H22" s="189">
        <f t="shared" si="12"/>
        <v>336804.67166958319</v>
      </c>
      <c r="I22" s="189">
        <f t="shared" si="12"/>
        <v>39419.496239</v>
      </c>
      <c r="J22" s="189">
        <f t="shared" si="12"/>
        <v>485789.13084066653</v>
      </c>
      <c r="K22" s="190">
        <v>4.6199999999999998E-2</v>
      </c>
      <c r="L22" s="190">
        <v>4.6199999999999998E-2</v>
      </c>
      <c r="M22" s="190">
        <v>2.2599999999999999E-2</v>
      </c>
      <c r="N22" s="189">
        <f t="shared" si="13"/>
        <v>238290.5946574999</v>
      </c>
      <c r="O22" s="189">
        <f t="shared" si="13"/>
        <v>27889.444506</v>
      </c>
      <c r="P22" s="189">
        <f t="shared" si="13"/>
        <v>473225.61883616651</v>
      </c>
      <c r="Q22" s="189">
        <f t="shared" si="9"/>
        <v>98514.077012083289</v>
      </c>
      <c r="R22" s="189">
        <f t="shared" si="9"/>
        <v>11530.051733</v>
      </c>
      <c r="S22" s="189">
        <f t="shared" si="9"/>
        <v>12563.512004500022</v>
      </c>
      <c r="T22" s="189">
        <f t="shared" ref="T22:V37" si="14">T21+Q22</f>
        <v>9719257.8858491611</v>
      </c>
      <c r="U22" s="189">
        <f t="shared" si="14"/>
        <v>1732175.0684579182</v>
      </c>
      <c r="V22" s="189">
        <f t="shared" si="14"/>
        <v>1792590.0712909985</v>
      </c>
      <c r="W22" s="192">
        <v>0.21</v>
      </c>
      <c r="X22" s="193">
        <f t="shared" si="7"/>
        <v>-2781244.8353755963</v>
      </c>
      <c r="Y22" s="193">
        <f t="shared" si="8"/>
        <v>-1280224.4467619362</v>
      </c>
      <c r="Z22" s="198">
        <v>0.1116818396207977</v>
      </c>
      <c r="AA22" s="198">
        <v>0.32055058246875617</v>
      </c>
      <c r="AB22" s="198">
        <v>0.78449000000000002</v>
      </c>
      <c r="AC22" s="198">
        <v>0.17246822636892989</v>
      </c>
      <c r="AD22" s="191">
        <f t="shared" si="11"/>
        <v>2228762.553755438</v>
      </c>
      <c r="AE22" s="199">
        <v>8.7662452806149052E-2</v>
      </c>
      <c r="AF22" s="199">
        <v>2.6102770714801864E-2</v>
      </c>
      <c r="AG22" s="190">
        <v>0.18714114595690171</v>
      </c>
      <c r="AH22" s="195">
        <f t="shared" si="10"/>
        <v>195378.79218469831</v>
      </c>
      <c r="AI22" s="195">
        <f t="shared" si="5"/>
        <v>36563.411065119792</v>
      </c>
      <c r="AJ22" s="196"/>
    </row>
    <row r="23" spans="1:36">
      <c r="A23" s="187">
        <v>44348</v>
      </c>
      <c r="B23" s="191">
        <v>62126068.849999979</v>
      </c>
      <c r="C23" s="191">
        <v>7241851.9899999993</v>
      </c>
      <c r="D23" s="191">
        <v>250778534.09999996</v>
      </c>
      <c r="E23" s="190">
        <v>6.5299999999999997E-2</v>
      </c>
      <c r="F23" s="190">
        <v>6.5299999999999997E-2</v>
      </c>
      <c r="G23" s="190">
        <v>2.3199999999999998E-2</v>
      </c>
      <c r="H23" s="189">
        <f t="shared" si="12"/>
        <v>338069.35799208324</v>
      </c>
      <c r="I23" s="189">
        <f t="shared" si="12"/>
        <v>39407.74457891666</v>
      </c>
      <c r="J23" s="189">
        <f t="shared" si="12"/>
        <v>484838.4992599999</v>
      </c>
      <c r="K23" s="190">
        <v>4.6199999999999998E-2</v>
      </c>
      <c r="L23" s="190">
        <v>4.6199999999999998E-2</v>
      </c>
      <c r="M23" s="190">
        <v>2.2599999999999999E-2</v>
      </c>
      <c r="N23" s="189">
        <f t="shared" si="13"/>
        <v>239185.36507249993</v>
      </c>
      <c r="O23" s="189">
        <f t="shared" si="13"/>
        <v>27881.130161499997</v>
      </c>
      <c r="P23" s="189">
        <f t="shared" si="13"/>
        <v>472299.5725549999</v>
      </c>
      <c r="Q23" s="189">
        <f t="shared" si="9"/>
        <v>98883.99291958331</v>
      </c>
      <c r="R23" s="189">
        <f t="shared" si="9"/>
        <v>11526.614417416662</v>
      </c>
      <c r="S23" s="189">
        <f t="shared" si="9"/>
        <v>12538.926704999991</v>
      </c>
      <c r="T23" s="189">
        <f t="shared" si="14"/>
        <v>9818141.8787687439</v>
      </c>
      <c r="U23" s="189">
        <f t="shared" si="14"/>
        <v>1743701.682875335</v>
      </c>
      <c r="V23" s="189">
        <f t="shared" si="14"/>
        <v>1805128.9979959985</v>
      </c>
      <c r="W23" s="192">
        <v>0.21</v>
      </c>
      <c r="X23" s="193">
        <f t="shared" si="7"/>
        <v>-2807064.2375244163</v>
      </c>
      <c r="Y23" s="193">
        <f t="shared" si="8"/>
        <v>-1280224.4467619362</v>
      </c>
      <c r="Z23" s="198">
        <v>0.1116818396207977</v>
      </c>
      <c r="AA23" s="198">
        <v>0.32055058246875617</v>
      </c>
      <c r="AB23" s="198">
        <v>0.78449000000000002</v>
      </c>
      <c r="AC23" s="198">
        <v>0.17246822636892989</v>
      </c>
      <c r="AD23" s="191">
        <f t="shared" si="11"/>
        <v>2248040.8660420054</v>
      </c>
      <c r="AE23" s="199">
        <v>8.7662452806149052E-2</v>
      </c>
      <c r="AF23" s="199">
        <v>2.6102770714801864E-2</v>
      </c>
      <c r="AG23" s="190">
        <v>0.18714114595690171</v>
      </c>
      <c r="AH23" s="195">
        <f t="shared" si="10"/>
        <v>197068.77632570174</v>
      </c>
      <c r="AI23" s="195">
        <f t="shared" si="5"/>
        <v>36879.676633916162</v>
      </c>
      <c r="AJ23" s="196"/>
    </row>
    <row r="24" spans="1:36">
      <c r="A24" s="187">
        <v>44378</v>
      </c>
      <c r="B24" s="191">
        <v>62002138.739999995</v>
      </c>
      <c r="C24" s="191">
        <v>7236390.0899999999</v>
      </c>
      <c r="D24" s="191">
        <v>250822548.66999999</v>
      </c>
      <c r="E24" s="190">
        <v>6.5299999999999997E-2</v>
      </c>
      <c r="F24" s="190">
        <v>6.5299999999999997E-2</v>
      </c>
      <c r="G24" s="190">
        <v>2.3199999999999998E-2</v>
      </c>
      <c r="H24" s="189">
        <f t="shared" si="12"/>
        <v>337394.97164349997</v>
      </c>
      <c r="I24" s="189">
        <f t="shared" si="12"/>
        <v>39378.022739749998</v>
      </c>
      <c r="J24" s="189">
        <f t="shared" si="12"/>
        <v>484923.59409533325</v>
      </c>
      <c r="K24" s="190">
        <v>4.6199999999999998E-2</v>
      </c>
      <c r="L24" s="190">
        <v>4.6199999999999998E-2</v>
      </c>
      <c r="M24" s="190">
        <v>2.2599999999999999E-2</v>
      </c>
      <c r="N24" s="189">
        <f t="shared" si="13"/>
        <v>238708.234149</v>
      </c>
      <c r="O24" s="189">
        <f t="shared" si="13"/>
        <v>27860.101846499998</v>
      </c>
      <c r="P24" s="189">
        <f t="shared" si="13"/>
        <v>472382.46666183328</v>
      </c>
      <c r="Q24" s="189">
        <f t="shared" si="9"/>
        <v>98686.737494499976</v>
      </c>
      <c r="R24" s="189">
        <f t="shared" si="9"/>
        <v>11517.920893250001</v>
      </c>
      <c r="S24" s="189">
        <f t="shared" si="9"/>
        <v>12541.127433499962</v>
      </c>
      <c r="T24" s="189">
        <f t="shared" si="14"/>
        <v>9916828.6162632443</v>
      </c>
      <c r="U24" s="189">
        <f t="shared" si="14"/>
        <v>1755219.603768585</v>
      </c>
      <c r="V24" s="189">
        <f t="shared" si="14"/>
        <v>1817670.1254294985</v>
      </c>
      <c r="W24" s="192">
        <v>0.21</v>
      </c>
      <c r="X24" s="193">
        <f t="shared" si="7"/>
        <v>-2832840.8525468786</v>
      </c>
      <c r="Y24" s="193">
        <f t="shared" si="8"/>
        <v>-1280224.4467619362</v>
      </c>
      <c r="Z24" s="198">
        <v>0.1116818396207977</v>
      </c>
      <c r="AA24" s="198">
        <v>0.32055058246875617</v>
      </c>
      <c r="AB24" s="198">
        <v>0.78449000000000002</v>
      </c>
      <c r="AC24" s="198">
        <v>0.17246822636892989</v>
      </c>
      <c r="AD24" s="191">
        <f t="shared" si="11"/>
        <v>2267493.973977732</v>
      </c>
      <c r="AE24" s="199">
        <v>8.7662452806149052E-2</v>
      </c>
      <c r="AF24" s="199">
        <v>2.6102770714801864E-2</v>
      </c>
      <c r="AG24" s="190">
        <v>0.18714114595690171</v>
      </c>
      <c r="AH24" s="195">
        <f t="shared" si="10"/>
        <v>198774.08348205031</v>
      </c>
      <c r="AI24" s="195">
        <f t="shared" si="5"/>
        <v>37198.809769363739</v>
      </c>
      <c r="AJ24" s="196"/>
    </row>
    <row r="25" spans="1:36">
      <c r="A25" s="187">
        <v>44409</v>
      </c>
      <c r="B25" s="191">
        <v>62058297.36999999</v>
      </c>
      <c r="C25" s="191">
        <v>7236507.1799999997</v>
      </c>
      <c r="D25" s="191">
        <v>251203046.85999998</v>
      </c>
      <c r="E25" s="190">
        <v>6.5299999999999997E-2</v>
      </c>
      <c r="F25" s="190">
        <v>6.5299999999999997E-2</v>
      </c>
      <c r="G25" s="190">
        <v>2.3199999999999998E-2</v>
      </c>
      <c r="H25" s="189">
        <f t="shared" si="12"/>
        <v>337700.5681884166</v>
      </c>
      <c r="I25" s="189">
        <f t="shared" si="12"/>
        <v>39378.659904499997</v>
      </c>
      <c r="J25" s="189">
        <f t="shared" si="12"/>
        <v>485659.22392933327</v>
      </c>
      <c r="K25" s="190">
        <v>4.6199999999999998E-2</v>
      </c>
      <c r="L25" s="190">
        <v>4.6199999999999998E-2</v>
      </c>
      <c r="M25" s="190">
        <v>2.2599999999999999E-2</v>
      </c>
      <c r="N25" s="189">
        <f t="shared" si="13"/>
        <v>238924.44487449995</v>
      </c>
      <c r="O25" s="189">
        <f t="shared" si="13"/>
        <v>27860.552642999999</v>
      </c>
      <c r="P25" s="189">
        <f t="shared" si="13"/>
        <v>473099.07158633327</v>
      </c>
      <c r="Q25" s="189">
        <f t="shared" si="9"/>
        <v>98776.123313916643</v>
      </c>
      <c r="R25" s="189">
        <f t="shared" si="9"/>
        <v>11518.107261499998</v>
      </c>
      <c r="S25" s="189">
        <f t="shared" si="9"/>
        <v>12560.152342999994</v>
      </c>
      <c r="T25" s="189">
        <f t="shared" si="14"/>
        <v>10015604.739577161</v>
      </c>
      <c r="U25" s="189">
        <f t="shared" si="14"/>
        <v>1766737.7110300851</v>
      </c>
      <c r="V25" s="189">
        <f t="shared" si="14"/>
        <v>1830230.2777724985</v>
      </c>
      <c r="W25" s="192">
        <v>0.21</v>
      </c>
      <c r="X25" s="193">
        <f t="shared" si="7"/>
        <v>-2858640.2729597464</v>
      </c>
      <c r="Y25" s="193">
        <f t="shared" si="8"/>
        <v>-1280224.4467619362</v>
      </c>
      <c r="Z25" s="198">
        <v>0.1116818396207977</v>
      </c>
      <c r="AA25" s="198">
        <v>0.32055058246875617</v>
      </c>
      <c r="AB25" s="198">
        <v>0.78449000000000002</v>
      </c>
      <c r="AC25" s="198">
        <v>0.17246822636892989</v>
      </c>
      <c r="AD25" s="191">
        <f t="shared" si="11"/>
        <v>2287102.6575033758</v>
      </c>
      <c r="AE25" s="199">
        <v>8.7662452806149052E-2</v>
      </c>
      <c r="AF25" s="199">
        <v>2.6102770714801864E-2</v>
      </c>
      <c r="AG25" s="190">
        <v>0.18714114595690171</v>
      </c>
      <c r="AH25" s="195">
        <f t="shared" si="10"/>
        <v>200493.02877620776</v>
      </c>
      <c r="AI25" s="195">
        <f t="shared" si="5"/>
        <v>37520.495161549588</v>
      </c>
      <c r="AJ25" s="196"/>
    </row>
    <row r="26" spans="1:36">
      <c r="A26" s="187">
        <v>44440</v>
      </c>
      <c r="B26" s="191">
        <v>60792660.999999985</v>
      </c>
      <c r="C26" s="191">
        <v>6835477.0899999999</v>
      </c>
      <c r="D26" s="191">
        <v>250732574.53999999</v>
      </c>
      <c r="E26" s="190">
        <v>6.5299999999999997E-2</v>
      </c>
      <c r="F26" s="190">
        <v>6.5299999999999997E-2</v>
      </c>
      <c r="G26" s="190">
        <v>2.3199999999999998E-2</v>
      </c>
      <c r="H26" s="189">
        <f t="shared" si="12"/>
        <v>330813.39694166655</v>
      </c>
      <c r="I26" s="189">
        <f t="shared" si="12"/>
        <v>37196.387831416665</v>
      </c>
      <c r="J26" s="189">
        <f t="shared" si="12"/>
        <v>484749.64411066659</v>
      </c>
      <c r="K26" s="190">
        <v>4.6199999999999998E-2</v>
      </c>
      <c r="L26" s="190">
        <v>4.6199999999999998E-2</v>
      </c>
      <c r="M26" s="190">
        <v>2.2599999999999999E-2</v>
      </c>
      <c r="N26" s="189">
        <f t="shared" si="13"/>
        <v>234051.74484999993</v>
      </c>
      <c r="O26" s="189">
        <f t="shared" si="13"/>
        <v>26316.586796499996</v>
      </c>
      <c r="P26" s="189">
        <f t="shared" si="13"/>
        <v>472213.01538366661</v>
      </c>
      <c r="Q26" s="189">
        <f t="shared" si="9"/>
        <v>96761.65209166662</v>
      </c>
      <c r="R26" s="189">
        <f t="shared" si="9"/>
        <v>10879.801034916669</v>
      </c>
      <c r="S26" s="189">
        <f t="shared" si="9"/>
        <v>12536.628726999974</v>
      </c>
      <c r="T26" s="189">
        <f t="shared" si="14"/>
        <v>10112366.391668828</v>
      </c>
      <c r="U26" s="189">
        <f t="shared" si="14"/>
        <v>1777617.5120650018</v>
      </c>
      <c r="V26" s="189">
        <f t="shared" si="14"/>
        <v>1842766.9064994985</v>
      </c>
      <c r="W26" s="192">
        <v>0.21</v>
      </c>
      <c r="X26" s="193">
        <f t="shared" si="7"/>
        <v>-2883877.670148999</v>
      </c>
      <c r="Y26" s="193">
        <f t="shared" si="8"/>
        <v>-1280224.4467619362</v>
      </c>
      <c r="Z26" s="198">
        <v>0.1116818396207977</v>
      </c>
      <c r="AA26" s="198">
        <v>0.32055058246875617</v>
      </c>
      <c r="AB26" s="198">
        <v>0.78449000000000002</v>
      </c>
      <c r="AC26" s="198">
        <v>0.17246822636892989</v>
      </c>
      <c r="AD26" s="191">
        <f t="shared" si="11"/>
        <v>2306894.7691534963</v>
      </c>
      <c r="AE26" s="199">
        <v>8.7662452806149052E-2</v>
      </c>
      <c r="AF26" s="199">
        <v>2.6102770714801864E-2</v>
      </c>
      <c r="AG26" s="190">
        <v>0.18714114595690171</v>
      </c>
      <c r="AH26" s="195">
        <f t="shared" si="10"/>
        <v>202228.05382967048</v>
      </c>
      <c r="AI26" s="195">
        <f t="shared" si="5"/>
        <v>37845.189738318535</v>
      </c>
      <c r="AJ26" s="196"/>
    </row>
    <row r="27" spans="1:36">
      <c r="A27" s="187">
        <v>44470</v>
      </c>
      <c r="B27" s="191">
        <v>62235227.62999998</v>
      </c>
      <c r="C27" s="191">
        <v>7044722.7100000009</v>
      </c>
      <c r="D27" s="191">
        <v>251077620.72999999</v>
      </c>
      <c r="E27" s="190">
        <v>6.5299999999999997E-2</v>
      </c>
      <c r="F27" s="190">
        <v>6.5299999999999997E-2</v>
      </c>
      <c r="G27" s="190">
        <v>2.3199999999999998E-2</v>
      </c>
      <c r="H27" s="189">
        <f t="shared" si="12"/>
        <v>338663.36368658318</v>
      </c>
      <c r="I27" s="189">
        <f t="shared" si="12"/>
        <v>38335.032746916673</v>
      </c>
      <c r="J27" s="189">
        <f t="shared" si="12"/>
        <v>485416.73341133329</v>
      </c>
      <c r="K27" s="190">
        <v>4.6199999999999998E-2</v>
      </c>
      <c r="L27" s="190">
        <v>4.6199999999999998E-2</v>
      </c>
      <c r="M27" s="190">
        <v>2.2599999999999999E-2</v>
      </c>
      <c r="N27" s="189">
        <f t="shared" si="13"/>
        <v>239605.62637549991</v>
      </c>
      <c r="O27" s="189">
        <f t="shared" si="13"/>
        <v>27122.182433500002</v>
      </c>
      <c r="P27" s="189">
        <f t="shared" si="13"/>
        <v>472862.85237483331</v>
      </c>
      <c r="Q27" s="189">
        <f t="shared" si="9"/>
        <v>99057.73731108327</v>
      </c>
      <c r="R27" s="189">
        <f t="shared" si="9"/>
        <v>11212.850313416671</v>
      </c>
      <c r="S27" s="189">
        <f t="shared" si="9"/>
        <v>12553.881036499981</v>
      </c>
      <c r="T27" s="189">
        <f t="shared" si="14"/>
        <v>10211424.128979912</v>
      </c>
      <c r="U27" s="189">
        <f t="shared" si="14"/>
        <v>1788830.3623784184</v>
      </c>
      <c r="V27" s="189">
        <f t="shared" si="14"/>
        <v>1855320.7875359985</v>
      </c>
      <c r="W27" s="192">
        <v>0.21</v>
      </c>
      <c r="X27" s="193">
        <f t="shared" si="7"/>
        <v>-2909670.8085678089</v>
      </c>
      <c r="Y27" s="193">
        <f t="shared" si="8"/>
        <v>-1280224.4467619362</v>
      </c>
      <c r="Z27" s="198">
        <v>0.1116818396207977</v>
      </c>
      <c r="AA27" s="198">
        <v>0.32055058246875617</v>
      </c>
      <c r="AB27" s="198">
        <v>0.78449000000000002</v>
      </c>
      <c r="AC27" s="198">
        <v>0.17246822636892989</v>
      </c>
      <c r="AD27" s="191">
        <f t="shared" si="11"/>
        <v>2326778.9076881995</v>
      </c>
      <c r="AE27" s="199">
        <v>8.7662452806149052E-2</v>
      </c>
      <c r="AF27" s="199">
        <v>2.6102770714801864E-2</v>
      </c>
      <c r="AG27" s="190">
        <v>0.18714114595690171</v>
      </c>
      <c r="AH27" s="195">
        <f t="shared" si="10"/>
        <v>203971.14618555983</v>
      </c>
      <c r="AI27" s="195">
        <f t="shared" si="5"/>
        <v>38171.39403930839</v>
      </c>
      <c r="AJ27" s="196"/>
    </row>
    <row r="28" spans="1:36">
      <c r="A28" s="187">
        <v>44501</v>
      </c>
      <c r="B28" s="191">
        <v>61753640.809999987</v>
      </c>
      <c r="C28" s="191">
        <v>6859094.9199999999</v>
      </c>
      <c r="D28" s="191">
        <v>250876319.92000002</v>
      </c>
      <c r="E28" s="190">
        <v>6.5299999999999997E-2</v>
      </c>
      <c r="F28" s="190">
        <v>6.5299999999999997E-2</v>
      </c>
      <c r="G28" s="190">
        <v>2.3199999999999998E-2</v>
      </c>
      <c r="H28" s="189">
        <f t="shared" si="12"/>
        <v>336042.72874108324</v>
      </c>
      <c r="I28" s="189">
        <f t="shared" si="12"/>
        <v>37324.908189666668</v>
      </c>
      <c r="J28" s="189">
        <f t="shared" si="12"/>
        <v>485027.55184533331</v>
      </c>
      <c r="K28" s="190">
        <v>4.6199999999999998E-2</v>
      </c>
      <c r="L28" s="190">
        <v>4.6199999999999998E-2</v>
      </c>
      <c r="M28" s="190">
        <v>2.2599999999999999E-2</v>
      </c>
      <c r="N28" s="189">
        <f t="shared" si="13"/>
        <v>237751.51711849993</v>
      </c>
      <c r="O28" s="189">
        <f t="shared" si="13"/>
        <v>26407.515442</v>
      </c>
      <c r="P28" s="189">
        <f t="shared" si="13"/>
        <v>472483.73584933329</v>
      </c>
      <c r="Q28" s="189">
        <f t="shared" si="9"/>
        <v>98291.211622583302</v>
      </c>
      <c r="R28" s="189">
        <f t="shared" si="9"/>
        <v>10917.392747666669</v>
      </c>
      <c r="S28" s="189">
        <f t="shared" si="9"/>
        <v>12543.815996000019</v>
      </c>
      <c r="T28" s="189">
        <f t="shared" si="14"/>
        <v>10309715.340602495</v>
      </c>
      <c r="U28" s="189">
        <f t="shared" si="14"/>
        <v>1799747.7551260851</v>
      </c>
      <c r="V28" s="189">
        <f t="shared" si="14"/>
        <v>1867864.6035319986</v>
      </c>
      <c r="W28" s="192">
        <v>0.21</v>
      </c>
      <c r="X28" s="193">
        <f t="shared" si="7"/>
        <v>-2935238.8168447213</v>
      </c>
      <c r="Y28" s="193">
        <f t="shared" si="8"/>
        <v>-1280224.4467619362</v>
      </c>
      <c r="Z28" s="198">
        <v>0.1116818396207977</v>
      </c>
      <c r="AA28" s="198">
        <v>0.32055058246875617</v>
      </c>
      <c r="AB28" s="198">
        <v>0.78449000000000002</v>
      </c>
      <c r="AC28" s="198">
        <v>0.17246822636892989</v>
      </c>
      <c r="AD28" s="191">
        <f t="shared" si="11"/>
        <v>2346745.6812305544</v>
      </c>
      <c r="AE28" s="199">
        <v>8.7662452806149052E-2</v>
      </c>
      <c r="AF28" s="199">
        <v>2.6102770714801864E-2</v>
      </c>
      <c r="AG28" s="190">
        <v>0.18714114595690171</v>
      </c>
      <c r="AH28" s="195">
        <f t="shared" si="10"/>
        <v>205721.48252890757</v>
      </c>
      <c r="AI28" s="195">
        <f t="shared" si="5"/>
        <v>38498.953988412497</v>
      </c>
      <c r="AJ28" s="196"/>
    </row>
    <row r="29" spans="1:36">
      <c r="A29" s="187">
        <v>44531</v>
      </c>
      <c r="B29" s="191">
        <v>61453596.25</v>
      </c>
      <c r="C29" s="191">
        <v>6862228.2400000002</v>
      </c>
      <c r="D29" s="191">
        <v>254872602.56999999</v>
      </c>
      <c r="E29" s="190">
        <v>6.5299999999999997E-2</v>
      </c>
      <c r="F29" s="190">
        <v>6.5299999999999997E-2</v>
      </c>
      <c r="G29" s="190">
        <v>2.3199999999999998E-2</v>
      </c>
      <c r="H29" s="189">
        <f t="shared" si="12"/>
        <v>334409.98626041663</v>
      </c>
      <c r="I29" s="189">
        <f t="shared" si="12"/>
        <v>37341.958672666668</v>
      </c>
      <c r="J29" s="189">
        <f t="shared" si="12"/>
        <v>492753.698302</v>
      </c>
      <c r="K29" s="190">
        <v>4.6199999999999998E-2</v>
      </c>
      <c r="L29" s="190">
        <v>4.6199999999999998E-2</v>
      </c>
      <c r="M29" s="190">
        <v>2.2599999999999999E-2</v>
      </c>
      <c r="N29" s="189">
        <f t="shared" si="13"/>
        <v>236596.34556249998</v>
      </c>
      <c r="O29" s="189">
        <f t="shared" si="13"/>
        <v>26419.578724000003</v>
      </c>
      <c r="P29" s="189">
        <f t="shared" si="13"/>
        <v>480010.06817349995</v>
      </c>
      <c r="Q29" s="189">
        <f t="shared" si="9"/>
        <v>97813.64069791665</v>
      </c>
      <c r="R29" s="189">
        <f t="shared" si="9"/>
        <v>10922.379948666665</v>
      </c>
      <c r="S29" s="189">
        <f t="shared" si="9"/>
        <v>12743.630128500052</v>
      </c>
      <c r="T29" s="189">
        <f t="shared" si="14"/>
        <v>10407528.981300412</v>
      </c>
      <c r="U29" s="189">
        <f t="shared" si="14"/>
        <v>1810670.1350747517</v>
      </c>
      <c r="V29" s="189">
        <f t="shared" si="14"/>
        <v>1880608.2336604986</v>
      </c>
      <c r="W29" s="192">
        <v>0.21</v>
      </c>
      <c r="X29" s="193">
        <f t="shared" si="7"/>
        <v>-2960749.5435074889</v>
      </c>
      <c r="Y29" s="193">
        <f t="shared" si="8"/>
        <v>-1280224.4467619362</v>
      </c>
      <c r="Z29" s="198">
        <v>0.1116818396207977</v>
      </c>
      <c r="AA29" s="198">
        <v>0.32055058246875617</v>
      </c>
      <c r="AB29" s="198">
        <v>0.78449000000000002</v>
      </c>
      <c r="AC29" s="198">
        <v>0.17246822636892989</v>
      </c>
      <c r="AD29" s="191">
        <f t="shared" si="11"/>
        <v>2366707.8839230319</v>
      </c>
      <c r="AE29" s="199">
        <v>8.7662452806149052E-2</v>
      </c>
      <c r="AF29" s="199">
        <v>2.6102770714801864E-2</v>
      </c>
      <c r="AG29" s="190">
        <v>0.18714114595690171</v>
      </c>
      <c r="AH29" s="195">
        <f t="shared" si="10"/>
        <v>207471.41818034367</v>
      </c>
      <c r="AI29" s="195">
        <f t="shared" si="5"/>
        <v>38826.438951573087</v>
      </c>
      <c r="AJ29" s="196"/>
    </row>
    <row r="30" spans="1:36">
      <c r="A30" s="187">
        <v>44562</v>
      </c>
      <c r="B30" s="200">
        <v>61719960.189999983</v>
      </c>
      <c r="C30" s="200">
        <v>6862228.2400000002</v>
      </c>
      <c r="D30" s="200">
        <v>272567593.89999998</v>
      </c>
      <c r="E30" s="190">
        <v>6.5299999999999997E-2</v>
      </c>
      <c r="F30" s="190">
        <v>6.5299999999999997E-2</v>
      </c>
      <c r="G30" s="190">
        <v>2.3199999999999998E-2</v>
      </c>
      <c r="H30" s="189">
        <f t="shared" si="12"/>
        <v>335859.45003391657</v>
      </c>
      <c r="I30" s="189">
        <f t="shared" si="12"/>
        <v>37341.958672666668</v>
      </c>
      <c r="J30" s="189">
        <f t="shared" si="12"/>
        <v>526964.01487333328</v>
      </c>
      <c r="K30" s="190">
        <v>4.6199999999999998E-2</v>
      </c>
      <c r="L30" s="190">
        <v>4.6199999999999998E-2</v>
      </c>
      <c r="M30" s="190">
        <v>2.2599999999999999E-2</v>
      </c>
      <c r="N30" s="189">
        <f t="shared" si="13"/>
        <v>237621.84673149991</v>
      </c>
      <c r="O30" s="189">
        <f t="shared" si="13"/>
        <v>26419.578724000003</v>
      </c>
      <c r="P30" s="189">
        <f t="shared" si="13"/>
        <v>513335.63517833321</v>
      </c>
      <c r="Q30" s="189">
        <f t="shared" ref="Q30:S41" si="15">H30-N30</f>
        <v>98237.603302416654</v>
      </c>
      <c r="R30" s="189">
        <f t="shared" si="15"/>
        <v>10922.379948666665</v>
      </c>
      <c r="S30" s="189">
        <f t="shared" si="15"/>
        <v>13628.379695000069</v>
      </c>
      <c r="T30" s="189">
        <f t="shared" si="14"/>
        <v>10505766.584602829</v>
      </c>
      <c r="U30" s="189">
        <f t="shared" si="14"/>
        <v>1821592.5150234182</v>
      </c>
      <c r="V30" s="189">
        <f t="shared" si="14"/>
        <v>1894236.6133554988</v>
      </c>
      <c r="W30" s="192">
        <v>0.21</v>
      </c>
      <c r="X30" s="193">
        <f t="shared" si="7"/>
        <v>-2986535.0997261666</v>
      </c>
      <c r="Y30" s="193">
        <f t="shared" si="8"/>
        <v>-1280224.4467619362</v>
      </c>
      <c r="Z30" s="198">
        <v>0.10230390703184535</v>
      </c>
      <c r="AA30" s="198">
        <v>0.34643763238917064</v>
      </c>
      <c r="AB30" s="198">
        <v>0.84385500000000002</v>
      </c>
      <c r="AC30" s="198">
        <v>0.18645440302653682</v>
      </c>
      <c r="AD30" s="191">
        <f t="shared" ref="AD30:AD41" si="16">((SUM(T18:T30)/13)*Z30)+((SUM(U18:U30)/13)*AA30)+((SUM(V18:V30)/13)*AB30)+((X30+X18+Y18+Y30)/2*AC30)</f>
        <v>2389553.4506632062</v>
      </c>
      <c r="AE30" s="199">
        <v>8.7617423446588211E-2</v>
      </c>
      <c r="AF30" s="199">
        <v>2.6057423446588214E-2</v>
      </c>
      <c r="AG30" s="190">
        <v>0.1866701832052792</v>
      </c>
      <c r="AH30" s="195">
        <f t="shared" si="10"/>
        <v>209366.51653501418</v>
      </c>
      <c r="AI30" s="195">
        <f t="shared" si="5"/>
        <v>39082.485998642216</v>
      </c>
      <c r="AJ30" s="196"/>
    </row>
    <row r="31" spans="1:36">
      <c r="A31" s="187">
        <v>44593</v>
      </c>
      <c r="B31" s="200">
        <v>64927103.000000045</v>
      </c>
      <c r="C31" s="200">
        <v>6865992.1900000013</v>
      </c>
      <c r="D31" s="200">
        <v>271606458.27999997</v>
      </c>
      <c r="E31" s="190">
        <v>6.5299999999999997E-2</v>
      </c>
      <c r="F31" s="190">
        <v>6.5299999999999997E-2</v>
      </c>
      <c r="G31" s="190">
        <v>2.3199999999999998E-2</v>
      </c>
      <c r="H31" s="189">
        <f t="shared" si="12"/>
        <v>353311.65215833351</v>
      </c>
      <c r="I31" s="189">
        <f t="shared" si="12"/>
        <v>37362.440833916677</v>
      </c>
      <c r="J31" s="189">
        <f t="shared" si="12"/>
        <v>525105.81934133323</v>
      </c>
      <c r="K31" s="190">
        <v>4.6199999999999998E-2</v>
      </c>
      <c r="L31" s="190">
        <v>4.6199999999999998E-2</v>
      </c>
      <c r="M31" s="190">
        <v>2.2599999999999999E-2</v>
      </c>
      <c r="N31" s="189">
        <f t="shared" si="13"/>
        <v>249969.34655000016</v>
      </c>
      <c r="O31" s="189">
        <f t="shared" si="13"/>
        <v>26434.069931500006</v>
      </c>
      <c r="P31" s="189">
        <f t="shared" si="13"/>
        <v>511525.49642733322</v>
      </c>
      <c r="Q31" s="189">
        <f t="shared" si="15"/>
        <v>103342.30560833335</v>
      </c>
      <c r="R31" s="189">
        <f t="shared" si="15"/>
        <v>10928.370902416671</v>
      </c>
      <c r="S31" s="189">
        <f t="shared" si="15"/>
        <v>13580.322914000018</v>
      </c>
      <c r="T31" s="189">
        <f t="shared" si="14"/>
        <v>10609108.890211163</v>
      </c>
      <c r="U31" s="189">
        <f t="shared" si="14"/>
        <v>1832520.885925835</v>
      </c>
      <c r="V31" s="189">
        <f t="shared" si="14"/>
        <v>1907816.9362694989</v>
      </c>
      <c r="W31" s="192">
        <v>0.21</v>
      </c>
      <c r="X31" s="193">
        <f t="shared" si="7"/>
        <v>-3013383.8096053642</v>
      </c>
      <c r="Y31" s="193">
        <f t="shared" si="8"/>
        <v>-1280224.4467619362</v>
      </c>
      <c r="Z31" s="198">
        <v>0.10230390703184535</v>
      </c>
      <c r="AA31" s="198">
        <v>0.34643763238917064</v>
      </c>
      <c r="AB31" s="198">
        <v>0.84385500000000002</v>
      </c>
      <c r="AC31" s="198">
        <v>0.18645440302653682</v>
      </c>
      <c r="AD31" s="191">
        <f t="shared" si="16"/>
        <v>2409343.2515415335</v>
      </c>
      <c r="AE31" s="199">
        <v>8.7617423446588211E-2</v>
      </c>
      <c r="AF31" s="199">
        <v>2.6057423446588214E-2</v>
      </c>
      <c r="AG31" s="190">
        <v>0.1866701832052792</v>
      </c>
      <c r="AH31" s="195">
        <f t="shared" si="10"/>
        <v>211100.44789849423</v>
      </c>
      <c r="AI31" s="195">
        <f t="shared" si="5"/>
        <v>39406.159283928413</v>
      </c>
      <c r="AJ31" s="196"/>
    </row>
    <row r="32" spans="1:36">
      <c r="A32" s="187">
        <v>44621</v>
      </c>
      <c r="B32" s="200">
        <v>64835770.410000011</v>
      </c>
      <c r="C32" s="200">
        <v>6979010.620000001</v>
      </c>
      <c r="D32" s="200">
        <v>267818142.01999998</v>
      </c>
      <c r="E32" s="190">
        <v>6.5299999999999997E-2</v>
      </c>
      <c r="F32" s="190">
        <v>6.5299999999999997E-2</v>
      </c>
      <c r="G32" s="190">
        <v>2.3199999999999998E-2</v>
      </c>
      <c r="H32" s="189">
        <f t="shared" si="12"/>
        <v>352814.65064775007</v>
      </c>
      <c r="I32" s="189">
        <f t="shared" si="12"/>
        <v>37977.449457166673</v>
      </c>
      <c r="J32" s="189">
        <f t="shared" si="12"/>
        <v>517781.74123866664</v>
      </c>
      <c r="K32" s="190">
        <v>4.6199999999999998E-2</v>
      </c>
      <c r="L32" s="190">
        <v>4.6199999999999998E-2</v>
      </c>
      <c r="M32" s="190">
        <v>2.2599999999999999E-2</v>
      </c>
      <c r="N32" s="189">
        <f t="shared" si="13"/>
        <v>249617.71607850003</v>
      </c>
      <c r="O32" s="189">
        <f t="shared" si="13"/>
        <v>26869.190887000004</v>
      </c>
      <c r="P32" s="189">
        <f t="shared" si="13"/>
        <v>504390.83413766656</v>
      </c>
      <c r="Q32" s="189">
        <f t="shared" si="15"/>
        <v>103196.93456925004</v>
      </c>
      <c r="R32" s="189">
        <f t="shared" si="15"/>
        <v>11108.258570166669</v>
      </c>
      <c r="S32" s="189">
        <f t="shared" si="15"/>
        <v>13390.907101000077</v>
      </c>
      <c r="T32" s="189">
        <f t="shared" si="14"/>
        <v>10712305.824780414</v>
      </c>
      <c r="U32" s="189">
        <f t="shared" si="14"/>
        <v>1843629.1444960018</v>
      </c>
      <c r="V32" s="189">
        <f t="shared" si="14"/>
        <v>1921207.8433704991</v>
      </c>
      <c r="W32" s="192">
        <v>0.21</v>
      </c>
      <c r="X32" s="193">
        <f t="shared" si="7"/>
        <v>-3040199.990655852</v>
      </c>
      <c r="Y32" s="193">
        <f t="shared" si="8"/>
        <v>-1280224.4467619362</v>
      </c>
      <c r="Z32" s="198">
        <v>0.10230390703184535</v>
      </c>
      <c r="AA32" s="198">
        <v>0.34643763238917064</v>
      </c>
      <c r="AB32" s="198">
        <v>0.84385500000000002</v>
      </c>
      <c r="AC32" s="198">
        <v>0.18645440302653682</v>
      </c>
      <c r="AD32" s="191">
        <f t="shared" si="16"/>
        <v>2429229.1715446049</v>
      </c>
      <c r="AE32" s="199">
        <v>8.7617423446588211E-2</v>
      </c>
      <c r="AF32" s="199">
        <v>2.6057423446588214E-2</v>
      </c>
      <c r="AG32" s="190">
        <v>0.1866701832052792</v>
      </c>
      <c r="AH32" s="195">
        <f t="shared" si="10"/>
        <v>212842.80097202832</v>
      </c>
      <c r="AI32" s="195">
        <f t="shared" si="5"/>
        <v>39731.404651373305</v>
      </c>
      <c r="AJ32" s="196"/>
    </row>
    <row r="33" spans="1:36">
      <c r="A33" s="187">
        <v>44652</v>
      </c>
      <c r="B33" s="200">
        <v>64831976.359999985</v>
      </c>
      <c r="C33" s="200">
        <v>6990522</v>
      </c>
      <c r="D33" s="200">
        <v>271332275.44</v>
      </c>
      <c r="E33" s="190">
        <v>6.5299999999999997E-2</v>
      </c>
      <c r="F33" s="190">
        <v>6.5299999999999997E-2</v>
      </c>
      <c r="G33" s="190">
        <v>2.3199999999999998E-2</v>
      </c>
      <c r="H33" s="189">
        <f t="shared" si="12"/>
        <v>352794.00469233323</v>
      </c>
      <c r="I33" s="189">
        <f t="shared" si="12"/>
        <v>38040.090550000001</v>
      </c>
      <c r="J33" s="189">
        <f t="shared" si="12"/>
        <v>524575.73251733335</v>
      </c>
      <c r="K33" s="190">
        <v>4.6199999999999998E-2</v>
      </c>
      <c r="L33" s="190">
        <v>4.6199999999999998E-2</v>
      </c>
      <c r="M33" s="190">
        <v>2.2599999999999999E-2</v>
      </c>
      <c r="N33" s="189">
        <f t="shared" si="13"/>
        <v>249603.10898599995</v>
      </c>
      <c r="O33" s="189">
        <f t="shared" si="13"/>
        <v>26913.509699999999</v>
      </c>
      <c r="P33" s="189">
        <f t="shared" si="13"/>
        <v>511009.11874533328</v>
      </c>
      <c r="Q33" s="189">
        <f t="shared" si="15"/>
        <v>103190.89570633328</v>
      </c>
      <c r="R33" s="189">
        <f t="shared" si="15"/>
        <v>11126.580850000002</v>
      </c>
      <c r="S33" s="189">
        <f t="shared" si="15"/>
        <v>13566.61377200007</v>
      </c>
      <c r="T33" s="189">
        <f t="shared" si="14"/>
        <v>10815496.720486747</v>
      </c>
      <c r="U33" s="189">
        <f t="shared" si="14"/>
        <v>1854755.7253460018</v>
      </c>
      <c r="V33" s="189">
        <f t="shared" si="14"/>
        <v>1934774.4571424993</v>
      </c>
      <c r="W33" s="192">
        <v>0.21</v>
      </c>
      <c r="X33" s="193">
        <f t="shared" si="7"/>
        <v>-3067055.6496248017</v>
      </c>
      <c r="Y33" s="193">
        <f t="shared" si="8"/>
        <v>-1280224.4467619362</v>
      </c>
      <c r="Z33" s="198">
        <v>0.10230390703184535</v>
      </c>
      <c r="AA33" s="198">
        <v>0.34643763238917064</v>
      </c>
      <c r="AB33" s="198">
        <v>0.84385500000000002</v>
      </c>
      <c r="AC33" s="198">
        <v>0.18645440302653682</v>
      </c>
      <c r="AD33" s="191">
        <f t="shared" si="16"/>
        <v>2449220.9765392509</v>
      </c>
      <c r="AE33" s="199">
        <v>8.7617423446588211E-2</v>
      </c>
      <c r="AF33" s="199">
        <v>2.6057423446588214E-2</v>
      </c>
      <c r="AG33" s="190">
        <v>0.1866701832052792</v>
      </c>
      <c r="AH33" s="195">
        <f t="shared" si="10"/>
        <v>214594.43141570583</v>
      </c>
      <c r="AI33" s="195">
        <f t="shared" si="5"/>
        <v>40058.381827202531</v>
      </c>
      <c r="AJ33" s="196"/>
    </row>
    <row r="34" spans="1:36">
      <c r="A34" s="187">
        <v>44682</v>
      </c>
      <c r="B34" s="200">
        <v>64866670.010000005</v>
      </c>
      <c r="C34" s="200">
        <v>6995634.6900000004</v>
      </c>
      <c r="D34" s="200">
        <v>268663604.31</v>
      </c>
      <c r="E34" s="190">
        <v>6.5299999999999997E-2</v>
      </c>
      <c r="F34" s="190">
        <v>6.5299999999999997E-2</v>
      </c>
      <c r="G34" s="190">
        <v>2.3199999999999998E-2</v>
      </c>
      <c r="H34" s="189">
        <f t="shared" si="12"/>
        <v>352982.7959710834</v>
      </c>
      <c r="I34" s="189">
        <f t="shared" si="12"/>
        <v>38067.912104750001</v>
      </c>
      <c r="J34" s="189">
        <f t="shared" si="12"/>
        <v>519416.30166599998</v>
      </c>
      <c r="K34" s="190">
        <v>4.6199999999999998E-2</v>
      </c>
      <c r="L34" s="190">
        <v>4.6199999999999998E-2</v>
      </c>
      <c r="M34" s="190">
        <v>2.2599999999999999E-2</v>
      </c>
      <c r="N34" s="189">
        <f t="shared" si="13"/>
        <v>249736.6795385</v>
      </c>
      <c r="O34" s="189">
        <f t="shared" si="13"/>
        <v>26933.193556500002</v>
      </c>
      <c r="P34" s="189">
        <f t="shared" si="13"/>
        <v>505983.12145049992</v>
      </c>
      <c r="Q34" s="189">
        <f t="shared" si="15"/>
        <v>103246.1164325834</v>
      </c>
      <c r="R34" s="189">
        <f t="shared" si="15"/>
        <v>11134.718548249999</v>
      </c>
      <c r="S34" s="189">
        <f t="shared" si="15"/>
        <v>13433.180215500062</v>
      </c>
      <c r="T34" s="189">
        <f t="shared" si="14"/>
        <v>10918742.83691933</v>
      </c>
      <c r="U34" s="189">
        <f t="shared" si="14"/>
        <v>1865890.4438942517</v>
      </c>
      <c r="V34" s="189">
        <f t="shared" si="14"/>
        <v>1948207.6373579993</v>
      </c>
      <c r="W34" s="192">
        <v>0.21</v>
      </c>
      <c r="X34" s="193">
        <f t="shared" si="7"/>
        <v>-3093896.592816032</v>
      </c>
      <c r="Y34" s="193">
        <f t="shared" si="8"/>
        <v>-1280224.4467619362</v>
      </c>
      <c r="Z34" s="198">
        <v>0.10230390703184535</v>
      </c>
      <c r="AA34" s="198">
        <v>0.34643763238917064</v>
      </c>
      <c r="AB34" s="198">
        <v>0.84385500000000002</v>
      </c>
      <c r="AC34" s="198">
        <v>0.18645440302653682</v>
      </c>
      <c r="AD34" s="191">
        <f t="shared" si="16"/>
        <v>2469320.5470499429</v>
      </c>
      <c r="AE34" s="199">
        <v>8.7617423446588211E-2</v>
      </c>
      <c r="AF34" s="199">
        <v>2.6057423446588214E-2</v>
      </c>
      <c r="AG34" s="190">
        <v>0.1866701832052792</v>
      </c>
      <c r="AH34" s="195">
        <f t="shared" si="10"/>
        <v>216355.5039962357</v>
      </c>
      <c r="AI34" s="195">
        <f t="shared" si="5"/>
        <v>40387.12156844783</v>
      </c>
      <c r="AJ34" s="196"/>
    </row>
    <row r="35" spans="1:36">
      <c r="A35" s="187">
        <v>44713</v>
      </c>
      <c r="B35" s="200">
        <v>64498520.590000018</v>
      </c>
      <c r="C35" s="200">
        <v>7471409.2800000012</v>
      </c>
      <c r="D35" s="200">
        <v>272723633.76999998</v>
      </c>
      <c r="E35" s="190">
        <v>6.5299999999999997E-2</v>
      </c>
      <c r="F35" s="190">
        <v>6.5299999999999997E-2</v>
      </c>
      <c r="G35" s="190">
        <v>2.3199999999999998E-2</v>
      </c>
      <c r="H35" s="189">
        <f t="shared" si="12"/>
        <v>350979.44954391679</v>
      </c>
      <c r="I35" s="189">
        <f t="shared" si="12"/>
        <v>40656.918832000003</v>
      </c>
      <c r="J35" s="189">
        <f t="shared" si="12"/>
        <v>527265.69195533323</v>
      </c>
      <c r="K35" s="190">
        <v>4.6199999999999998E-2</v>
      </c>
      <c r="L35" s="190">
        <v>4.6199999999999998E-2</v>
      </c>
      <c r="M35" s="190">
        <v>2.2599999999999999E-2</v>
      </c>
      <c r="N35" s="189">
        <f t="shared" si="13"/>
        <v>248319.30427150006</v>
      </c>
      <c r="O35" s="189">
        <f t="shared" si="13"/>
        <v>28764.925728000002</v>
      </c>
      <c r="P35" s="189">
        <f t="shared" si="13"/>
        <v>513629.51026683324</v>
      </c>
      <c r="Q35" s="189">
        <f t="shared" si="15"/>
        <v>102660.14527241673</v>
      </c>
      <c r="R35" s="189">
        <f t="shared" si="15"/>
        <v>11891.993104000001</v>
      </c>
      <c r="S35" s="189">
        <f t="shared" si="15"/>
        <v>13636.181688499986</v>
      </c>
      <c r="T35" s="189">
        <f t="shared" si="14"/>
        <v>11021402.982191747</v>
      </c>
      <c r="U35" s="189">
        <f t="shared" si="14"/>
        <v>1877782.4369982518</v>
      </c>
      <c r="V35" s="189">
        <f t="shared" si="14"/>
        <v>1961843.8190464992</v>
      </c>
      <c r="W35" s="192">
        <v>0.21</v>
      </c>
      <c r="X35" s="193">
        <f t="shared" si="7"/>
        <v>-3120816.1400296646</v>
      </c>
      <c r="Y35" s="193">
        <f t="shared" si="8"/>
        <v>-1280224.4467619362</v>
      </c>
      <c r="Z35" s="198">
        <v>0.10230390703184535</v>
      </c>
      <c r="AA35" s="198">
        <v>0.34643763238917064</v>
      </c>
      <c r="AB35" s="198">
        <v>0.84385500000000002</v>
      </c>
      <c r="AC35" s="198">
        <v>0.18645440302653682</v>
      </c>
      <c r="AD35" s="191">
        <f t="shared" si="16"/>
        <v>2489517.9980982812</v>
      </c>
      <c r="AE35" s="199">
        <v>8.7617423446588211E-2</v>
      </c>
      <c r="AF35" s="199">
        <v>2.6057423446588214E-2</v>
      </c>
      <c r="AG35" s="190">
        <v>0.1866701832052792</v>
      </c>
      <c r="AH35" s="195">
        <f t="shared" si="10"/>
        <v>218125.1526172797</v>
      </c>
      <c r="AI35" s="195">
        <f t="shared" si="5"/>
        <v>40717.46220074709</v>
      </c>
      <c r="AJ35" s="196"/>
    </row>
    <row r="36" spans="1:36">
      <c r="A36" s="187">
        <v>44743</v>
      </c>
      <c r="B36" s="200">
        <v>65039154.110000029</v>
      </c>
      <c r="C36" s="200">
        <v>6986570.4100000001</v>
      </c>
      <c r="D36" s="200">
        <v>280232718.36000001</v>
      </c>
      <c r="E36" s="190">
        <v>6.5299999999999997E-2</v>
      </c>
      <c r="F36" s="190">
        <v>6.5299999999999997E-2</v>
      </c>
      <c r="G36" s="190">
        <v>2.3199999999999998E-2</v>
      </c>
      <c r="H36" s="189">
        <f t="shared" si="12"/>
        <v>353921.39694858348</v>
      </c>
      <c r="I36" s="189">
        <f t="shared" si="12"/>
        <v>38018.587314416662</v>
      </c>
      <c r="J36" s="189">
        <f t="shared" si="12"/>
        <v>541783.25549600006</v>
      </c>
      <c r="K36" s="190">
        <v>4.6199999999999998E-2</v>
      </c>
      <c r="L36" s="190">
        <v>4.6199999999999998E-2</v>
      </c>
      <c r="M36" s="190">
        <v>2.2599999999999999E-2</v>
      </c>
      <c r="N36" s="189">
        <f t="shared" si="13"/>
        <v>250400.74332350012</v>
      </c>
      <c r="O36" s="189">
        <f t="shared" si="13"/>
        <v>26898.2960785</v>
      </c>
      <c r="P36" s="189">
        <f t="shared" si="13"/>
        <v>527771.61957800004</v>
      </c>
      <c r="Q36" s="189">
        <f t="shared" si="15"/>
        <v>103520.65362508336</v>
      </c>
      <c r="R36" s="189">
        <f t="shared" si="15"/>
        <v>11120.291235916662</v>
      </c>
      <c r="S36" s="189">
        <f t="shared" si="15"/>
        <v>14011.635918000014</v>
      </c>
      <c r="T36" s="189">
        <f t="shared" si="14"/>
        <v>11124923.635816831</v>
      </c>
      <c r="U36" s="189">
        <f t="shared" si="14"/>
        <v>1888902.7282341684</v>
      </c>
      <c r="V36" s="189">
        <f t="shared" si="14"/>
        <v>1975855.4549644992</v>
      </c>
      <c r="W36" s="192">
        <v>0.21</v>
      </c>
      <c r="X36" s="193">
        <f t="shared" si="7"/>
        <v>-3147833.1819932549</v>
      </c>
      <c r="Y36" s="193">
        <f t="shared" si="8"/>
        <v>-1280224.4467619362</v>
      </c>
      <c r="Z36" s="198">
        <v>0.10230390703184535</v>
      </c>
      <c r="AA36" s="198">
        <v>0.34643763238917064</v>
      </c>
      <c r="AB36" s="198">
        <v>0.84385500000000002</v>
      </c>
      <c r="AC36" s="198">
        <v>0.18645440302653682</v>
      </c>
      <c r="AD36" s="191">
        <f t="shared" si="16"/>
        <v>2509831.6055154866</v>
      </c>
      <c r="AE36" s="199">
        <v>8.7617423446588211E-2</v>
      </c>
      <c r="AF36" s="199">
        <v>2.6057423446588214E-2</v>
      </c>
      <c r="AG36" s="190">
        <v>0.1866701832052792</v>
      </c>
      <c r="AH36" s="195">
        <f t="shared" si="10"/>
        <v>219904.97856008072</v>
      </c>
      <c r="AI36" s="195">
        <f t="shared" si="5"/>
        <v>41049.702635563262</v>
      </c>
      <c r="AJ36" s="196"/>
    </row>
    <row r="37" spans="1:36">
      <c r="A37" s="187">
        <v>44774</v>
      </c>
      <c r="B37" s="200">
        <v>65360126.050000027</v>
      </c>
      <c r="C37" s="200">
        <v>6995906.7600000007</v>
      </c>
      <c r="D37" s="200">
        <v>282446416.08999997</v>
      </c>
      <c r="E37" s="190">
        <v>6.5299999999999997E-2</v>
      </c>
      <c r="F37" s="190">
        <v>6.5299999999999997E-2</v>
      </c>
      <c r="G37" s="190">
        <v>2.3199999999999998E-2</v>
      </c>
      <c r="H37" s="189">
        <f t="shared" si="12"/>
        <v>355668.01925541676</v>
      </c>
      <c r="I37" s="189">
        <f t="shared" si="12"/>
        <v>38069.392618999998</v>
      </c>
      <c r="J37" s="189">
        <f t="shared" si="12"/>
        <v>546063.07110733318</v>
      </c>
      <c r="K37" s="190">
        <v>4.6199999999999998E-2</v>
      </c>
      <c r="L37" s="190">
        <v>4.6199999999999998E-2</v>
      </c>
      <c r="M37" s="190">
        <v>2.2599999999999999E-2</v>
      </c>
      <c r="N37" s="189">
        <f t="shared" si="13"/>
        <v>251636.48529250009</v>
      </c>
      <c r="O37" s="189">
        <f t="shared" si="13"/>
        <v>26934.241026000003</v>
      </c>
      <c r="P37" s="189">
        <f t="shared" si="13"/>
        <v>531940.75030283327</v>
      </c>
      <c r="Q37" s="189">
        <f t="shared" si="15"/>
        <v>104031.53396291667</v>
      </c>
      <c r="R37" s="189">
        <f t="shared" si="15"/>
        <v>11135.151592999995</v>
      </c>
      <c r="S37" s="189">
        <f t="shared" si="15"/>
        <v>14122.320804499905</v>
      </c>
      <c r="T37" s="189">
        <f t="shared" si="14"/>
        <v>11228955.169779748</v>
      </c>
      <c r="U37" s="189">
        <f t="shared" si="14"/>
        <v>1900037.8798271683</v>
      </c>
      <c r="V37" s="189">
        <f t="shared" si="14"/>
        <v>1989977.775768999</v>
      </c>
      <c r="W37" s="192">
        <v>0.21</v>
      </c>
      <c r="X37" s="193">
        <f t="shared" si="7"/>
        <v>-3174983.8733289419</v>
      </c>
      <c r="Y37" s="193">
        <f t="shared" si="8"/>
        <v>-1280224.4467619362</v>
      </c>
      <c r="Z37" s="198">
        <v>0.10230390703184535</v>
      </c>
      <c r="AA37" s="198">
        <v>0.34643763238917064</v>
      </c>
      <c r="AB37" s="198">
        <v>0.84385500000000002</v>
      </c>
      <c r="AC37" s="198">
        <v>0.18645440302653682</v>
      </c>
      <c r="AD37" s="191">
        <f t="shared" si="16"/>
        <v>2530265.1260009399</v>
      </c>
      <c r="AE37" s="199">
        <v>8.7617423446588211E-2</v>
      </c>
      <c r="AF37" s="199">
        <v>2.6057423446588214E-2</v>
      </c>
      <c r="AG37" s="190">
        <v>0.1866701832052792</v>
      </c>
      <c r="AH37" s="195">
        <f t="shared" si="10"/>
        <v>221695.31097695921</v>
      </c>
      <c r="AI37" s="195">
        <f t="shared" si="5"/>
        <v>41383.90431582032</v>
      </c>
      <c r="AJ37" s="196"/>
    </row>
    <row r="38" spans="1:36">
      <c r="A38" s="187">
        <v>44805</v>
      </c>
      <c r="B38" s="200">
        <v>64865988.830000028</v>
      </c>
      <c r="C38" s="200">
        <v>6859828.3500000015</v>
      </c>
      <c r="D38" s="200">
        <v>274177002.98999995</v>
      </c>
      <c r="E38" s="190">
        <v>6.5299999999999997E-2</v>
      </c>
      <c r="F38" s="190">
        <v>6.5299999999999997E-2</v>
      </c>
      <c r="G38" s="190">
        <v>2.3199999999999998E-2</v>
      </c>
      <c r="H38" s="189">
        <f t="shared" si="12"/>
        <v>352979.08921658347</v>
      </c>
      <c r="I38" s="189">
        <f t="shared" si="12"/>
        <v>37328.899271250004</v>
      </c>
      <c r="J38" s="189">
        <f t="shared" si="12"/>
        <v>530075.53911399993</v>
      </c>
      <c r="K38" s="190">
        <v>4.6199999999999998E-2</v>
      </c>
      <c r="L38" s="190">
        <v>4.6199999999999998E-2</v>
      </c>
      <c r="M38" s="190">
        <v>2.2599999999999999E-2</v>
      </c>
      <c r="N38" s="189">
        <f t="shared" si="13"/>
        <v>249734.05699550011</v>
      </c>
      <c r="O38" s="189">
        <f t="shared" si="13"/>
        <v>26410.339147500006</v>
      </c>
      <c r="P38" s="189">
        <f t="shared" si="13"/>
        <v>516366.68896449986</v>
      </c>
      <c r="Q38" s="189">
        <f t="shared" si="15"/>
        <v>103245.03222108335</v>
      </c>
      <c r="R38" s="189">
        <f t="shared" si="15"/>
        <v>10918.560123749998</v>
      </c>
      <c r="S38" s="189">
        <f t="shared" si="15"/>
        <v>13708.850149500067</v>
      </c>
      <c r="T38" s="189">
        <f t="shared" ref="T38:V41" si="17">T37+Q38</f>
        <v>11332200.20200083</v>
      </c>
      <c r="U38" s="189">
        <f t="shared" si="17"/>
        <v>1910956.4399509183</v>
      </c>
      <c r="V38" s="189">
        <f t="shared" si="17"/>
        <v>2003686.6259184992</v>
      </c>
      <c r="W38" s="192">
        <v>0.21</v>
      </c>
      <c r="X38" s="193">
        <f t="shared" si="7"/>
        <v>-3201837.0862527518</v>
      </c>
      <c r="Y38" s="193">
        <f t="shared" si="8"/>
        <v>-1280224.4467619362</v>
      </c>
      <c r="Z38" s="198">
        <v>0.10230390703184535</v>
      </c>
      <c r="AA38" s="198">
        <v>0.34643763238917064</v>
      </c>
      <c r="AB38" s="198">
        <v>0.84385500000000002</v>
      </c>
      <c r="AC38" s="198">
        <v>0.18645440302653682</v>
      </c>
      <c r="AD38" s="191">
        <f t="shared" si="16"/>
        <v>2550872.5304599502</v>
      </c>
      <c r="AE38" s="199">
        <v>8.7617423446588211E-2</v>
      </c>
      <c r="AF38" s="199">
        <v>2.6057423446588214E-2</v>
      </c>
      <c r="AG38" s="190">
        <v>0.1866701832052792</v>
      </c>
      <c r="AH38" s="195">
        <f t="shared" si="10"/>
        <v>223500.87865957944</v>
      </c>
      <c r="AI38" s="195">
        <f t="shared" si="5"/>
        <v>41720.94996592457</v>
      </c>
      <c r="AJ38" s="196"/>
    </row>
    <row r="39" spans="1:36">
      <c r="A39" s="187">
        <v>44835</v>
      </c>
      <c r="B39" s="200">
        <v>64755710.840000018</v>
      </c>
      <c r="C39" s="200">
        <v>6889549.6900000013</v>
      </c>
      <c r="D39" s="200">
        <v>275718244.97999996</v>
      </c>
      <c r="E39" s="190">
        <v>6.5299999999999997E-2</v>
      </c>
      <c r="F39" s="190">
        <v>6.5299999999999997E-2</v>
      </c>
      <c r="G39" s="190">
        <v>2.3199999999999998E-2</v>
      </c>
      <c r="H39" s="189">
        <f t="shared" si="12"/>
        <v>352378.99315433344</v>
      </c>
      <c r="I39" s="189">
        <f t="shared" si="12"/>
        <v>37490.632896416668</v>
      </c>
      <c r="J39" s="189">
        <f t="shared" si="12"/>
        <v>533055.27362799982</v>
      </c>
      <c r="K39" s="190">
        <v>4.6199999999999998E-2</v>
      </c>
      <c r="L39" s="190">
        <v>4.6199999999999998E-2</v>
      </c>
      <c r="M39" s="190">
        <v>2.2599999999999999E-2</v>
      </c>
      <c r="N39" s="189">
        <f t="shared" si="13"/>
        <v>249309.48673400006</v>
      </c>
      <c r="O39" s="189">
        <f t="shared" si="13"/>
        <v>26524.766306500005</v>
      </c>
      <c r="P39" s="189">
        <f t="shared" si="13"/>
        <v>519269.36137899989</v>
      </c>
      <c r="Q39" s="189">
        <f t="shared" si="15"/>
        <v>103069.50642033337</v>
      </c>
      <c r="R39" s="189">
        <f t="shared" si="15"/>
        <v>10965.866589916663</v>
      </c>
      <c r="S39" s="189">
        <f t="shared" si="15"/>
        <v>13785.912248999928</v>
      </c>
      <c r="T39" s="189">
        <f t="shared" si="17"/>
        <v>11435269.708421163</v>
      </c>
      <c r="U39" s="189">
        <f t="shared" si="17"/>
        <v>1921922.306540835</v>
      </c>
      <c r="V39" s="189">
        <f t="shared" si="17"/>
        <v>2017472.538167499</v>
      </c>
      <c r="W39" s="192">
        <v>0.21</v>
      </c>
      <c r="X39" s="193">
        <f t="shared" si="7"/>
        <v>-3228679.5561571945</v>
      </c>
      <c r="Y39" s="193">
        <f t="shared" si="8"/>
        <v>-1280224.4467619362</v>
      </c>
      <c r="Z39" s="198">
        <v>0.10230390703184535</v>
      </c>
      <c r="AA39" s="198">
        <v>0.34643763238917064</v>
      </c>
      <c r="AB39" s="198">
        <v>0.84385500000000002</v>
      </c>
      <c r="AC39" s="198">
        <v>0.18645440302653682</v>
      </c>
      <c r="AD39" s="191">
        <f t="shared" si="16"/>
        <v>2571562.1530791754</v>
      </c>
      <c r="AE39" s="199">
        <v>8.7617423446588211E-2</v>
      </c>
      <c r="AF39" s="199">
        <v>2.6057423446588214E-2</v>
      </c>
      <c r="AG39" s="190">
        <v>0.1866701832052792</v>
      </c>
      <c r="AH39" s="195">
        <f t="shared" si="10"/>
        <v>225313.65008555821</v>
      </c>
      <c r="AI39" s="195">
        <f t="shared" si="5"/>
        <v>42059.340340121322</v>
      </c>
      <c r="AJ39" s="196"/>
    </row>
    <row r="40" spans="1:36">
      <c r="A40" s="187">
        <v>44866</v>
      </c>
      <c r="B40" s="200">
        <v>65707008.159999996</v>
      </c>
      <c r="C40" s="200">
        <v>6871488.7700000014</v>
      </c>
      <c r="D40" s="200">
        <v>279845333.42000002</v>
      </c>
      <c r="E40" s="190">
        <v>6.5299999999999997E-2</v>
      </c>
      <c r="F40" s="190">
        <v>6.5299999999999997E-2</v>
      </c>
      <c r="G40" s="190">
        <v>2.3199999999999998E-2</v>
      </c>
      <c r="H40" s="189">
        <f t="shared" si="12"/>
        <v>357555.6360706666</v>
      </c>
      <c r="I40" s="189">
        <f t="shared" si="12"/>
        <v>37392.351390083342</v>
      </c>
      <c r="J40" s="189">
        <f t="shared" si="12"/>
        <v>541034.31127866672</v>
      </c>
      <c r="K40" s="190">
        <v>4.6199999999999998E-2</v>
      </c>
      <c r="L40" s="190">
        <v>4.6199999999999998E-2</v>
      </c>
      <c r="M40" s="190">
        <v>2.2599999999999999E-2</v>
      </c>
      <c r="N40" s="189">
        <f t="shared" si="13"/>
        <v>252971.98141599997</v>
      </c>
      <c r="O40" s="189">
        <f t="shared" si="13"/>
        <v>26455.231764500004</v>
      </c>
      <c r="P40" s="189">
        <f t="shared" si="13"/>
        <v>527042.04460766667</v>
      </c>
      <c r="Q40" s="189">
        <f t="shared" si="15"/>
        <v>104583.65465466664</v>
      </c>
      <c r="R40" s="189">
        <f t="shared" si="15"/>
        <v>10937.119625583338</v>
      </c>
      <c r="S40" s="189">
        <f t="shared" si="15"/>
        <v>13992.266671000049</v>
      </c>
      <c r="T40" s="189">
        <f t="shared" si="17"/>
        <v>11539853.36307583</v>
      </c>
      <c r="U40" s="189">
        <f t="shared" si="17"/>
        <v>1932859.4261664182</v>
      </c>
      <c r="V40" s="189">
        <f t="shared" si="17"/>
        <v>2031464.8048384991</v>
      </c>
      <c r="W40" s="192">
        <v>0.21</v>
      </c>
      <c r="X40" s="193">
        <f t="shared" si="7"/>
        <v>-3255877.2947569569</v>
      </c>
      <c r="Y40" s="193">
        <f t="shared" si="8"/>
        <v>-1280224.4467619362</v>
      </c>
      <c r="Z40" s="198">
        <v>0.10230390703184535</v>
      </c>
      <c r="AA40" s="198">
        <v>0.34643763238917064</v>
      </c>
      <c r="AB40" s="198">
        <v>0.84385500000000002</v>
      </c>
      <c r="AC40" s="198">
        <v>0.18645440302653682</v>
      </c>
      <c r="AD40" s="191">
        <f t="shared" si="16"/>
        <v>2592369.1500419574</v>
      </c>
      <c r="AE40" s="199">
        <v>8.7617423446588211E-2</v>
      </c>
      <c r="AF40" s="199">
        <v>2.6057423446588214E-2</v>
      </c>
      <c r="AG40" s="190">
        <v>0.1866701832052792</v>
      </c>
      <c r="AH40" s="195">
        <f t="shared" si="10"/>
        <v>227136.70554909814</v>
      </c>
      <c r="AI40" s="195">
        <f t="shared" si="5"/>
        <v>42399.650437493707</v>
      </c>
      <c r="AJ40" s="196"/>
    </row>
    <row r="41" spans="1:36">
      <c r="A41" s="187">
        <v>44896</v>
      </c>
      <c r="B41" s="200">
        <v>66227852.679999992</v>
      </c>
      <c r="C41" s="200">
        <v>6864775.1299999999</v>
      </c>
      <c r="D41" s="200">
        <v>277787055</v>
      </c>
      <c r="E41" s="190">
        <v>6.5299999999999997E-2</v>
      </c>
      <c r="F41" s="190">
        <v>6.5299999999999997E-2</v>
      </c>
      <c r="G41" s="190">
        <v>2.3199999999999998E-2</v>
      </c>
      <c r="H41" s="189">
        <f t="shared" si="12"/>
        <v>360389.89833366661</v>
      </c>
      <c r="I41" s="189">
        <f t="shared" si="12"/>
        <v>37355.817999083331</v>
      </c>
      <c r="J41" s="189">
        <f t="shared" si="12"/>
        <v>537054.973</v>
      </c>
      <c r="K41" s="190">
        <v>4.6199999999999998E-2</v>
      </c>
      <c r="L41" s="190">
        <v>4.6199999999999998E-2</v>
      </c>
      <c r="M41" s="190">
        <v>2.2599999999999999E-2</v>
      </c>
      <c r="N41" s="189">
        <f t="shared" si="13"/>
        <v>254977.23281799993</v>
      </c>
      <c r="O41" s="189">
        <f t="shared" si="13"/>
        <v>26429.384250499996</v>
      </c>
      <c r="P41" s="189">
        <f t="shared" si="13"/>
        <v>523165.62024999998</v>
      </c>
      <c r="Q41" s="189">
        <f t="shared" si="15"/>
        <v>105412.66551566668</v>
      </c>
      <c r="R41" s="189">
        <f t="shared" si="15"/>
        <v>10926.433748583335</v>
      </c>
      <c r="S41" s="189">
        <f t="shared" si="15"/>
        <v>13889.35275000002</v>
      </c>
      <c r="T41" s="189">
        <f t="shared" si="17"/>
        <v>11645266.028591497</v>
      </c>
      <c r="U41" s="189">
        <f t="shared" si="17"/>
        <v>1943785.8599150016</v>
      </c>
      <c r="V41" s="189">
        <f t="shared" si="17"/>
        <v>2045354.1575884991</v>
      </c>
      <c r="W41" s="192">
        <v>0.21</v>
      </c>
      <c r="X41" s="193">
        <f t="shared" si="7"/>
        <v>-3283225.2696799492</v>
      </c>
      <c r="Y41" s="193">
        <f t="shared" si="8"/>
        <v>-1280224.4467619362</v>
      </c>
      <c r="Z41" s="198">
        <v>0.10230390703184535</v>
      </c>
      <c r="AA41" s="198">
        <v>0.34643763238917064</v>
      </c>
      <c r="AB41" s="198">
        <v>0.84385500000000002</v>
      </c>
      <c r="AC41" s="198">
        <v>0.18645440302653682</v>
      </c>
      <c r="AD41" s="191">
        <f t="shared" si="16"/>
        <v>2613311.1059140759</v>
      </c>
      <c r="AE41" s="199">
        <v>8.7617423446588211E-2</v>
      </c>
      <c r="AF41" s="199">
        <v>2.6057423446588214E-2</v>
      </c>
      <c r="AG41" s="190">
        <v>0.1866701832052792</v>
      </c>
      <c r="AH41" s="195">
        <f t="shared" si="10"/>
        <v>228971.58576454531</v>
      </c>
      <c r="AI41" s="195">
        <f t="shared" si="5"/>
        <v>42742.167863470968</v>
      </c>
      <c r="AJ41" s="196">
        <f>SUM(AH41:AI41)</f>
        <v>271713.75362801627</v>
      </c>
    </row>
  </sheetData>
  <mergeCells count="8">
    <mergeCell ref="T1:V1"/>
    <mergeCell ref="Z1:AC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Cost of Service References</vt:lpstr>
      <vt:lpstr>BHP WP1 A&amp;G</vt:lpstr>
      <vt:lpstr>BHP WP4 Transmission Assets</vt:lpstr>
      <vt:lpstr>BHP WP8 Adj to Rate Base</vt:lpstr>
      <vt:lpstr>BHP WP9 Accum Depr</vt:lpstr>
      <vt:lpstr>BHP WP10 Plant in Service</vt:lpstr>
      <vt:lpstr>BHP WP11 Property Tax Expense</vt:lpstr>
      <vt:lpstr>BHP WP12 ADIT</vt:lpstr>
      <vt:lpstr>BHP WP13 Accumulated Reserve </vt:lpstr>
      <vt:lpstr>'BHP WP1 A&amp;G'!Print_Area</vt:lpstr>
      <vt:lpstr>'BHP WP10 Plant in Service'!Print_Area</vt:lpstr>
      <vt:lpstr>'BHP WP4 Transmission Assets'!Print_Area</vt:lpstr>
      <vt:lpstr>'BHP WP9 Accum Depr'!Print_Area</vt:lpstr>
      <vt:lpstr>'Cost of Service References'!Print_Area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Hoffman</dc:creator>
  <cp:lastModifiedBy>Adelman, DJ</cp:lastModifiedBy>
  <cp:lastPrinted>2016-05-31T15:34:06Z</cp:lastPrinted>
  <dcterms:created xsi:type="dcterms:W3CDTF">2015-05-28T18:39:45Z</dcterms:created>
  <dcterms:modified xsi:type="dcterms:W3CDTF">2023-09-29T14:21:09Z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