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N:\BHSC\BHC\Rates\BHE COE\FERC\Transmission Formula Rate\COE Trans Form Rates 2024\Files to OASIS\"/>
    </mc:Choice>
  </mc:AlternateContent>
  <xr:revisionPtr revIDLastSave="0" documentId="8_{1284A97C-99C0-4134-8369-2F60A3DA3238}" xr6:coauthVersionLast="47" xr6:coauthVersionMax="47" xr10:uidLastSave="{00000000-0000-0000-0000-000000000000}"/>
  <bookViews>
    <workbookView xWindow="-28920" yWindow="-11280" windowWidth="29040" windowHeight="15720" tabRatio="890" activeTab="13" xr2:uid="{2273794D-E812-4364-8986-EFD10A9A221F}"/>
  </bookViews>
  <sheets>
    <sheet name="Table of Contents" sheetId="22" r:id="rId1"/>
    <sheet name="Act Att-H" sheetId="9" r:id="rId2"/>
    <sheet name="A1-RevCred" sheetId="4" r:id="rId3"/>
    <sheet name="A2-A&amp;G" sheetId="16" r:id="rId4"/>
    <sheet name="A3-ADIT" sheetId="15" r:id="rId5"/>
    <sheet name="A3.1-EDIT-DDIT" sheetId="41" r:id="rId6"/>
    <sheet name="A3.2-EDIT-DDIT.dtl" sheetId="42" r:id="rId7"/>
    <sheet name="A4-Rate Base" sheetId="23" r:id="rId8"/>
    <sheet name="A5-Depr" sheetId="3" r:id="rId9"/>
    <sheet name="A6-Divisor" sheetId="20" r:id="rId10"/>
    <sheet name="A7-IncentPlant" sheetId="29" r:id="rId11"/>
    <sheet name="A8-Prepmts" sheetId="39" r:id="rId12"/>
    <sheet name="TU-TrueUp" sheetId="21" r:id="rId13"/>
    <sheet name="Proj Att-H" sheetId="25" r:id="rId14"/>
    <sheet name="P1-Trans Plant" sheetId="26" r:id="rId15"/>
    <sheet name="P2-Exp. &amp; Rev. Credits" sheetId="27" r:id="rId16"/>
    <sheet name="P3-Divisor" sheetId="28" r:id="rId17"/>
    <sheet name="P4-IncentPlant" sheetId="30" r:id="rId18"/>
    <sheet name="P5-ADIT" sheetId="37" r:id="rId19"/>
    <sheet name="Schedule 1" sheetId="31" r:id="rId20"/>
  </sheets>
  <externalReferences>
    <externalReference r:id="rId21"/>
    <externalReference r:id="rId22"/>
  </externalReferences>
  <definedNames>
    <definedName name="__123Graph_A" localSheetId="11" hidden="1">[1]Sheet3!#REF!</definedName>
    <definedName name="__123Graph_A" localSheetId="18" hidden="1">[1]Sheet3!#REF!</definedName>
    <definedName name="__123Graph_A" hidden="1">[1]Sheet3!#REF!</definedName>
    <definedName name="__123Graph_A1991" localSheetId="11" hidden="1">[1]Sheet3!#REF!</definedName>
    <definedName name="__123Graph_A1991" localSheetId="18" hidden="1">[1]Sheet3!#REF!</definedName>
    <definedName name="__123Graph_A1991" hidden="1">[1]Sheet3!#REF!</definedName>
    <definedName name="__123Graph_A1992" localSheetId="11" hidden="1">[1]Sheet3!#REF!</definedName>
    <definedName name="__123Graph_A1992" localSheetId="18" hidden="1">[1]Sheet3!#REF!</definedName>
    <definedName name="__123Graph_A1992" hidden="1">[1]Sheet3!#REF!</definedName>
    <definedName name="__123Graph_A1993" localSheetId="11" hidden="1">[1]Sheet3!#REF!</definedName>
    <definedName name="__123Graph_A1993" localSheetId="18" hidden="1">[1]Sheet3!#REF!</definedName>
    <definedName name="__123Graph_A1993" hidden="1">[1]Sheet3!#REF!</definedName>
    <definedName name="__123Graph_A1994" localSheetId="11" hidden="1">[1]Sheet3!#REF!</definedName>
    <definedName name="__123Graph_A1994" localSheetId="18" hidden="1">[1]Sheet3!#REF!</definedName>
    <definedName name="__123Graph_A1994" hidden="1">[1]Sheet3!#REF!</definedName>
    <definedName name="__123Graph_A1995" localSheetId="11" hidden="1">[1]Sheet3!#REF!</definedName>
    <definedName name="__123Graph_A1995" localSheetId="18" hidden="1">[1]Sheet3!#REF!</definedName>
    <definedName name="__123Graph_A1995" hidden="1">[1]Sheet3!#REF!</definedName>
    <definedName name="__123Graph_A1996" localSheetId="11" hidden="1">[1]Sheet3!#REF!</definedName>
    <definedName name="__123Graph_A1996" localSheetId="18" hidden="1">[1]Sheet3!#REF!</definedName>
    <definedName name="__123Graph_A1996" hidden="1">[1]Sheet3!#REF!</definedName>
    <definedName name="__123Graph_ABAR" localSheetId="11" hidden="1">[1]Sheet3!#REF!</definedName>
    <definedName name="__123Graph_ABAR" localSheetId="18" hidden="1">[1]Sheet3!#REF!</definedName>
    <definedName name="__123Graph_ABAR" hidden="1">[1]Sheet3!#REF!</definedName>
    <definedName name="__123Graph_B" localSheetId="11" hidden="1">[1]Sheet3!#REF!</definedName>
    <definedName name="__123Graph_B" localSheetId="18" hidden="1">[1]Sheet3!#REF!</definedName>
    <definedName name="__123Graph_B" hidden="1">[1]Sheet3!#REF!</definedName>
    <definedName name="__123Graph_B1991" localSheetId="11" hidden="1">[1]Sheet3!#REF!</definedName>
    <definedName name="__123Graph_B1991" localSheetId="18" hidden="1">[1]Sheet3!#REF!</definedName>
    <definedName name="__123Graph_B1991" hidden="1">[1]Sheet3!#REF!</definedName>
    <definedName name="__123Graph_B1992" localSheetId="11" hidden="1">[1]Sheet3!#REF!</definedName>
    <definedName name="__123Graph_B1992" localSheetId="18" hidden="1">[1]Sheet3!#REF!</definedName>
    <definedName name="__123Graph_B1992" hidden="1">[1]Sheet3!#REF!</definedName>
    <definedName name="__123Graph_B1993" localSheetId="11" hidden="1">[1]Sheet3!#REF!</definedName>
    <definedName name="__123Graph_B1993" localSheetId="18" hidden="1">[1]Sheet3!#REF!</definedName>
    <definedName name="__123Graph_B1993" hidden="1">[1]Sheet3!#REF!</definedName>
    <definedName name="__123Graph_B1994" localSheetId="11" hidden="1">[1]Sheet3!#REF!</definedName>
    <definedName name="__123Graph_B1994" localSheetId="18" hidden="1">[1]Sheet3!#REF!</definedName>
    <definedName name="__123Graph_B1994" hidden="1">[1]Sheet3!#REF!</definedName>
    <definedName name="__123Graph_B1995" localSheetId="11" hidden="1">[1]Sheet3!#REF!</definedName>
    <definedName name="__123Graph_B1995" localSheetId="18" hidden="1">[1]Sheet3!#REF!</definedName>
    <definedName name="__123Graph_B1995" hidden="1">[1]Sheet3!#REF!</definedName>
    <definedName name="__123Graph_B1996" localSheetId="11" hidden="1">[1]Sheet3!#REF!</definedName>
    <definedName name="__123Graph_B1996" localSheetId="18" hidden="1">[1]Sheet3!#REF!</definedName>
    <definedName name="__123Graph_B1996" hidden="1">[1]Sheet3!#REF!</definedName>
    <definedName name="__123Graph_BBAR" localSheetId="11" hidden="1">[1]Sheet3!#REF!</definedName>
    <definedName name="__123Graph_BBAR" localSheetId="18" hidden="1">[1]Sheet3!#REF!</definedName>
    <definedName name="__123Graph_BBAR" hidden="1">[1]Sheet3!#REF!</definedName>
    <definedName name="__123Graph_CBAR" localSheetId="11" hidden="1">[1]Sheet3!#REF!</definedName>
    <definedName name="__123Graph_CBAR" localSheetId="18" hidden="1">[1]Sheet3!#REF!</definedName>
    <definedName name="__123Graph_CBAR" hidden="1">[1]Sheet3!#REF!</definedName>
    <definedName name="__123Graph_DBAR" localSheetId="11" hidden="1">[1]Sheet3!#REF!</definedName>
    <definedName name="__123Graph_DBAR" localSheetId="18" hidden="1">[1]Sheet3!#REF!</definedName>
    <definedName name="__123Graph_DBAR" hidden="1">[1]Sheet3!#REF!</definedName>
    <definedName name="__123Graph_EBAR" localSheetId="11" hidden="1">[1]Sheet3!#REF!</definedName>
    <definedName name="__123Graph_EBAR" localSheetId="18" hidden="1">[1]Sheet3!#REF!</definedName>
    <definedName name="__123Graph_EBAR" hidden="1">[1]Sheet3!#REF!</definedName>
    <definedName name="__123Graph_FBAR" localSheetId="11" hidden="1">[1]Sheet3!#REF!</definedName>
    <definedName name="__123Graph_FBAR" localSheetId="18" hidden="1">[1]Sheet3!#REF!</definedName>
    <definedName name="__123Graph_FBAR" hidden="1">[1]Sheet3!#REF!</definedName>
    <definedName name="__123Graph_X" localSheetId="11" hidden="1">[1]Sheet3!#REF!</definedName>
    <definedName name="__123Graph_X" localSheetId="18" hidden="1">[1]Sheet3!#REF!</definedName>
    <definedName name="__123Graph_X" hidden="1">[1]Sheet3!#REF!</definedName>
    <definedName name="__123Graph_X1991" localSheetId="11" hidden="1">[1]Sheet3!#REF!</definedName>
    <definedName name="__123Graph_X1991" localSheetId="18" hidden="1">[1]Sheet3!#REF!</definedName>
    <definedName name="__123Graph_X1991" hidden="1">[1]Sheet3!#REF!</definedName>
    <definedName name="__123Graph_X1992" localSheetId="11" hidden="1">[1]Sheet3!#REF!</definedName>
    <definedName name="__123Graph_X1992" localSheetId="18" hidden="1">[1]Sheet3!#REF!</definedName>
    <definedName name="__123Graph_X1992" hidden="1">[1]Sheet3!#REF!</definedName>
    <definedName name="__123Graph_X1993" localSheetId="11" hidden="1">[1]Sheet3!#REF!</definedName>
    <definedName name="__123Graph_X1993" localSheetId="18" hidden="1">[1]Sheet3!#REF!</definedName>
    <definedName name="__123Graph_X1993" hidden="1">[1]Sheet3!#REF!</definedName>
    <definedName name="__123Graph_X1994" localSheetId="11" hidden="1">[1]Sheet3!#REF!</definedName>
    <definedName name="__123Graph_X1994" localSheetId="18" hidden="1">[1]Sheet3!#REF!</definedName>
    <definedName name="__123Graph_X1994" hidden="1">[1]Sheet3!#REF!</definedName>
    <definedName name="__123Graph_X1995" localSheetId="11" hidden="1">[1]Sheet3!#REF!</definedName>
    <definedName name="__123Graph_X1995" localSheetId="18" hidden="1">[1]Sheet3!#REF!</definedName>
    <definedName name="__123Graph_X1995" hidden="1">[1]Sheet3!#REF!</definedName>
    <definedName name="__123Graph_X1996" localSheetId="11" hidden="1">[1]Sheet3!#REF!</definedName>
    <definedName name="__123Graph_X1996" localSheetId="18" hidden="1">[1]Sheet3!#REF!</definedName>
    <definedName name="__123Graph_X1996" hidden="1">[1]Sheet3!#REF!</definedName>
    <definedName name="__tet12" localSheetId="18" hidden="1">{"assumptions",#N/A,FALSE,"Scenario 1";"valuation",#N/A,FALSE,"Scenario 1"}</definedName>
    <definedName name="__tet12" hidden="1">{"assumptions",#N/A,FALSE,"Scenario 1";"valuation",#N/A,FALSE,"Scenario 1"}</definedName>
    <definedName name="__tet5" localSheetId="18" hidden="1">{"assumptions",#N/A,FALSE,"Scenario 1";"valuation",#N/A,FALSE,"Scenario 1"}</definedName>
    <definedName name="__tet5" hidden="1">{"assumptions",#N/A,FALSE,"Scenario 1";"valuation",#N/A,FALSE,"Scenario 1"}</definedName>
    <definedName name="_FEB01" localSheetId="18" hidden="1">{#N/A,#N/A,FALSE,"EMPPAY"}</definedName>
    <definedName name="_FEB01" hidden="1">{#N/A,#N/A,FALSE,"EMPPAY"}</definedName>
    <definedName name="_Fill" localSheetId="11" hidden="1">'[2]Exp Detail'!#REF!</definedName>
    <definedName name="_Fill" hidden="1">'[2]Exp Detail'!#REF!</definedName>
    <definedName name="_JAN01" localSheetId="18" hidden="1">{#N/A,#N/A,FALSE,"EMPPAY"}</definedName>
    <definedName name="_JAN01" hidden="1">{#N/A,#N/A,FALSE,"EMPPAY"}</definedName>
    <definedName name="_JAN2001" localSheetId="18" hidden="1">{#N/A,#N/A,FALSE,"EMPPAY"}</definedName>
    <definedName name="_JAN2001" hidden="1">{#N/A,#N/A,FALSE,"EMPPAY"}</definedName>
    <definedName name="_Key1" localSheetId="11" hidden="1">'[2]Exp Detail'!#REF!</definedName>
    <definedName name="_Key1" hidden="1">'[2]Exp Detail'!#REF!</definedName>
    <definedName name="_Order1" hidden="1">255</definedName>
    <definedName name="_Order2" hidden="1">255</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8" hidden="1">#REF!</definedName>
    <definedName name="_Sort" localSheetId="13" hidden="1">#REF!</definedName>
    <definedName name="_Sort" hidden="1">#REF!</definedName>
    <definedName name="_sort2" localSheetId="9" hidden="1">#REF!</definedName>
    <definedName name="_sort2" localSheetId="10" hidden="1">#REF!</definedName>
    <definedName name="_sort2" localSheetId="11" hidden="1">#REF!</definedName>
    <definedName name="_sort2" localSheetId="17" hidden="1">#REF!</definedName>
    <definedName name="_sort2" localSheetId="18" hidden="1">#REF!</definedName>
    <definedName name="_sort2" localSheetId="13" hidden="1">#REF!</definedName>
    <definedName name="_sort2" hidden="1">#REF!</definedName>
    <definedName name="_tet12" localSheetId="18" hidden="1">{"assumptions",#N/A,FALSE,"Scenario 1";"valuation",#N/A,FALSE,"Scenario 1"}</definedName>
    <definedName name="_tet12" hidden="1">{"assumptions",#N/A,FALSE,"Scenario 1";"valuation",#N/A,FALSE,"Scenario 1"}</definedName>
    <definedName name="_tet5" localSheetId="18" hidden="1">{"assumptions",#N/A,FALSE,"Scenario 1";"valuation",#N/A,FALSE,"Scenario 1"}</definedName>
    <definedName name="_tet5" hidden="1">{"assumptions",#N/A,FALSE,"Scenario 1";"valuation",#N/A,FALSE,"Scenario 1"}</definedName>
    <definedName name="a" localSheetId="18"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8" hidden="1">{#N/A,#N/A,FALSE,"ARREC"}</definedName>
    <definedName name="DEC00" hidden="1">{#N/A,#N/A,FALSE,"ARREC"}</definedName>
    <definedName name="DocumentName" hidden="1">"b1"</definedName>
    <definedName name="DocumentNum" hidden="1">"a1"</definedName>
    <definedName name="FEB00" localSheetId="18" hidden="1">{#N/A,#N/A,FALSE,"ARREC"}</definedName>
    <definedName name="FEB00" hidden="1">{#N/A,#N/A,FALSE,"ARREC"}</definedName>
    <definedName name="GP">'Act Att-H'!$G$50</definedName>
    <definedName name="Library" hidden="1">"a1"</definedName>
    <definedName name="MAY" localSheetId="18" hidden="1">{#N/A,#N/A,FALSE,"EMPPAY"}</definedName>
    <definedName name="MAY" hidden="1">{#N/A,#N/A,FALSE,"EMPPAY"}</definedName>
    <definedName name="NA">0</definedName>
    <definedName name="NP">'Act Att-H'!$G$66</definedName>
    <definedName name="_xlnm.Print_Area" localSheetId="2">'A1-RevCred'!$A$1:$K$64</definedName>
    <definedName name="_xlnm.Print_Area" localSheetId="3">'A2-A&amp;G'!$A$1:$D$38</definedName>
    <definedName name="_xlnm.Print_Area" localSheetId="6">'A3.2-EDIT-DDIT.dtl'!$A$1:$I$58</definedName>
    <definedName name="_xlnm.Print_Area" localSheetId="4">'A3-ADIT'!$A$1:$F$56</definedName>
    <definedName name="_xlnm.Print_Area" localSheetId="10">'A7-IncentPlant'!$A$1:$O$48</definedName>
    <definedName name="_xlnm.Print_Area" localSheetId="11">'A8-Prepmts'!$A$1:$H$23</definedName>
    <definedName name="_xlnm.Print_Area" localSheetId="1">'Act Att-H'!$A$1:$K$254</definedName>
    <definedName name="_xlnm.Print_Area" localSheetId="14">'P1-Trans Plant'!$A$1:$AA$49</definedName>
    <definedName name="_xlnm.Print_Area" localSheetId="18">'P5-ADIT'!$A$1:$J$175</definedName>
    <definedName name="_xlnm.Print_Area" localSheetId="13">'Proj Att-H'!$A$1:$K$245</definedName>
    <definedName name="_xlnm.Print_Area" localSheetId="12">'TU-TrueUp'!$A$1:$I$46</definedName>
    <definedName name="_xlnm.Print_Titles" localSheetId="14">'P1-Trans Plant'!$A:$F</definedName>
    <definedName name="TE">'Act Att-H'!$I$184</definedName>
    <definedName name="test" localSheetId="18" hidden="1">{"LBO Summary",#N/A,FALSE,"Summary"}</definedName>
    <definedName name="test" hidden="1">{"LBO Summary",#N/A,FALSE,"Summary"}</definedName>
    <definedName name="test1" localSheetId="18"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8"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8" hidden="1">{"LBO Summary",#N/A,FALSE,"Summary"}</definedName>
    <definedName name="test11" hidden="1">{"LBO Summary",#N/A,FALSE,"Summary"}</definedName>
    <definedName name="test12" localSheetId="18" hidden="1">{"assumptions",#N/A,FALSE,"Scenario 1";"valuation",#N/A,FALSE,"Scenario 1"}</definedName>
    <definedName name="test12" hidden="1">{"assumptions",#N/A,FALSE,"Scenario 1";"valuation",#N/A,FALSE,"Scenario 1"}</definedName>
    <definedName name="test13" localSheetId="18" hidden="1">{"LBO Summary",#N/A,FALSE,"Summary"}</definedName>
    <definedName name="test13" hidden="1">{"LBO Summary",#N/A,FALSE,"Summary"}</definedName>
    <definedName name="test14" localSheetId="18"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8"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8"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8" hidden="1">{"LBO Summary",#N/A,FALSE,"Summary"}</definedName>
    <definedName name="test2" hidden="1">{"LBO Summary",#N/A,FALSE,"Summary"}</definedName>
    <definedName name="test4" localSheetId="18" hidden="1">{"assumptions",#N/A,FALSE,"Scenario 1";"valuation",#N/A,FALSE,"Scenario 1"}</definedName>
    <definedName name="test4" hidden="1">{"assumptions",#N/A,FALSE,"Scenario 1";"valuation",#N/A,FALSE,"Scenario 1"}</definedName>
    <definedName name="test6" localSheetId="18" hidden="1">{"LBO Summary",#N/A,FALSE,"Summary"}</definedName>
    <definedName name="test6" hidden="1">{"LBO Summary",#N/A,FALSE,"Summary"}</definedName>
    <definedName name="TextRefCopyRangeCount" hidden="1">1</definedName>
    <definedName name="Time" hidden="1">"b1"</definedName>
    <definedName name="TP">'Act Att-H'!$I$175</definedName>
    <definedName name="Typist" hidden="1">"b1"</definedName>
    <definedName name="Value" localSheetId="18" hidden="1">{"assumptions",#N/A,FALSE,"Scenario 1";"valuation",#N/A,FALSE,"Scenario 1"}</definedName>
    <definedName name="Value" hidden="1">{"assumptions",#N/A,FALSE,"Scenario 1";"valuation",#N/A,FALSE,"Scenario 1"}</definedName>
    <definedName name="Version" hidden="1">"a1"</definedName>
    <definedName name="WCLTD">'Act Att-H'!$I$203</definedName>
    <definedName name="wrn.ARREC." localSheetId="18" hidden="1">{#N/A,#N/A,FALSE,"ARREC"}</definedName>
    <definedName name="wrn.ARREC." hidden="1">{#N/A,#N/A,FALSE,"ARREC"}</definedName>
    <definedName name="wrn.CP._.Demand." localSheetId="18" hidden="1">{"Retail CP pg1",#N/A,FALSE,"FACTOR3";"Retail CP pg2",#N/A,FALSE,"FACTOR3";"Retail CP pg3",#N/A,FALSE,"FACTOR3"}</definedName>
    <definedName name="wrn.CP._.Demand." hidden="1">{"Retail CP pg1",#N/A,FALSE,"FACTOR3";"Retail CP pg2",#N/A,FALSE,"FACTOR3";"Retail CP pg3",#N/A,FALSE,"FACTOR3"}</definedName>
    <definedName name="wrn.CP._.Demand2." localSheetId="18" hidden="1">{"Retail CP pg1",#N/A,FALSE,"FACTOR3";"Retail CP pg2",#N/A,FALSE,"FACTOR3";"Retail CP pg3",#N/A,FALSE,"FACTOR3"}</definedName>
    <definedName name="wrn.CP._.Demand2." hidden="1">{"Retail CP pg1",#N/A,FALSE,"FACTOR3";"Retail CP pg2",#N/A,FALSE,"FACTOR3";"Retail CP pg3",#N/A,FALSE,"FACTOR3"}</definedName>
    <definedName name="wrn.EMPPAY." localSheetId="18" hidden="1">{#N/A,#N/A,FALSE,"EMPPAY"}</definedName>
    <definedName name="wrn.EMPPAY." hidden="1">{#N/A,#N/A,FALSE,"EMPPAY"}</definedName>
    <definedName name="wrn.IPO._.Valuation." localSheetId="18" hidden="1">{"assumptions",#N/A,FALSE,"Scenario 1";"valuation",#N/A,FALSE,"Scenario 1"}</definedName>
    <definedName name="wrn.IPO._.Valuation." hidden="1">{"assumptions",#N/A,FALSE,"Scenario 1";"valuation",#N/A,FALSE,"Scenario 1"}</definedName>
    <definedName name="wrn.LBO._.Summary." localSheetId="18" hidden="1">{"LBO Summary",#N/A,FALSE,"Summary"}</definedName>
    <definedName name="wrn.LBO._.Summary." hidden="1">{"LBO Summary",#N/A,FALSE,"Summary"}</definedName>
    <definedName name="wrn.Print._.All._.Pages."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Att-H'!$I$192</definedName>
    <definedName name="xx" localSheetId="18" hidden="1">{#N/A,#N/A,FALSE,"EMPPAY"}</definedName>
    <definedName name="xx" hidden="1">{#N/A,#N/A,FALSE,"EMPPAY"}</definedName>
    <definedName name="Z_5C332329_7D4E_4C16_8567_CAD656F9D2F1_.wvu.PrintArea" localSheetId="12" hidden="1">'TU-TrueUp'!$A$2:$N$45</definedName>
    <definedName name="Z_5C332329_7D4E_4C16_8567_CAD656F9D2F1_.wvu.PrintTitles" localSheetId="12" hidden="1">'TU-TrueUp'!$2:$4</definedName>
    <definedName name="Z_F04A2B9A_C6FE_4FEB_AD1E_2CF9AC309BE4_.wvu.PrintArea" localSheetId="7" hidden="1">'A4-Rate Base'!$A$1:$L$137</definedName>
    <definedName name="Z_F04A2B9A_C6FE_4FEB_AD1E_2CF9AC309BE4_.wvu.PrintArea" localSheetId="10" hidden="1">'A7-IncentPlant'!$A$1:$L$129</definedName>
    <definedName name="Z_F04A2B9A_C6FE_4FEB_AD1E_2CF9AC309BE4_.wvu.PrintArea" localSheetId="17" hidden="1">'P4-IncentPlant'!$A$1:$L$135</definedName>
    <definedName name="Z_FAA8FFD9_C96B_4A1B_8B9E_B863FD90DDBA_.wvu.PrintArea" localSheetId="14" hidden="1">'P1-Trans Plant'!$A$1:$AN$46</definedName>
    <definedName name="Z_FAA8FFD9_C96B_4A1B_8B9E_B863FD90DDBA_.wvu.PrintArea" localSheetId="16" hidden="1">'P3-Divisor'!$A$1:$O$30</definedName>
    <definedName name="Z_FAA8FFD9_C96B_4A1B_8B9E_B863FD90DDBA_.wvu.PrintTitles" localSheetId="14" hidden="1">'P1-Trans Plant'!$A:$F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1" i="25" l="1"/>
  <c r="G102" i="25"/>
  <c r="G103" i="25"/>
  <c r="G104" i="25"/>
  <c r="G106" i="25"/>
  <c r="G107" i="25"/>
  <c r="G108" i="25"/>
  <c r="G109" i="25"/>
  <c r="G110" i="25"/>
  <c r="D9" i="31" l="1"/>
  <c r="E14" i="20" l="1"/>
  <c r="E17" i="20"/>
  <c r="E8" i="20"/>
  <c r="E9" i="20"/>
  <c r="E10" i="20"/>
  <c r="E11" i="20"/>
  <c r="E12" i="20"/>
  <c r="E13" i="20"/>
  <c r="E15" i="20"/>
  <c r="E16" i="20"/>
  <c r="E18" i="20"/>
  <c r="E19" i="20"/>
  <c r="D77" i="9"/>
  <c r="H23" i="37" l="1"/>
  <c r="H22" i="37"/>
  <c r="H21" i="37"/>
  <c r="H20" i="37"/>
  <c r="H19" i="37"/>
  <c r="H18" i="37"/>
  <c r="H17" i="37"/>
  <c r="H16" i="37"/>
  <c r="H15" i="37"/>
  <c r="H14" i="37"/>
  <c r="H13" i="37"/>
  <c r="H12" i="37"/>
  <c r="D128" i="9" l="1"/>
  <c r="D121" i="9"/>
  <c r="D107" i="9"/>
  <c r="A38" i="15" l="1"/>
  <c r="A39" i="15" s="1"/>
  <c r="A40" i="15" s="1"/>
  <c r="A41" i="15" s="1"/>
  <c r="A42" i="15" s="1"/>
  <c r="A43" i="15" s="1"/>
  <c r="A44" i="15" s="1"/>
  <c r="A45" i="15" s="1"/>
  <c r="A46" i="15" s="1"/>
  <c r="A21" i="31"/>
  <c r="A22" i="31" s="1"/>
  <c r="A23" i="31" s="1"/>
  <c r="A24" i="31" s="1"/>
  <c r="A25" i="31" s="1"/>
  <c r="A26" i="31" s="1"/>
  <c r="A27" i="31" s="1"/>
  <c r="A28" i="31" s="1"/>
  <c r="A29" i="31" s="1"/>
  <c r="A30" i="31" s="1"/>
  <c r="A31" i="31" s="1"/>
  <c r="A32" i="31" s="1"/>
  <c r="G197" i="25" l="1"/>
  <c r="F46" i="15"/>
  <c r="F45" i="15" l="1"/>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A19" i="15"/>
  <c r="A20" i="15" s="1"/>
  <c r="A21" i="15" s="1"/>
  <c r="A22" i="15" s="1"/>
  <c r="A23" i="15" s="1"/>
  <c r="A24" i="15" s="1"/>
  <c r="A25" i="15" s="1"/>
  <c r="A26" i="15" s="1"/>
  <c r="A27" i="15" s="1"/>
  <c r="A28" i="15" s="1"/>
  <c r="A29" i="15" s="1"/>
  <c r="A30" i="15" s="1"/>
  <c r="A31" i="15" s="1"/>
  <c r="A32" i="15" s="1"/>
  <c r="A33" i="15" s="1"/>
  <c r="A34" i="15" s="1"/>
  <c r="A35" i="15" s="1"/>
  <c r="A36" i="15" s="1"/>
  <c r="A37" i="15" s="1"/>
  <c r="F47" i="15" l="1"/>
  <c r="D80" i="9" s="1"/>
  <c r="D73" i="25"/>
  <c r="D71" i="25"/>
  <c r="D72" i="25"/>
  <c r="I72" i="25" s="1"/>
  <c r="D104" i="23"/>
  <c r="A94" i="23"/>
  <c r="I66" i="23"/>
  <c r="I77" i="9"/>
  <c r="E14" i="4"/>
  <c r="G12" i="4"/>
  <c r="G13" i="4"/>
  <c r="F25" i="42" l="1"/>
  <c r="G25" i="42" s="1"/>
  <c r="H25" i="42" s="1"/>
  <c r="F26" i="42"/>
  <c r="G26" i="42" s="1"/>
  <c r="H26" i="42" s="1"/>
  <c r="F27" i="42"/>
  <c r="G27" i="42" s="1"/>
  <c r="H27" i="42" s="1"/>
  <c r="I26" i="42" l="1"/>
  <c r="I27" i="42"/>
  <c r="I25" i="42"/>
  <c r="F22" i="27" l="1"/>
  <c r="A53" i="23"/>
  <c r="A54" i="23" s="1"/>
  <c r="A55" i="23" s="1"/>
  <c r="A56" i="23" s="1"/>
  <c r="A57" i="23" s="1"/>
  <c r="A58" i="23" s="1"/>
  <c r="A59" i="23" s="1"/>
  <c r="A60" i="23" s="1"/>
  <c r="A61" i="23" s="1"/>
  <c r="A62" i="23" s="1"/>
  <c r="A63" i="23" s="1"/>
  <c r="A64" i="23" s="1"/>
  <c r="A65" i="23" s="1"/>
  <c r="A66" i="23" s="1"/>
  <c r="A4" i="42"/>
  <c r="A4" i="41"/>
  <c r="J132" i="37"/>
  <c r="M14" i="41" l="1"/>
  <c r="F49" i="42" l="1"/>
  <c r="G49" i="42" s="1"/>
  <c r="H49" i="42" s="1"/>
  <c r="I49" i="42" s="1"/>
  <c r="D53" i="25"/>
  <c r="D47" i="25"/>
  <c r="D12" i="37"/>
  <c r="D13" i="37" s="1"/>
  <c r="D14" i="37" s="1"/>
  <c r="D15" i="37" s="1"/>
  <c r="D16" i="37" s="1"/>
  <c r="D17" i="37" s="1"/>
  <c r="D18" i="37" s="1"/>
  <c r="D19" i="37" s="1"/>
  <c r="D20" i="37" s="1"/>
  <c r="D21" i="37" s="1"/>
  <c r="D22" i="37" s="1"/>
  <c r="D59" i="25" l="1"/>
  <c r="E163" i="37"/>
  <c r="E162" i="37"/>
  <c r="E161" i="37"/>
  <c r="E160" i="37"/>
  <c r="E159" i="37"/>
  <c r="E158" i="37"/>
  <c r="E157" i="37"/>
  <c r="E156" i="37"/>
  <c r="E155" i="37"/>
  <c r="E154" i="37"/>
  <c r="E153" i="37"/>
  <c r="E152" i="37"/>
  <c r="D152" i="37" s="1"/>
  <c r="E129" i="37"/>
  <c r="E128" i="37"/>
  <c r="E127" i="37"/>
  <c r="E126" i="37"/>
  <c r="E125" i="37"/>
  <c r="E124" i="37"/>
  <c r="E123" i="37"/>
  <c r="E122" i="37"/>
  <c r="E121" i="37"/>
  <c r="E120" i="37"/>
  <c r="E119" i="37"/>
  <c r="E118" i="37"/>
  <c r="D118" i="37" s="1"/>
  <c r="E95" i="37"/>
  <c r="E94" i="37"/>
  <c r="E93" i="37"/>
  <c r="E92" i="37"/>
  <c r="E91" i="37"/>
  <c r="E90" i="37"/>
  <c r="E89" i="37"/>
  <c r="E88" i="37"/>
  <c r="E87" i="37"/>
  <c r="E86" i="37"/>
  <c r="E85" i="37"/>
  <c r="E84" i="37"/>
  <c r="D84" i="37" s="1"/>
  <c r="E61" i="37"/>
  <c r="E60" i="37"/>
  <c r="E59" i="37"/>
  <c r="E58" i="37"/>
  <c r="E57" i="37"/>
  <c r="E56" i="37"/>
  <c r="E55" i="37"/>
  <c r="E54" i="37"/>
  <c r="E53" i="37"/>
  <c r="E52" i="37"/>
  <c r="E51" i="37"/>
  <c r="E50" i="37"/>
  <c r="D50" i="37" s="1"/>
  <c r="E14" i="37"/>
  <c r="E15" i="37"/>
  <c r="E16" i="37"/>
  <c r="E17" i="37"/>
  <c r="E18" i="37"/>
  <c r="E19" i="37"/>
  <c r="E20" i="37"/>
  <c r="E21" i="37"/>
  <c r="E22" i="37"/>
  <c r="E23" i="37"/>
  <c r="E13" i="37"/>
  <c r="C153" i="37"/>
  <c r="C119" i="37"/>
  <c r="C85" i="37"/>
  <c r="C51" i="37"/>
  <c r="D153" i="37" l="1"/>
  <c r="D154" i="37" s="1"/>
  <c r="D155" i="37" s="1"/>
  <c r="D156" i="37" s="1"/>
  <c r="D157" i="37" s="1"/>
  <c r="D158" i="37" s="1"/>
  <c r="D159" i="37" s="1"/>
  <c r="D160" i="37" s="1"/>
  <c r="D161" i="37" s="1"/>
  <c r="D162" i="37" s="1"/>
  <c r="D85" i="37"/>
  <c r="D86" i="37" s="1"/>
  <c r="D87" i="37" s="1"/>
  <c r="D88" i="37" s="1"/>
  <c r="D89" i="37" s="1"/>
  <c r="D90" i="37" s="1"/>
  <c r="D91" i="37" s="1"/>
  <c r="D92" i="37" s="1"/>
  <c r="D93" i="37" s="1"/>
  <c r="D94" i="37" s="1"/>
  <c r="D119" i="37"/>
  <c r="D120" i="37" s="1"/>
  <c r="D121" i="37" s="1"/>
  <c r="D122" i="37" s="1"/>
  <c r="D123" i="37" s="1"/>
  <c r="D124" i="37" s="1"/>
  <c r="D125" i="37" s="1"/>
  <c r="D126" i="37" s="1"/>
  <c r="D127" i="37" s="1"/>
  <c r="D128" i="37" s="1"/>
  <c r="D51" i="37"/>
  <c r="D52" i="37" s="1"/>
  <c r="D53" i="37" s="1"/>
  <c r="D54" i="37" s="1"/>
  <c r="D55" i="37" s="1"/>
  <c r="D56" i="37" s="1"/>
  <c r="D57" i="37" s="1"/>
  <c r="D58" i="37" s="1"/>
  <c r="D59" i="37" s="1"/>
  <c r="D60" i="37" s="1"/>
  <c r="E66" i="23" l="1"/>
  <c r="H66" i="23"/>
  <c r="G66" i="23"/>
  <c r="F66" i="23"/>
  <c r="D66" i="23"/>
  <c r="C66" i="23"/>
  <c r="J27" i="4" l="1"/>
  <c r="J28" i="4"/>
  <c r="J29" i="4"/>
  <c r="J30" i="4"/>
  <c r="J31" i="4"/>
  <c r="J32" i="4"/>
  <c r="J33" i="4"/>
  <c r="J26" i="4"/>
  <c r="D122" i="9" l="1"/>
  <c r="G8" i="39" l="1"/>
  <c r="F11" i="4" l="1"/>
  <c r="F14" i="4" s="1"/>
  <c r="E88" i="23" l="1"/>
  <c r="B20" i="30"/>
  <c r="B21" i="30"/>
  <c r="B22" i="30"/>
  <c r="B23" i="30"/>
  <c r="B24" i="30"/>
  <c r="B25" i="30"/>
  <c r="B26" i="30"/>
  <c r="B27" i="30"/>
  <c r="B28" i="30"/>
  <c r="B29" i="30"/>
  <c r="B30" i="30"/>
  <c r="B31" i="30"/>
  <c r="B32" i="30"/>
  <c r="B33" i="30"/>
  <c r="B34" i="30"/>
  <c r="B35" i="30"/>
  <c r="B36" i="30"/>
  <c r="B37" i="30"/>
  <c r="B38" i="30"/>
  <c r="B39" i="30"/>
  <c r="B40" i="30"/>
  <c r="B41" i="30"/>
  <c r="B42" i="30"/>
  <c r="B19" i="30"/>
  <c r="B10" i="3" l="1"/>
  <c r="B11" i="3"/>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9" i="3"/>
  <c r="A3" i="41" l="1"/>
  <c r="A174" i="37" l="1"/>
  <c r="A175" i="37" s="1"/>
  <c r="F15" i="42" l="1"/>
  <c r="F16" i="42"/>
  <c r="G16" i="42" s="1"/>
  <c r="H16" i="42" s="1"/>
  <c r="F17" i="42"/>
  <c r="G17" i="42" s="1"/>
  <c r="F18" i="42"/>
  <c r="G18" i="42" s="1"/>
  <c r="D19" i="42"/>
  <c r="E19" i="42"/>
  <c r="F22" i="42"/>
  <c r="G22" i="42" s="1"/>
  <c r="H22" i="42" s="1"/>
  <c r="F23" i="42"/>
  <c r="G23" i="42" s="1"/>
  <c r="H23" i="42" s="1"/>
  <c r="F24" i="42"/>
  <c r="G24" i="42" s="1"/>
  <c r="H24" i="42" s="1"/>
  <c r="A28" i="42"/>
  <c r="A29" i="42" s="1"/>
  <c r="A30" i="42" s="1"/>
  <c r="F28" i="42"/>
  <c r="G28" i="42" s="1"/>
  <c r="F29" i="42"/>
  <c r="G29" i="42" s="1"/>
  <c r="H29" i="42" s="1"/>
  <c r="F30" i="42"/>
  <c r="G30" i="42" s="1"/>
  <c r="H30" i="42" s="1"/>
  <c r="D31" i="42"/>
  <c r="E31" i="42"/>
  <c r="F36" i="42"/>
  <c r="G36" i="42" s="1"/>
  <c r="F37" i="42"/>
  <c r="G37" i="42" s="1"/>
  <c r="F38" i="42"/>
  <c r="G38" i="42" s="1"/>
  <c r="H38" i="42" s="1"/>
  <c r="F39" i="42"/>
  <c r="G39" i="42" s="1"/>
  <c r="F40" i="42"/>
  <c r="G40" i="42" s="1"/>
  <c r="F41" i="42"/>
  <c r="G41" i="42" s="1"/>
  <c r="F42" i="42"/>
  <c r="G42" i="42" s="1"/>
  <c r="H42" i="42" s="1"/>
  <c r="F43" i="42"/>
  <c r="G43" i="42" s="1"/>
  <c r="F44" i="42"/>
  <c r="G44" i="42" s="1"/>
  <c r="F45" i="42"/>
  <c r="G45" i="42" s="1"/>
  <c r="F46" i="42"/>
  <c r="G46" i="42" s="1"/>
  <c r="H46" i="42" s="1"/>
  <c r="F47" i="42"/>
  <c r="G47" i="42" s="1"/>
  <c r="F48" i="42"/>
  <c r="G48" i="42" s="1"/>
  <c r="F50" i="42"/>
  <c r="G50" i="42" s="1"/>
  <c r="F51" i="42"/>
  <c r="G51" i="42" s="1"/>
  <c r="H51" i="42" s="1"/>
  <c r="D52" i="42"/>
  <c r="E52" i="42"/>
  <c r="E53" i="42"/>
  <c r="L7" i="41"/>
  <c r="M7" i="41"/>
  <c r="N7" i="41"/>
  <c r="O7" i="41"/>
  <c r="A13" i="41"/>
  <c r="A14" i="41" s="1"/>
  <c r="L13" i="41"/>
  <c r="M13" i="41"/>
  <c r="M15" i="41" s="1"/>
  <c r="N13" i="41"/>
  <c r="O13" i="41"/>
  <c r="L14" i="41"/>
  <c r="N14" i="41"/>
  <c r="O14" i="41"/>
  <c r="F15" i="41"/>
  <c r="G15" i="41"/>
  <c r="H15" i="41"/>
  <c r="I15" i="41"/>
  <c r="L17" i="41"/>
  <c r="M17" i="41"/>
  <c r="N17" i="41"/>
  <c r="O17" i="41"/>
  <c r="L18" i="41"/>
  <c r="M18" i="41"/>
  <c r="N18" i="41"/>
  <c r="O18" i="41"/>
  <c r="F19" i="41"/>
  <c r="G19" i="41"/>
  <c r="G21" i="41" s="1"/>
  <c r="H19" i="41"/>
  <c r="I19" i="41"/>
  <c r="A24" i="41"/>
  <c r="A25" i="41" s="1"/>
  <c r="A26" i="41" s="1"/>
  <c r="A27" i="41" s="1"/>
  <c r="O24" i="41"/>
  <c r="L24" i="41"/>
  <c r="M24" i="41"/>
  <c r="N24" i="41"/>
  <c r="L25" i="41"/>
  <c r="M25" i="41"/>
  <c r="N25" i="41"/>
  <c r="O25" i="41"/>
  <c r="L26" i="41"/>
  <c r="M26" i="41"/>
  <c r="N26" i="41"/>
  <c r="O26" i="41"/>
  <c r="I28" i="41"/>
  <c r="L27" i="41"/>
  <c r="M27" i="41"/>
  <c r="N27" i="41"/>
  <c r="O27" i="41"/>
  <c r="F28" i="41"/>
  <c r="G28" i="41"/>
  <c r="H28" i="41"/>
  <c r="G33" i="41"/>
  <c r="N30" i="41"/>
  <c r="L30" i="41"/>
  <c r="A31" i="41"/>
  <c r="A32" i="41" s="1"/>
  <c r="O31" i="41"/>
  <c r="L31" i="41"/>
  <c r="M31" i="41"/>
  <c r="L32" i="41"/>
  <c r="M32" i="41"/>
  <c r="N32" i="41"/>
  <c r="O32" i="41"/>
  <c r="F33" i="41"/>
  <c r="A34" i="41"/>
  <c r="A35" i="41" s="1"/>
  <c r="A38" i="41"/>
  <c r="A39" i="41" s="1"/>
  <c r="A40" i="41" s="1"/>
  <c r="A41" i="41" s="1"/>
  <c r="A42" i="41" s="1"/>
  <c r="A43" i="41" s="1"/>
  <c r="F111" i="9"/>
  <c r="H28" i="42" l="1"/>
  <c r="I28" i="42" s="1"/>
  <c r="F35" i="41"/>
  <c r="G39" i="41"/>
  <c r="H161" i="37" s="1"/>
  <c r="I21" i="41"/>
  <c r="H21" i="41"/>
  <c r="F39" i="41"/>
  <c r="F21" i="41"/>
  <c r="H162" i="37"/>
  <c r="H153" i="37"/>
  <c r="H160" i="37"/>
  <c r="H152" i="37"/>
  <c r="H156" i="37"/>
  <c r="H159" i="37"/>
  <c r="H158" i="37"/>
  <c r="H163" i="37"/>
  <c r="H157" i="37"/>
  <c r="H39" i="41"/>
  <c r="J167" i="37"/>
  <c r="O19" i="41"/>
  <c r="O15" i="41"/>
  <c r="O21" i="41" s="1"/>
  <c r="N19" i="41"/>
  <c r="N15" i="41"/>
  <c r="N21" i="41" s="1"/>
  <c r="M19" i="41"/>
  <c r="M21" i="41" s="1"/>
  <c r="L19" i="41"/>
  <c r="E33" i="42"/>
  <c r="E54" i="42" s="1"/>
  <c r="N28" i="41"/>
  <c r="H33" i="41"/>
  <c r="H40" i="41" s="1"/>
  <c r="L28" i="41"/>
  <c r="N31" i="41"/>
  <c r="N33" i="41" s="1"/>
  <c r="M30" i="41"/>
  <c r="M33" i="41" s="1"/>
  <c r="L33" i="41"/>
  <c r="M28" i="41"/>
  <c r="L15" i="41"/>
  <c r="H18" i="42"/>
  <c r="I18" i="42" s="1"/>
  <c r="F52" i="42"/>
  <c r="F19" i="42"/>
  <c r="I16" i="42"/>
  <c r="D33" i="42"/>
  <c r="D54" i="42" s="1"/>
  <c r="H17" i="42"/>
  <c r="I17" i="42" s="1"/>
  <c r="G15" i="42"/>
  <c r="H15" i="42" s="1"/>
  <c r="I46" i="42"/>
  <c r="I38" i="42"/>
  <c r="F31" i="42"/>
  <c r="I42" i="42"/>
  <c r="I51" i="42"/>
  <c r="I30" i="42"/>
  <c r="H48" i="42"/>
  <c r="I48" i="42" s="1"/>
  <c r="H44" i="42"/>
  <c r="I44" i="42" s="1"/>
  <c r="H40" i="42"/>
  <c r="I40" i="42" s="1"/>
  <c r="H36" i="42"/>
  <c r="I36" i="42" s="1"/>
  <c r="I24" i="42"/>
  <c r="H45" i="42"/>
  <c r="I45" i="42" s="1"/>
  <c r="H50" i="42"/>
  <c r="I50" i="42" s="1"/>
  <c r="H37" i="42"/>
  <c r="I37" i="42" s="1"/>
  <c r="I39" i="41"/>
  <c r="J166" i="37" s="1"/>
  <c r="H41" i="42"/>
  <c r="I41" i="42" s="1"/>
  <c r="G35" i="41"/>
  <c r="G40" i="41"/>
  <c r="G41" i="41" s="1"/>
  <c r="H47" i="42"/>
  <c r="I47" i="42" s="1"/>
  <c r="H43" i="42"/>
  <c r="I43" i="42" s="1"/>
  <c r="H39" i="42"/>
  <c r="I39" i="42" s="1"/>
  <c r="I29" i="42"/>
  <c r="O28" i="41"/>
  <c r="G52" i="42"/>
  <c r="G31" i="42"/>
  <c r="F40" i="41"/>
  <c r="I22" i="42"/>
  <c r="F41" i="41" l="1"/>
  <c r="H155" i="37"/>
  <c r="H154" i="37"/>
  <c r="M35" i="41"/>
  <c r="N39" i="41"/>
  <c r="L40" i="41"/>
  <c r="M40" i="41"/>
  <c r="H41" i="41"/>
  <c r="H35" i="41"/>
  <c r="J168" i="37"/>
  <c r="J27" i="37"/>
  <c r="L21" i="41"/>
  <c r="N40" i="41"/>
  <c r="N41" i="41" s="1"/>
  <c r="I15" i="42"/>
  <c r="I19" i="42" s="1"/>
  <c r="F33" i="42"/>
  <c r="F54" i="42" s="1"/>
  <c r="G19" i="42"/>
  <c r="G33" i="42" s="1"/>
  <c r="G54" i="42" s="1"/>
  <c r="L35" i="41"/>
  <c r="N35" i="41"/>
  <c r="M39" i="41"/>
  <c r="L39" i="41"/>
  <c r="H19" i="42"/>
  <c r="H52" i="42"/>
  <c r="H31" i="42"/>
  <c r="I52" i="42"/>
  <c r="O30" i="41"/>
  <c r="O33" i="41" s="1"/>
  <c r="O40" i="41" s="1"/>
  <c r="I33" i="41"/>
  <c r="I23" i="42"/>
  <c r="I31" i="42" s="1"/>
  <c r="I42" i="41"/>
  <c r="D81" i="9" s="1"/>
  <c r="O39" i="41"/>
  <c r="M41" i="41" l="1"/>
  <c r="D144" i="9" s="1"/>
  <c r="L41" i="41"/>
  <c r="I33" i="42"/>
  <c r="I54" i="42" s="1"/>
  <c r="O35" i="41"/>
  <c r="H33" i="42"/>
  <c r="H54" i="42" s="1"/>
  <c r="I40" i="41"/>
  <c r="I41" i="41" s="1"/>
  <c r="I35" i="41"/>
  <c r="O42" i="41"/>
  <c r="I81" i="9" s="1"/>
  <c r="O41" i="41"/>
  <c r="E16" i="39"/>
  <c r="O43" i="41" l="1"/>
  <c r="J174" i="37" s="1"/>
  <c r="J34" i="37" l="1"/>
  <c r="D14" i="16"/>
  <c r="D23" i="16"/>
  <c r="J19" i="29" l="1"/>
  <c r="N19" i="29" l="1"/>
  <c r="I89" i="23" l="1"/>
  <c r="E17" i="39" s="1"/>
  <c r="E18" i="39" s="1"/>
  <c r="D191" i="25"/>
  <c r="D190" i="25"/>
  <c r="A3" i="39" l="1"/>
  <c r="A44" i="37" l="1"/>
  <c r="J135" i="37" l="1"/>
  <c r="J26" i="37"/>
  <c r="J98" i="37"/>
  <c r="J28" i="37" l="1"/>
  <c r="D139" i="25"/>
  <c r="J29" i="37"/>
  <c r="J31" i="37" s="1"/>
  <c r="D68" i="25" l="1"/>
  <c r="J169" i="37" l="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J133" i="37"/>
  <c r="A12" i="37"/>
  <c r="A13" i="37" s="1"/>
  <c r="A14" i="37" s="1"/>
  <c r="A15" i="37" s="1"/>
  <c r="A16" i="37" s="1"/>
  <c r="A17" i="37" s="1"/>
  <c r="A18" i="37" s="1"/>
  <c r="A19" i="37" s="1"/>
  <c r="A20" i="37" s="1"/>
  <c r="A21" i="37" s="1"/>
  <c r="A22" i="37" s="1"/>
  <c r="A23" i="37" s="1"/>
  <c r="F13" i="37"/>
  <c r="F51" i="37"/>
  <c r="I51" i="37" s="1"/>
  <c r="F119" i="37"/>
  <c r="I119" i="37" s="1"/>
  <c r="F12" i="37"/>
  <c r="F85" i="37"/>
  <c r="A109" i="37"/>
  <c r="A75" i="37"/>
  <c r="A41" i="37"/>
  <c r="A143" i="37" s="1"/>
  <c r="F50" i="37"/>
  <c r="I50" i="37" s="1"/>
  <c r="F84" i="37"/>
  <c r="F118" i="37"/>
  <c r="I118" i="37" s="1"/>
  <c r="J118" i="37" l="1"/>
  <c r="J119" i="37" s="1"/>
  <c r="F120" i="37"/>
  <c r="I120" i="37" s="1"/>
  <c r="F14" i="37"/>
  <c r="F153" i="37"/>
  <c r="J50" i="37"/>
  <c r="J51" i="37" s="1"/>
  <c r="A24" i="37"/>
  <c r="A26" i="37" s="1"/>
  <c r="F86" i="37"/>
  <c r="F52" i="37"/>
  <c r="I52" i="37" s="1"/>
  <c r="F15" i="37" l="1"/>
  <c r="F53" i="37"/>
  <c r="I53" i="37" s="1"/>
  <c r="F87" i="37"/>
  <c r="A27" i="37"/>
  <c r="A28" i="37" s="1"/>
  <c r="F154" i="37"/>
  <c r="J120" i="37"/>
  <c r="F121" i="37"/>
  <c r="I121" i="37" s="1"/>
  <c r="J52" i="37"/>
  <c r="J53" i="37" l="1"/>
  <c r="A29" i="37"/>
  <c r="F54" i="37"/>
  <c r="I54" i="37" s="1"/>
  <c r="F16" i="37"/>
  <c r="F122" i="37"/>
  <c r="I122" i="37" s="1"/>
  <c r="F155" i="37"/>
  <c r="F88" i="37"/>
  <c r="J121" i="37"/>
  <c r="J54" i="37" l="1"/>
  <c r="F156" i="37"/>
  <c r="J122" i="37"/>
  <c r="F55" i="37"/>
  <c r="I55" i="37" s="1"/>
  <c r="F123" i="37"/>
  <c r="I123" i="37" s="1"/>
  <c r="A30" i="37"/>
  <c r="A31" i="37" s="1"/>
  <c r="F89" i="37"/>
  <c r="F17" i="37"/>
  <c r="J55" i="37" l="1"/>
  <c r="F18" i="37"/>
  <c r="F124" i="37"/>
  <c r="I124" i="37" s="1"/>
  <c r="F56" i="37"/>
  <c r="I56" i="37" s="1"/>
  <c r="F157" i="37"/>
  <c r="F90" i="37"/>
  <c r="J123" i="37"/>
  <c r="J56" i="37" l="1"/>
  <c r="J124" i="37"/>
  <c r="F91" i="37"/>
  <c r="F57" i="37"/>
  <c r="I57" i="37" s="1"/>
  <c r="J57" i="37" s="1"/>
  <c r="A45" i="37"/>
  <c r="A47" i="37" s="1"/>
  <c r="A48" i="37" s="1"/>
  <c r="A49" i="37" s="1"/>
  <c r="F158" i="37"/>
  <c r="F125" i="37"/>
  <c r="I125" i="37" s="1"/>
  <c r="J125" i="37" s="1"/>
  <c r="F19" i="37"/>
  <c r="F58" i="37" l="1"/>
  <c r="I58" i="37" s="1"/>
  <c r="J58" i="37" s="1"/>
  <c r="F20" i="37"/>
  <c r="F126" i="37"/>
  <c r="I126" i="37" s="1"/>
  <c r="J126" i="37" s="1"/>
  <c r="F66" i="37"/>
  <c r="A50" i="37"/>
  <c r="A51" i="37" s="1"/>
  <c r="A52" i="37" s="1"/>
  <c r="A53" i="37" s="1"/>
  <c r="A54" i="37" s="1"/>
  <c r="A55" i="37" s="1"/>
  <c r="A56" i="37" s="1"/>
  <c r="A57" i="37" s="1"/>
  <c r="A58" i="37" s="1"/>
  <c r="A59" i="37" s="1"/>
  <c r="A60" i="37" s="1"/>
  <c r="A61" i="37" s="1"/>
  <c r="F92" i="37"/>
  <c r="F159" i="37"/>
  <c r="F60" i="37" l="1"/>
  <c r="I60" i="37" s="1"/>
  <c r="F59" i="37"/>
  <c r="I59" i="37" s="1"/>
  <c r="J59" i="37" s="1"/>
  <c r="F93" i="37"/>
  <c r="F94" i="37"/>
  <c r="F128" i="37"/>
  <c r="I128" i="37" s="1"/>
  <c r="F127" i="37"/>
  <c r="I127" i="37" s="1"/>
  <c r="J127" i="37" s="1"/>
  <c r="F22" i="37"/>
  <c r="F21" i="37"/>
  <c r="F160" i="37"/>
  <c r="F69" i="37"/>
  <c r="A62" i="37"/>
  <c r="A64" i="37" s="1"/>
  <c r="J128" i="37" l="1"/>
  <c r="J129" i="37" s="1"/>
  <c r="J137" i="37" s="1"/>
  <c r="I130" i="37"/>
  <c r="A65" i="37"/>
  <c r="A66" i="37" s="1"/>
  <c r="F65" i="37" s="1"/>
  <c r="F162" i="37"/>
  <c r="F161" i="37"/>
  <c r="J60" i="37"/>
  <c r="J61" i="37" s="1"/>
  <c r="J69" i="37" s="1"/>
  <c r="I62" i="37"/>
  <c r="J68" i="37" l="1"/>
  <c r="J70" i="37" s="1"/>
  <c r="A67" i="37"/>
  <c r="J136" i="37"/>
  <c r="J138" i="37" s="1"/>
  <c r="J72" i="37" l="1"/>
  <c r="D65" i="25" s="1"/>
  <c r="J140" i="37"/>
  <c r="D67" i="25" s="1"/>
  <c r="A68" i="37"/>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A96" i="37" l="1"/>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s="1"/>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14" i="23" l="1"/>
  <c r="F115" i="23"/>
  <c r="F116" i="23"/>
  <c r="F117" i="23"/>
  <c r="F118" i="23"/>
  <c r="F119" i="23"/>
  <c r="F120" i="23"/>
  <c r="F121" i="23"/>
  <c r="F122" i="23"/>
  <c r="F123" i="23"/>
  <c r="F124" i="23"/>
  <c r="F125" i="23"/>
  <c r="F113" i="23"/>
  <c r="F126" i="23" l="1"/>
  <c r="D126" i="23"/>
  <c r="E126" i="23"/>
  <c r="E106" i="23"/>
  <c r="E105" i="23"/>
  <c r="C126" i="23"/>
  <c r="G10" i="4"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3" i="4" l="1"/>
  <c r="F52" i="4"/>
  <c r="F51" i="4"/>
  <c r="F50" i="4"/>
  <c r="D14" i="9" s="1"/>
  <c r="F54" i="4" l="1"/>
  <c r="A9" i="31"/>
  <c r="A10" i="31" s="1"/>
  <c r="A11" i="31" s="1"/>
  <c r="A12" i="31" s="1"/>
  <c r="A13" i="31" s="1"/>
  <c r="A14" i="31" s="1"/>
  <c r="A15" i="31" s="1"/>
  <c r="A16" i="31" s="1"/>
  <c r="A17" i="31" s="1"/>
  <c r="A18" i="31" s="1"/>
  <c r="A19" i="31" s="1"/>
  <c r="A20" i="31" s="1"/>
  <c r="D15" i="31"/>
  <c r="H23" i="21" l="1"/>
  <c r="H37" i="21" l="1"/>
  <c r="D79" i="25"/>
  <c r="D52" i="25"/>
  <c r="D46" i="25"/>
  <c r="H88" i="23" l="1"/>
  <c r="G88" i="23"/>
  <c r="F88" i="23"/>
  <c r="H76" i="23"/>
  <c r="G76" i="23"/>
  <c r="F76" i="23"/>
  <c r="E76" i="23"/>
  <c r="F15" i="15"/>
  <c r="H89" i="23" s="1"/>
  <c r="F14" i="15"/>
  <c r="G89" i="23" s="1"/>
  <c r="F13" i="15"/>
  <c r="F89" i="23" s="1"/>
  <c r="F12" i="15"/>
  <c r="E89"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69" i="23"/>
  <c r="E68" i="23"/>
  <c r="A3" i="27"/>
  <c r="G198" i="25" l="1"/>
  <c r="D75" i="25"/>
  <c r="I174" i="25"/>
  <c r="I167" i="25"/>
  <c r="I166" i="25"/>
  <c r="D184" i="25"/>
  <c r="D185" i="25"/>
  <c r="D186" i="25"/>
  <c r="D183" i="25"/>
  <c r="D138" i="25"/>
  <c r="D33" i="27"/>
  <c r="D35" i="27"/>
  <c r="D36" i="27"/>
  <c r="D37" i="27"/>
  <c r="D32" i="27"/>
  <c r="D17" i="27"/>
  <c r="D18" i="27"/>
  <c r="D19" i="27"/>
  <c r="D23" i="27"/>
  <c r="F23" i="27" s="1"/>
  <c r="D25" i="27"/>
  <c r="D26" i="27"/>
  <c r="D16" i="27"/>
  <c r="D118" i="25"/>
  <c r="D117" i="25"/>
  <c r="D116" i="25"/>
  <c r="F15" i="20"/>
  <c r="F14" i="20"/>
  <c r="F13" i="20"/>
  <c r="F12" i="20"/>
  <c r="F11" i="20"/>
  <c r="F10" i="20"/>
  <c r="F9" i="20"/>
  <c r="F8" i="20"/>
  <c r="F22" i="20" s="1"/>
  <c r="D39" i="27" l="1"/>
  <c r="G16" i="20"/>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4" i="9"/>
  <c r="E70" i="23" l="1"/>
  <c r="E107" i="23"/>
  <c r="G23" i="28"/>
  <c r="G24" i="28" s="1"/>
  <c r="D23" i="31" s="1"/>
  <c r="A3" i="28"/>
  <c r="I22" i="25" l="1"/>
  <c r="C210" i="25"/>
  <c r="K207" i="25"/>
  <c r="I204" i="25"/>
  <c r="D193" i="25"/>
  <c r="G191" i="25" s="1"/>
  <c r="I189" i="25"/>
  <c r="D187" i="25"/>
  <c r="G186" i="25"/>
  <c r="G185" i="25"/>
  <c r="G183" i="25"/>
  <c r="C160" i="25"/>
  <c r="G157" i="25"/>
  <c r="I154" i="25"/>
  <c r="D133" i="25"/>
  <c r="F124" i="25"/>
  <c r="I118" i="25"/>
  <c r="B117" i="25"/>
  <c r="B115" i="25"/>
  <c r="F109" i="25"/>
  <c r="F107" i="25"/>
  <c r="C95" i="25"/>
  <c r="K92" i="25"/>
  <c r="I89" i="25"/>
  <c r="F52" i="25"/>
  <c r="B52" i="25"/>
  <c r="B58" i="25" s="1"/>
  <c r="F51" i="25"/>
  <c r="F79" i="25" s="1"/>
  <c r="B51" i="25"/>
  <c r="B57" i="25" s="1"/>
  <c r="C38" i="25"/>
  <c r="K35" i="25"/>
  <c r="I32"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I123" i="9" l="1"/>
  <c r="D74" i="9"/>
  <c r="D73" i="9"/>
  <c r="D72" i="9"/>
  <c r="A71" i="9"/>
  <c r="A72" i="9" s="1"/>
  <c r="A73" i="9" s="1"/>
  <c r="A74" i="9" s="1"/>
  <c r="A75" i="9" s="1"/>
  <c r="C65" i="9"/>
  <c r="C64" i="9"/>
  <c r="C63" i="9"/>
  <c r="C62" i="9"/>
  <c r="C61" i="9"/>
  <c r="C38" i="9"/>
  <c r="K35" i="9"/>
  <c r="I32" i="9"/>
  <c r="D71" i="9" l="1"/>
  <c r="D89" i="23"/>
  <c r="D78" i="9" s="1"/>
  <c r="C89" i="23"/>
  <c r="D76" i="9" s="1"/>
  <c r="I46" i="23"/>
  <c r="D57" i="9" s="1"/>
  <c r="H46" i="23"/>
  <c r="D56" i="9" s="1"/>
  <c r="G46" i="23"/>
  <c r="D55" i="9" s="1"/>
  <c r="F46" i="23"/>
  <c r="D54" i="9" s="1"/>
  <c r="E46" i="23"/>
  <c r="D53" i="9" s="1"/>
  <c r="I23" i="23"/>
  <c r="D84" i="9" s="1"/>
  <c r="H23" i="23"/>
  <c r="G23" i="23"/>
  <c r="D49" i="9" s="1"/>
  <c r="D221" i="25" s="1"/>
  <c r="F23" i="23"/>
  <c r="D48" i="9" s="1"/>
  <c r="E23" i="23"/>
  <c r="D47" i="9" s="1"/>
  <c r="D219" i="25" s="1"/>
  <c r="D23" i="23"/>
  <c r="D46" i="9" s="1"/>
  <c r="C23" i="23"/>
  <c r="D45" i="9" s="1"/>
  <c r="D217" i="25" s="1"/>
  <c r="H20" i="26" l="1"/>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58" i="25"/>
  <c r="D220" i="25"/>
  <c r="I12" i="26"/>
  <c r="D62" i="25"/>
  <c r="D68" i="9"/>
  <c r="I68" i="9" s="1"/>
  <c r="H44" i="26" l="1"/>
  <c r="I18" i="26"/>
  <c r="E18" i="26" s="1"/>
  <c r="S18" i="26" s="1"/>
  <c r="I29" i="26"/>
  <c r="I19" i="26"/>
  <c r="E19" i="26" s="1"/>
  <c r="S19" i="26" s="1"/>
  <c r="I20" i="26"/>
  <c r="E20" i="26" s="1"/>
  <c r="S20" i="26" s="1"/>
  <c r="D20" i="26"/>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S42" i="26" l="1"/>
  <c r="J27" i="26"/>
  <c r="F27" i="26" s="1"/>
  <c r="D30" i="26"/>
  <c r="I30" i="26"/>
  <c r="E30" i="26" s="1"/>
  <c r="X30" i="26" s="1"/>
  <c r="E20" i="20"/>
  <c r="E21" i="20" s="1"/>
  <c r="A3" i="20"/>
  <c r="A3" i="3"/>
  <c r="A3" i="15"/>
  <c r="A3" i="16"/>
  <c r="A3" i="4"/>
  <c r="H51" i="4"/>
  <c r="I51" i="4"/>
  <c r="J51" i="4"/>
  <c r="H52" i="4"/>
  <c r="I52" i="4"/>
  <c r="J52" i="4"/>
  <c r="H53" i="4"/>
  <c r="I53" i="4"/>
  <c r="J53" i="4"/>
  <c r="I50" i="4"/>
  <c r="J50" i="4"/>
  <c r="H50" i="4"/>
  <c r="G51" i="4"/>
  <c r="G52" i="4"/>
  <c r="G53" i="4"/>
  <c r="G50" i="4"/>
  <c r="A8" i="4"/>
  <c r="A9" i="4" s="1"/>
  <c r="A10" i="4" s="1"/>
  <c r="A11"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J47" i="4"/>
  <c r="I47" i="4"/>
  <c r="H47" i="4"/>
  <c r="G47" i="4"/>
  <c r="F47" i="4"/>
  <c r="G11" i="4"/>
  <c r="G14" i="4" s="1"/>
  <c r="D31" i="16"/>
  <c r="D114" i="9" s="1"/>
  <c r="D24" i="27" s="1"/>
  <c r="D111" i="9"/>
  <c r="D25" i="16" l="1"/>
  <c r="D112" i="9"/>
  <c r="D117" i="9" s="1"/>
  <c r="D19" i="31"/>
  <c r="D26" i="31" s="1"/>
  <c r="J28" i="26"/>
  <c r="F28" i="26" s="1"/>
  <c r="D31" i="26"/>
  <c r="I31" i="26"/>
  <c r="E31" i="26" s="1"/>
  <c r="X31" i="26" s="1"/>
  <c r="D21" i="27"/>
  <c r="I22" i="9"/>
  <c r="D14" i="25"/>
  <c r="I14" i="25" s="1"/>
  <c r="J54" i="4"/>
  <c r="G54" i="4"/>
  <c r="H54" i="4"/>
  <c r="I54" i="4"/>
  <c r="D27" i="27" l="1"/>
  <c r="D28" i="31"/>
  <c r="D27" i="31"/>
  <c r="J29" i="26"/>
  <c r="F29" i="26" s="1"/>
  <c r="D32" i="26"/>
  <c r="I32" i="26"/>
  <c r="E32" i="26" s="1"/>
  <c r="X32" i="26" s="1"/>
  <c r="D29" i="31" l="1"/>
  <c r="D31" i="31" s="1"/>
  <c r="D30" i="31"/>
  <c r="D32"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5" i="25"/>
  <c r="F114" i="9"/>
  <c r="I210" i="9"/>
  <c r="I159" i="9"/>
  <c r="I94" i="9"/>
  <c r="K213" i="9"/>
  <c r="D216" i="9"/>
  <c r="G162" i="9"/>
  <c r="C165" i="9"/>
  <c r="C100" i="9"/>
  <c r="K97" i="9"/>
  <c r="D218" i="25" l="1"/>
  <c r="D222" i="25" s="1"/>
  <c r="D48" i="25"/>
  <c r="J40" i="26"/>
  <c r="F40" i="26" s="1"/>
  <c r="D198" i="9"/>
  <c r="G196" i="9" s="1"/>
  <c r="I194" i="9"/>
  <c r="D192" i="9"/>
  <c r="G191" i="9"/>
  <c r="G190" i="9"/>
  <c r="G188" i="9"/>
  <c r="I178" i="9"/>
  <c r="I170" i="9"/>
  <c r="D138" i="9"/>
  <c r="D135" i="9"/>
  <c r="F129" i="9"/>
  <c r="B122" i="9"/>
  <c r="B120" i="9"/>
  <c r="D87" i="9"/>
  <c r="I116" i="9"/>
  <c r="F112" i="9"/>
  <c r="D65" i="9"/>
  <c r="D229" i="25" s="1"/>
  <c r="D64" i="9"/>
  <c r="D228" i="25" s="1"/>
  <c r="D63" i="9"/>
  <c r="D227" i="25" s="1"/>
  <c r="D62" i="9"/>
  <c r="D61" i="9"/>
  <c r="D225" i="25" s="1"/>
  <c r="D58" i="9"/>
  <c r="F57" i="9"/>
  <c r="B57" i="9"/>
  <c r="B65" i="9" s="1"/>
  <c r="F56" i="9"/>
  <c r="B56" i="9"/>
  <c r="B64" i="9" s="1"/>
  <c r="F55" i="9"/>
  <c r="B55" i="9"/>
  <c r="B63" i="9" s="1"/>
  <c r="F54" i="9"/>
  <c r="F84" i="9" s="1"/>
  <c r="B54" i="9"/>
  <c r="B62" i="9" s="1"/>
  <c r="F53" i="9"/>
  <c r="B53" i="9"/>
  <c r="B61" i="9" s="1"/>
  <c r="D50" i="9"/>
  <c r="J41" i="26" l="1"/>
  <c r="F41" i="26" s="1"/>
  <c r="F44" i="26" s="1"/>
  <c r="D142" i="9"/>
  <c r="D149" i="9" s="1"/>
  <c r="I149" i="9" s="1"/>
  <c r="I165" i="25"/>
  <c r="I180" i="9"/>
  <c r="I182" i="9" s="1"/>
  <c r="D66" i="9"/>
  <c r="I173" i="9"/>
  <c r="I175" i="9" s="1"/>
  <c r="I78" i="9" l="1"/>
  <c r="I76" i="9"/>
  <c r="G9" i="39"/>
  <c r="H9" i="39" s="1"/>
  <c r="H8" i="39"/>
  <c r="I10" i="4"/>
  <c r="J10" i="4" s="1"/>
  <c r="C128" i="23"/>
  <c r="C129" i="23" s="1"/>
  <c r="D148" i="9"/>
  <c r="I183" i="9"/>
  <c r="I184" i="9" s="1"/>
  <c r="G10" i="39" s="1"/>
  <c r="E189" i="9"/>
  <c r="G189" i="9" s="1"/>
  <c r="G192" i="9" s="1"/>
  <c r="I192" i="9" s="1"/>
  <c r="J44" i="26"/>
  <c r="D51" i="25" s="1"/>
  <c r="D54" i="25" s="1"/>
  <c r="G46" i="9"/>
  <c r="G120" i="9"/>
  <c r="G84" i="9"/>
  <c r="G54" i="9"/>
  <c r="M11" i="30"/>
  <c r="O47" i="30" s="1"/>
  <c r="I203" i="9"/>
  <c r="I197" i="25" l="1"/>
  <c r="G109" i="9"/>
  <c r="G12" i="39"/>
  <c r="H12" i="39" s="1"/>
  <c r="H15" i="39"/>
  <c r="H10" i="39"/>
  <c r="E129" i="23"/>
  <c r="D128" i="23"/>
  <c r="D129" i="23" s="1"/>
  <c r="D57" i="25"/>
  <c r="D60" i="25" s="1"/>
  <c r="G48" i="9"/>
  <c r="G114" i="9"/>
  <c r="G129" i="9"/>
  <c r="G113" i="9"/>
  <c r="G56" i="9"/>
  <c r="G128" i="9"/>
  <c r="G111" i="9"/>
  <c r="G121" i="9"/>
  <c r="I198" i="25"/>
  <c r="G108" i="9"/>
  <c r="G107" i="9"/>
  <c r="G106" i="9"/>
  <c r="G112" i="9"/>
  <c r="G88" i="9"/>
  <c r="M11" i="29"/>
  <c r="O20" i="29" s="1"/>
  <c r="I11" i="30"/>
  <c r="K47" i="30" s="1"/>
  <c r="F47" i="30" s="1"/>
  <c r="I202" i="25" s="1"/>
  <c r="I204" i="9"/>
  <c r="I205" i="9" s="1"/>
  <c r="I11" i="29"/>
  <c r="I14" i="9"/>
  <c r="I196" i="9"/>
  <c r="K196" i="9" s="1"/>
  <c r="I46" i="9"/>
  <c r="I12" i="4" l="1"/>
  <c r="J12" i="4" s="1"/>
  <c r="E95" i="23"/>
  <c r="J11" i="4"/>
  <c r="G11" i="39"/>
  <c r="H11" i="39" s="1"/>
  <c r="K20" i="29"/>
  <c r="F20" i="29" s="1"/>
  <c r="K19" i="29"/>
  <c r="O37" i="29"/>
  <c r="F129" i="23"/>
  <c r="O38" i="29"/>
  <c r="O24" i="29"/>
  <c r="I199" i="25"/>
  <c r="D134" i="25" s="1"/>
  <c r="O31" i="29"/>
  <c r="O34" i="29"/>
  <c r="O29" i="29"/>
  <c r="O42" i="29"/>
  <c r="O33" i="29"/>
  <c r="O21" i="29"/>
  <c r="K34" i="29"/>
  <c r="D226" i="25"/>
  <c r="D230" i="25" s="1"/>
  <c r="K42" i="29"/>
  <c r="K26" i="29"/>
  <c r="O41" i="29"/>
  <c r="O35" i="29"/>
  <c r="O26" i="29"/>
  <c r="O30" i="29"/>
  <c r="O19" i="29"/>
  <c r="O39" i="29"/>
  <c r="O27" i="29"/>
  <c r="O25" i="29"/>
  <c r="O22" i="29"/>
  <c r="D139" i="9"/>
  <c r="K39" i="29"/>
  <c r="K31" i="29"/>
  <c r="K23" i="29"/>
  <c r="O40" i="29"/>
  <c r="O36" i="29"/>
  <c r="O28" i="29"/>
  <c r="O32" i="29"/>
  <c r="O23" i="29"/>
  <c r="K38" i="29"/>
  <c r="K30" i="29"/>
  <c r="K22" i="29"/>
  <c r="K35" i="29"/>
  <c r="K27" i="29"/>
  <c r="F27" i="29" s="1"/>
  <c r="G49" i="9"/>
  <c r="G115" i="9"/>
  <c r="G57" i="9"/>
  <c r="G122" i="9"/>
  <c r="K41" i="29"/>
  <c r="K37" i="29"/>
  <c r="K33" i="29"/>
  <c r="K29" i="29"/>
  <c r="K25" i="29"/>
  <c r="K21" i="29"/>
  <c r="K40" i="29"/>
  <c r="K36" i="29"/>
  <c r="K32" i="29"/>
  <c r="K28" i="29"/>
  <c r="K24" i="29"/>
  <c r="I48" i="9"/>
  <c r="I54" i="9"/>
  <c r="I62" i="9" s="1"/>
  <c r="I106" i="9"/>
  <c r="E96" i="23" l="1"/>
  <c r="F95" i="23"/>
  <c r="I49" i="9"/>
  <c r="I50" i="9" s="1"/>
  <c r="G50" i="9" s="1"/>
  <c r="I13" i="4"/>
  <c r="J13" i="4" s="1"/>
  <c r="J14" i="4" s="1"/>
  <c r="D13" i="9" s="1"/>
  <c r="F22" i="29"/>
  <c r="F32" i="29"/>
  <c r="F41" i="29"/>
  <c r="F37" i="29"/>
  <c r="D83" i="25"/>
  <c r="I83" i="25" s="1"/>
  <c r="F35" i="29"/>
  <c r="F30" i="29"/>
  <c r="F38" i="29"/>
  <c r="F26" i="29"/>
  <c r="F28" i="29"/>
  <c r="F21" i="29"/>
  <c r="F19" i="29"/>
  <c r="F34" i="29"/>
  <c r="F29" i="29"/>
  <c r="D88" i="9"/>
  <c r="F23" i="29"/>
  <c r="F24" i="29"/>
  <c r="F33" i="29"/>
  <c r="F31" i="29"/>
  <c r="F25" i="29"/>
  <c r="F42" i="29"/>
  <c r="F36" i="29"/>
  <c r="F39" i="29"/>
  <c r="F40" i="29"/>
  <c r="I112" i="9"/>
  <c r="I107" i="9"/>
  <c r="I108" i="9"/>
  <c r="I57" i="9"/>
  <c r="I56" i="9"/>
  <c r="I64" i="9" s="1"/>
  <c r="I120" i="9"/>
  <c r="I84" i="9"/>
  <c r="I65" i="9" l="1"/>
  <c r="E97" i="23"/>
  <c r="F96" i="23"/>
  <c r="D13" i="25"/>
  <c r="I13" i="25" s="1"/>
  <c r="I17" i="25" s="1"/>
  <c r="I13" i="9"/>
  <c r="I17" i="9" s="1"/>
  <c r="G13" i="39"/>
  <c r="H13" i="39" s="1"/>
  <c r="P13" i="26"/>
  <c r="P14" i="26" s="1"/>
  <c r="G71" i="9"/>
  <c r="G148" i="9"/>
  <c r="G80" i="9"/>
  <c r="G74" i="9"/>
  <c r="G73" i="9"/>
  <c r="G72" i="9"/>
  <c r="I88" i="9"/>
  <c r="G131" i="9"/>
  <c r="I131" i="9" s="1"/>
  <c r="I113" i="9"/>
  <c r="I114" i="9"/>
  <c r="I66" i="9"/>
  <c r="G66" i="9" s="1"/>
  <c r="G14" i="39" s="1"/>
  <c r="H14" i="39" s="1"/>
  <c r="I58" i="9"/>
  <c r="I122" i="9"/>
  <c r="I115" i="9"/>
  <c r="I133" i="9"/>
  <c r="I109" i="9"/>
  <c r="E98" i="23" l="1"/>
  <c r="F97" i="23"/>
  <c r="H16" i="39"/>
  <c r="D89" i="9"/>
  <c r="D84" i="25"/>
  <c r="I84" i="25" s="1"/>
  <c r="I71" i="9"/>
  <c r="D12" i="27"/>
  <c r="I121" i="9"/>
  <c r="I124" i="9" s="1"/>
  <c r="I111" i="9"/>
  <c r="I117" i="9" s="1"/>
  <c r="F98" i="23" l="1"/>
  <c r="E99" i="23"/>
  <c r="I89" i="9"/>
  <c r="D90" i="9"/>
  <c r="I87" i="9"/>
  <c r="I80" i="9"/>
  <c r="I148" i="9"/>
  <c r="E24" i="27"/>
  <c r="E19" i="27"/>
  <c r="E25" i="27"/>
  <c r="E26" i="27"/>
  <c r="E21" i="27"/>
  <c r="E17" i="27"/>
  <c r="E18" i="27"/>
  <c r="E33" i="27"/>
  <c r="E16" i="27"/>
  <c r="E37" i="27"/>
  <c r="E35" i="27"/>
  <c r="E32" i="27"/>
  <c r="E36" i="27"/>
  <c r="I129" i="9"/>
  <c r="I128" i="9"/>
  <c r="E100" i="23" l="1"/>
  <c r="F99" i="23"/>
  <c r="I90" i="9"/>
  <c r="D140" i="25"/>
  <c r="D146" i="9"/>
  <c r="I72" i="9"/>
  <c r="I75" i="9"/>
  <c r="I74" i="9"/>
  <c r="I73" i="9"/>
  <c r="I135" i="9"/>
  <c r="E101" i="23" l="1"/>
  <c r="F100" i="23"/>
  <c r="D141" i="25"/>
  <c r="D145" i="25" s="1"/>
  <c r="I145" i="25" s="1"/>
  <c r="D150" i="9"/>
  <c r="F101" i="23" l="1"/>
  <c r="E102" i="23"/>
  <c r="I150" i="9"/>
  <c r="F102" i="23" l="1"/>
  <c r="E103" i="23"/>
  <c r="I168" i="25"/>
  <c r="I170" i="25" s="1"/>
  <c r="F103" i="23" l="1"/>
  <c r="F104" i="23" s="1"/>
  <c r="D79" i="9" s="1"/>
  <c r="E104" i="23"/>
  <c r="I73" i="25"/>
  <c r="I62" i="25"/>
  <c r="I71" i="25"/>
  <c r="G66" i="25"/>
  <c r="G218" i="25"/>
  <c r="I218" i="25" s="1"/>
  <c r="G115" i="25"/>
  <c r="G51" i="25"/>
  <c r="G45" i="25"/>
  <c r="G79" i="25"/>
  <c r="I178" i="25"/>
  <c r="E184" i="25"/>
  <c r="G184" i="25" s="1"/>
  <c r="G187" i="25" s="1"/>
  <c r="I187" i="25" s="1"/>
  <c r="D82" i="9" l="1"/>
  <c r="D92" i="9" s="1"/>
  <c r="D154" i="9" s="1"/>
  <c r="D147" i="9" s="1"/>
  <c r="D151" i="9" s="1"/>
  <c r="D156" i="9" s="1"/>
  <c r="D74" i="25"/>
  <c r="I74" i="25" s="1"/>
  <c r="I79" i="9"/>
  <c r="I82" i="9" s="1"/>
  <c r="I92" i="9" s="1"/>
  <c r="I154" i="9" s="1"/>
  <c r="I147" i="9" s="1"/>
  <c r="I151" i="9" s="1"/>
  <c r="I156" i="9" s="1"/>
  <c r="I10" i="9" s="1"/>
  <c r="I19" i="9" s="1"/>
  <c r="D25" i="9" s="1"/>
  <c r="D27" i="9" s="1"/>
  <c r="D28" i="9" s="1"/>
  <c r="D30" i="9" s="1"/>
  <c r="G226" i="25"/>
  <c r="I226" i="25" s="1"/>
  <c r="G220" i="25"/>
  <c r="I220" i="25" s="1"/>
  <c r="G52" i="25"/>
  <c r="G46" i="25"/>
  <c r="I51" i="25"/>
  <c r="I45" i="25"/>
  <c r="I191" i="25"/>
  <c r="K191" i="25" s="1"/>
  <c r="I115" i="25"/>
  <c r="I79" i="25"/>
  <c r="D26" i="9" l="1"/>
  <c r="D29" i="9"/>
  <c r="D31" i="9" s="1"/>
  <c r="G47" i="25"/>
  <c r="I47" i="25" s="1"/>
  <c r="G53" i="25"/>
  <c r="I53" i="25" s="1"/>
  <c r="G228" i="25"/>
  <c r="I228" i="25" s="1"/>
  <c r="G221" i="25"/>
  <c r="I57" i="25"/>
  <c r="I46" i="25"/>
  <c r="I48" i="25" l="1"/>
  <c r="I59" i="25"/>
  <c r="G229" i="25"/>
  <c r="I221" i="25"/>
  <c r="I222" i="25" s="1"/>
  <c r="G222" i="25" s="1"/>
  <c r="Q13" i="26" s="1"/>
  <c r="Q14" i="26" s="1"/>
  <c r="Q30" i="26" s="1"/>
  <c r="W30" i="26" s="1"/>
  <c r="I52" i="25"/>
  <c r="I58" i="25" l="1"/>
  <c r="I60" i="25" s="1"/>
  <c r="I54" i="25"/>
  <c r="G143" i="25"/>
  <c r="G75" i="25"/>
  <c r="G68" i="25"/>
  <c r="G67" i="25"/>
  <c r="G65" i="25"/>
  <c r="I65" i="25" s="1"/>
  <c r="J99" i="37"/>
  <c r="J100" i="37" s="1"/>
  <c r="I229" i="25"/>
  <c r="I230" i="25" s="1"/>
  <c r="G230" i="25" s="1"/>
  <c r="G60" i="25" s="1"/>
  <c r="G126" i="25"/>
  <c r="G48" i="25"/>
  <c r="G116" i="25"/>
  <c r="G117" i="25"/>
  <c r="I117" i="25" s="1"/>
  <c r="I75" i="25" l="1"/>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H93" i="37" s="1"/>
  <c r="I93" i="37" s="1"/>
  <c r="Q35" i="26"/>
  <c r="W35" i="26" s="1"/>
  <c r="Y35" i="26" s="1"/>
  <c r="AA35" i="26" s="1"/>
  <c r="H89" i="37" s="1"/>
  <c r="I89" i="37" s="1"/>
  <c r="Q31" i="26"/>
  <c r="W31" i="26" s="1"/>
  <c r="Y31" i="26" s="1"/>
  <c r="AA31" i="26" s="1"/>
  <c r="H85" i="37" s="1"/>
  <c r="I85" i="37" s="1"/>
  <c r="Q38" i="26"/>
  <c r="W38" i="26" s="1"/>
  <c r="Y38" i="26" s="1"/>
  <c r="AA38" i="26" s="1"/>
  <c r="H92" i="37" s="1"/>
  <c r="I92" i="37" s="1"/>
  <c r="Q34" i="26"/>
  <c r="W34" i="26" s="1"/>
  <c r="Y34" i="26" s="1"/>
  <c r="AA34" i="26" s="1"/>
  <c r="H88" i="37" s="1"/>
  <c r="I88" i="37" s="1"/>
  <c r="Q41" i="26"/>
  <c r="W41" i="26" s="1"/>
  <c r="Y41" i="26" s="1"/>
  <c r="AA41" i="26" s="1"/>
  <c r="H95" i="37" s="1"/>
  <c r="I95" i="37" s="1"/>
  <c r="Q37" i="26"/>
  <c r="W37" i="26" s="1"/>
  <c r="Y37" i="26" s="1"/>
  <c r="AA37" i="26" s="1"/>
  <c r="H91" i="37" s="1"/>
  <c r="I91" i="37" s="1"/>
  <c r="Q33" i="26"/>
  <c r="W33" i="26" s="1"/>
  <c r="Y33" i="26" s="1"/>
  <c r="AA33" i="26" s="1"/>
  <c r="H87" i="37" s="1"/>
  <c r="I87" i="37" s="1"/>
  <c r="Q40" i="26"/>
  <c r="W40" i="26" s="1"/>
  <c r="Y40" i="26" s="1"/>
  <c r="AA40" i="26" s="1"/>
  <c r="H94" i="37" s="1"/>
  <c r="I94" i="37" s="1"/>
  <c r="Q36" i="26"/>
  <c r="W36" i="26" s="1"/>
  <c r="Y36" i="26" s="1"/>
  <c r="AA36" i="26" s="1"/>
  <c r="H90" i="37" s="1"/>
  <c r="I90" i="37" s="1"/>
  <c r="Q32" i="26"/>
  <c r="W32" i="26" s="1"/>
  <c r="Y32" i="26" s="1"/>
  <c r="AA32" i="26" s="1"/>
  <c r="H86" i="37" s="1"/>
  <c r="I86" i="37"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21" i="27"/>
  <c r="D106" i="25" s="1"/>
  <c r="I106" i="25" s="1"/>
  <c r="D107" i="25"/>
  <c r="I143" i="25"/>
  <c r="G124" i="25"/>
  <c r="F27" i="27" l="1"/>
  <c r="V18" i="26"/>
  <c r="T42" i="26"/>
  <c r="V42" i="26" s="1"/>
  <c r="W42" i="26"/>
  <c r="Y30" i="26"/>
  <c r="R42" i="26"/>
  <c r="P42" i="26"/>
  <c r="Q42" i="26"/>
  <c r="I124" i="25"/>
  <c r="D101" i="25"/>
  <c r="F39" i="27"/>
  <c r="D130" i="25"/>
  <c r="I123" i="25"/>
  <c r="I70" i="25"/>
  <c r="I67" i="25"/>
  <c r="I173" i="25" l="1"/>
  <c r="I175" i="25" s="1"/>
  <c r="I177" i="25" s="1"/>
  <c r="I179" i="25" s="1"/>
  <c r="D112" i="25"/>
  <c r="D82" i="25" s="1"/>
  <c r="D85" i="25" s="1"/>
  <c r="J101" i="37"/>
  <c r="J102" i="37" s="1"/>
  <c r="AA30" i="26"/>
  <c r="H84" i="37" s="1"/>
  <c r="Y42" i="26"/>
  <c r="I130" i="25"/>
  <c r="I101" i="25" l="1"/>
  <c r="H96" i="37"/>
  <c r="I84" i="37"/>
  <c r="AA42" i="26"/>
  <c r="J84" i="37" l="1"/>
  <c r="J85" i="37" s="1"/>
  <c r="J86" i="37" s="1"/>
  <c r="J87" i="37" s="1"/>
  <c r="J88" i="37" s="1"/>
  <c r="J89" i="37" s="1"/>
  <c r="J90" i="37" s="1"/>
  <c r="J91" i="37" s="1"/>
  <c r="J92" i="37" s="1"/>
  <c r="J93" i="37" s="1"/>
  <c r="J94" i="37" s="1"/>
  <c r="J95" i="37" s="1"/>
  <c r="J103" i="37" s="1"/>
  <c r="J104" i="37" s="1"/>
  <c r="I96" i="37"/>
  <c r="I102" i="25"/>
  <c r="I103" i="25"/>
  <c r="I107" i="25"/>
  <c r="J106" i="37" l="1"/>
  <c r="D66" i="25" s="1"/>
  <c r="I109" i="25"/>
  <c r="I108" i="25"/>
  <c r="I112" i="25" l="1"/>
  <c r="I82" i="25" s="1"/>
  <c r="I85" i="25" s="1"/>
  <c r="I66" i="25" l="1"/>
  <c r="D144" i="25" l="1"/>
  <c r="I144" i="25" s="1"/>
  <c r="I152" i="37" l="1"/>
  <c r="J152" i="37" s="1"/>
  <c r="I13" i="37"/>
  <c r="I153" i="37" l="1"/>
  <c r="J153" i="37" s="1"/>
  <c r="I14" i="37"/>
  <c r="I12" i="37"/>
  <c r="I15" i="37" l="1"/>
  <c r="I154" i="37"/>
  <c r="J154" i="37" s="1"/>
  <c r="J12" i="37"/>
  <c r="J13" i="37" s="1"/>
  <c r="J14" i="37" s="1"/>
  <c r="J15" i="37" l="1"/>
  <c r="I155" i="37"/>
  <c r="J155" i="37" s="1"/>
  <c r="I16" i="37"/>
  <c r="J16" i="37" l="1"/>
  <c r="I156" i="37"/>
  <c r="J156" i="37" s="1"/>
  <c r="I17" i="37"/>
  <c r="J17" i="37" l="1"/>
  <c r="I18" i="37"/>
  <c r="I157" i="37"/>
  <c r="J157" i="37" s="1"/>
  <c r="I19" i="37"/>
  <c r="I158" i="37" l="1"/>
  <c r="J158" i="37" s="1"/>
  <c r="J18" i="37"/>
  <c r="J19" i="37" s="1"/>
  <c r="I159" i="37"/>
  <c r="I20" i="37"/>
  <c r="J20" i="37" l="1"/>
  <c r="J159" i="37"/>
  <c r="I160" i="37"/>
  <c r="I21" i="37"/>
  <c r="J21" i="37" l="1"/>
  <c r="J160" i="37"/>
  <c r="I22" i="37"/>
  <c r="I161" i="37"/>
  <c r="J161" i="37" l="1"/>
  <c r="J22" i="37"/>
  <c r="I162" i="37"/>
  <c r="J162" i="37" l="1"/>
  <c r="I23" i="37"/>
  <c r="H24" i="37"/>
  <c r="I163" i="37"/>
  <c r="J163" i="37" s="1"/>
  <c r="H164" i="37"/>
  <c r="I24" i="37" l="1"/>
  <c r="J23" i="37"/>
  <c r="J32" i="37" s="1"/>
  <c r="J33" i="37" s="1"/>
  <c r="I164" i="37"/>
  <c r="J170" i="37"/>
  <c r="J171" i="37" s="1"/>
  <c r="J173" i="37" s="1"/>
  <c r="I68" i="25" l="1"/>
  <c r="J35" i="37"/>
  <c r="D69" i="25" s="1"/>
  <c r="J175" i="37"/>
  <c r="I69" i="25" l="1"/>
  <c r="D76" i="25"/>
  <c r="D77" i="25" s="1"/>
  <c r="I76" i="25" l="1"/>
  <c r="I77" i="25" s="1"/>
  <c r="I87" i="25" s="1"/>
  <c r="D87" i="25"/>
  <c r="D149" i="25" s="1"/>
  <c r="D142" i="25" s="1"/>
  <c r="D146" i="25" s="1"/>
  <c r="D151" i="25" s="1"/>
  <c r="I149" i="25" l="1"/>
  <c r="I142" i="25" s="1"/>
  <c r="I146" i="25" l="1"/>
  <c r="I151" i="25" s="1"/>
  <c r="I10" i="25" s="1"/>
  <c r="I19" i="25" s="1"/>
  <c r="D25" i="25" s="1"/>
  <c r="D26" i="25" s="1"/>
  <c r="D27" i="25" l="1"/>
  <c r="D29" i="25" s="1"/>
  <c r="D31" i="25" s="1"/>
  <c r="D28" i="25" l="1"/>
  <c r="D30" i="25" s="1"/>
</calcChain>
</file>

<file path=xl/sharedStrings.xml><?xml version="1.0" encoding="utf-8"?>
<sst xmlns="http://schemas.openxmlformats.org/spreadsheetml/2006/main" count="2583" uniqueCount="1268">
  <si>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</si>
  <si>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</si>
  <si>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</si>
  <si>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</si>
  <si>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</si>
  <si>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</si>
  <si>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</si>
  <si>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</si>
  <si>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</si>
  <si>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</si>
  <si>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</si>
  <si>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</si>
  <si>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</si>
  <si>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</si>
  <si>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</si>
  <si>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</si>
  <si>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</si>
  <si>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</si>
  <si>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</si>
  <si>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</si>
  <si>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</si>
  <si>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</si>
  <si>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</si>
  <si>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</si>
  <si>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</si>
  <si>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</si>
  <si>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</si>
  <si>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</si>
  <si>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</si>
  <si>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</si>
  <si>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</si>
  <si>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</si>
  <si>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</si>
  <si>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</si>
  <si>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</si>
  <si>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</si>
  <si>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</si>
  <si>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</si>
  <si>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</si>
  <si>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</si>
  <si>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</si>
  <si>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</si>
  <si>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</si>
  <si>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</si>
  <si>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</si>
  <si>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</si>
  <si>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</si>
  <si>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</si>
  <si>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</si>
  <si>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</si>
  <si>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</si>
  <si>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</si>
  <si>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</si>
  <si>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</si>
  <si>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</si>
  <si>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</si>
  <si>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</si>
  <si>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</si>
  <si>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</si>
  <si>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</si>
  <si>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</si>
  <si>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</si>
  <si>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</si>
  <si>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</si>
  <si>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</si>
  <si>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</si>
  <si>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 xml:space="preserve">  Gas</t>
  </si>
  <si>
    <t>*</t>
  </si>
  <si>
    <t>RETURN (R)</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</si>
  <si>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</si>
  <si>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</si>
  <si>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</si>
  <si>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</si>
  <si>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</si>
  <si>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</si>
  <si>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</si>
  <si>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</si>
  <si>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</si>
  <si>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</si>
  <si>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</si>
  <si>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</si>
  <si>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</si>
  <si>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</si>
  <si>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</si>
  <si>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</si>
  <si>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</si>
  <si>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</si>
  <si>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</si>
  <si>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</si>
  <si>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</si>
  <si>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</si>
  <si>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</si>
  <si>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</si>
  <si>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</si>
  <si>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</si>
  <si>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</si>
  <si>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</si>
  <si>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</si>
  <si>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</si>
  <si>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</si>
  <si>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263.i</t>
  </si>
  <si>
    <t>201.3.d</t>
  </si>
  <si>
    <t xml:space="preserve">  Account No. 456.1</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</si>
  <si>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</si>
  <si>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</si>
  <si>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</si>
  <si>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</si>
  <si>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</si>
  <si>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</si>
  <si>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</si>
  <si>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</si>
  <si>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</si>
  <si>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</si>
  <si>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</si>
  <si>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 xml:space="preserve">  General &amp; Intangible </t>
  </si>
  <si>
    <t>Plant in Service, Accumulated Depreciation, and Depreciation Expense amounts exclude Asset Retirement Obligation amounts unless authorized by FERC.</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</si>
  <si>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</si>
  <si>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</si>
  <si>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</si>
  <si>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</si>
  <si>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</si>
  <si>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</si>
  <si>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</si>
  <si>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</si>
  <si>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</si>
  <si>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</si>
  <si>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</si>
  <si>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</si>
  <si>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</si>
  <si>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</si>
  <si>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</si>
  <si>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</si>
  <si>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</si>
  <si>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5b</t>
  </si>
  <si>
    <t>5c</t>
  </si>
  <si>
    <t>Depreciation Rates</t>
  </si>
  <si>
    <t>Rates</t>
  </si>
  <si>
    <t>Line #</t>
  </si>
  <si>
    <t>(a)</t>
  </si>
  <si>
    <t>(b)</t>
  </si>
  <si>
    <t>(c)</t>
  </si>
  <si>
    <t>(d)</t>
  </si>
  <si>
    <t>(e)</t>
  </si>
  <si>
    <t>(f)</t>
  </si>
  <si>
    <t>(g)</t>
  </si>
  <si>
    <t>(h)</t>
  </si>
  <si>
    <t>January</t>
  </si>
  <si>
    <t>February</t>
  </si>
  <si>
    <t>April</t>
  </si>
  <si>
    <t>May</t>
  </si>
  <si>
    <t>June</t>
  </si>
  <si>
    <t>July</t>
  </si>
  <si>
    <t>September</t>
  </si>
  <si>
    <t>October</t>
  </si>
  <si>
    <t>November</t>
  </si>
  <si>
    <t>Notes</t>
  </si>
  <si>
    <t>Network</t>
  </si>
  <si>
    <t xml:space="preserve">Service </t>
  </si>
  <si>
    <t xml:space="preserve">Type </t>
  </si>
  <si>
    <t>Description</t>
  </si>
  <si>
    <t>Type</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</si>
  <si>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</si>
  <si>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</si>
  <si>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</si>
  <si>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</si>
  <si>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</si>
  <si>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</si>
  <si>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</si>
  <si>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</si>
  <si>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</si>
  <si>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</si>
  <si>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</si>
  <si>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</si>
  <si>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</si>
  <si>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</si>
  <si>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</si>
  <si>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</si>
  <si>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</si>
  <si>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</si>
  <si>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</si>
  <si>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</si>
  <si>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</si>
  <si>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</si>
  <si>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</si>
  <si>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</si>
  <si>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</si>
  <si>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</si>
  <si>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FERC Acct</t>
  </si>
  <si>
    <t>Revenue Credits</t>
  </si>
  <si>
    <t>Transm</t>
  </si>
  <si>
    <t>PTP</t>
  </si>
  <si>
    <t>Trans</t>
  </si>
  <si>
    <t>Adjd Total</t>
  </si>
  <si>
    <t>Page 1</t>
  </si>
  <si>
    <t>Page 2</t>
  </si>
  <si>
    <t>Page 3</t>
  </si>
  <si>
    <t>Page 4</t>
  </si>
  <si>
    <t>/kW-year</t>
  </si>
  <si>
    <t>/kW-month</t>
  </si>
  <si>
    <t>/kW-week</t>
  </si>
  <si>
    <t>6 days/week</t>
  </si>
  <si>
    <t>/kW-day</t>
  </si>
  <si>
    <t>7 days/week</t>
  </si>
  <si>
    <t>16 hours/day</t>
  </si>
  <si>
    <t>24 hours/day</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</si>
  <si>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</si>
  <si>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</si>
  <si>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</si>
  <si>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</si>
  <si>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</si>
  <si>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</si>
  <si>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</si>
  <si>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</si>
  <si>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</si>
  <si>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</si>
  <si>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</si>
  <si>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</si>
  <si>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</si>
  <si>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</si>
  <si>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</si>
  <si>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</si>
  <si>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</si>
  <si>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</si>
  <si>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</si>
  <si>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</si>
  <si>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</si>
  <si>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</si>
  <si>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</si>
  <si>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</si>
  <si>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</si>
  <si>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</si>
  <si>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</si>
  <si>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</si>
  <si>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</si>
  <si>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</si>
  <si>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</si>
  <si>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</si>
  <si>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</si>
  <si>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</si>
  <si>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</si>
  <si>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</si>
  <si>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</si>
  <si>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</si>
  <si>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</si>
  <si>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</si>
  <si>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</si>
  <si>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</si>
  <si>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Projected transmission plant for next calendar year</t>
  </si>
  <si>
    <t>Projected expenses and revenue credits for next calendar year</t>
  </si>
  <si>
    <t>Projected transmission load for next calendar year</t>
  </si>
  <si>
    <t>CWIP</t>
  </si>
  <si>
    <t>LHFFU</t>
  </si>
  <si>
    <t>Line No</t>
  </si>
  <si>
    <t>Production</t>
  </si>
  <si>
    <t>Distribution</t>
  </si>
  <si>
    <t>General &amp; Intangible</t>
  </si>
  <si>
    <t>CWIP (Note C)</t>
  </si>
  <si>
    <t>Land Held for Future Use</t>
  </si>
  <si>
    <t xml:space="preserve">  Materials &amp; Supplies</t>
  </si>
  <si>
    <t>FN1 Reference for Dec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</si>
  <si>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</si>
  <si>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</si>
  <si>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</si>
  <si>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</si>
  <si>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</si>
  <si>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</si>
  <si>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</si>
  <si>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</si>
  <si>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</si>
  <si>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</si>
  <si>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</si>
  <si>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</si>
  <si>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Average of the 13 Monthly Balances -</t>
  </si>
  <si>
    <t>Unfunded Reserves    (Note G)</t>
  </si>
  <si>
    <t>List of all reserves:</t>
  </si>
  <si>
    <t>…</t>
  </si>
  <si>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</si>
  <si>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</si>
  <si>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</si>
  <si>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</si>
  <si>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</si>
  <si>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</si>
  <si>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</si>
  <si>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</si>
  <si>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</si>
  <si>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</si>
  <si>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</si>
  <si>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</si>
  <si>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</si>
  <si>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</si>
  <si>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</si>
  <si>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</si>
  <si>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</si>
  <si>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</si>
  <si>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</si>
  <si>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</si>
  <si>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</si>
  <si>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</si>
  <si>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Tax Effect of Permanent Differences</t>
  </si>
  <si>
    <t>11a</t>
  </si>
  <si>
    <t>24a</t>
  </si>
  <si>
    <t>24b</t>
  </si>
  <si>
    <t>266.8.f</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</si>
  <si>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</si>
  <si>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</si>
  <si>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</si>
  <si>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</si>
  <si>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</si>
  <si>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</si>
  <si>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</si>
  <si>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</si>
  <si>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</si>
  <si>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</si>
  <si>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</si>
  <si>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</si>
  <si>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</si>
  <si>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</si>
  <si>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</si>
  <si>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</si>
  <si>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</si>
  <si>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</si>
  <si>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</si>
  <si>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</si>
  <si>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</si>
  <si>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</si>
  <si>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</si>
  <si>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</si>
  <si>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</si>
  <si>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</si>
  <si>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</si>
  <si>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</si>
  <si>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</si>
  <si>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</si>
  <si>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</si>
  <si>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</si>
  <si>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</si>
  <si>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</si>
  <si>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</si>
  <si>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</si>
  <si>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 xml:space="preserve">  Total  </t>
  </si>
  <si>
    <t>(Sum of Lines 17-19)</t>
  </si>
  <si>
    <t xml:space="preserve">  Long Term Debt</t>
  </si>
  <si>
    <t xml:space="preserve">  Common Stock </t>
  </si>
  <si>
    <t>H</t>
  </si>
  <si>
    <t xml:space="preserve">         Inputs Required:</t>
  </si>
  <si>
    <t xml:space="preserve">  (Federal Income Tax Rate)</t>
  </si>
  <si>
    <t>L</t>
  </si>
  <si>
    <t>N</t>
  </si>
  <si>
    <t>O</t>
  </si>
  <si>
    <t>P</t>
  </si>
  <si>
    <t>Q</t>
  </si>
  <si>
    <t>S</t>
  </si>
  <si>
    <t>T</t>
  </si>
  <si>
    <t>U</t>
  </si>
  <si>
    <t>V</t>
  </si>
  <si>
    <t>(Note S)</t>
  </si>
  <si>
    <t xml:space="preserve">ADJUSTMENTS TO RATE BASE </t>
  </si>
  <si>
    <t xml:space="preserve">     Less EPRI &amp; Reg. Comm. Exp. &amp; Non-safety  Ad.  (Note I)</t>
  </si>
  <si>
    <t>(Note K)</t>
  </si>
  <si>
    <t>(Note L)</t>
  </si>
  <si>
    <t>TAXES OTHER THAN INCOME TAXES  (Note D)</t>
  </si>
  <si>
    <t>GROSS PLANT IN SERVICE     (Note A)</t>
  </si>
  <si>
    <t>ACCUMULATED DEPRECIATION   (Note A)</t>
  </si>
  <si>
    <t>RATE BASE: (Note A, V)</t>
  </si>
  <si>
    <t>DEPRECIATION AND AMORTIZATION EXPENSE (Note A)</t>
  </si>
  <si>
    <t>ACCOUNT 454 (RENT FROM ELECTRIC PROPERTY)  (Note A)</t>
  </si>
  <si>
    <t>Company Records (Note A)</t>
  </si>
  <si>
    <t>Company Records (Note B)</t>
  </si>
  <si>
    <t>Item</t>
  </si>
  <si>
    <t>Actual Attachment H</t>
  </si>
  <si>
    <t>Projected Attachment H</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</si>
  <si>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</si>
  <si>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</si>
  <si>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</si>
  <si>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</si>
  <si>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</si>
  <si>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</si>
  <si>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</si>
  <si>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</si>
  <si>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</si>
  <si>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</si>
  <si>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</si>
  <si>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</si>
  <si>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</si>
  <si>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</si>
  <si>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</si>
  <si>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</si>
  <si>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</si>
  <si>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</si>
  <si>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</si>
  <si>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</si>
  <si>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</si>
  <si>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</si>
  <si>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</si>
  <si>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</si>
  <si>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</si>
  <si>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</si>
  <si>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March</t>
  </si>
  <si>
    <t>August</t>
  </si>
  <si>
    <t>December</t>
  </si>
  <si>
    <t xml:space="preserve">Note: </t>
  </si>
  <si>
    <t>Act Att-H</t>
  </si>
  <si>
    <t>A1-RevCred</t>
  </si>
  <si>
    <t>A2-A&amp;G</t>
  </si>
  <si>
    <t>A3-ADIT</t>
  </si>
  <si>
    <t>A4-Rate Base</t>
  </si>
  <si>
    <t>A5-Depr</t>
  </si>
  <si>
    <t>A6-Divisor</t>
  </si>
  <si>
    <t>Proj Att-H</t>
  </si>
  <si>
    <t>P1-Trans Plant</t>
  </si>
  <si>
    <t>P2-Exp. &amp; Rev. Credits</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</si>
  <si>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</si>
  <si>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</si>
  <si>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</si>
  <si>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</si>
  <si>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</si>
  <si>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</si>
  <si>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</si>
  <si>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</si>
  <si>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</si>
  <si>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</si>
  <si>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</si>
  <si>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</si>
  <si>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</si>
  <si>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</si>
  <si>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</si>
  <si>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</si>
  <si>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</si>
  <si>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</si>
  <si>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</si>
  <si>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</si>
  <si>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</si>
  <si>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</si>
  <si>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Revenue Types:</t>
  </si>
  <si>
    <t>KW</t>
  </si>
  <si>
    <t>Projected Transmission Plant</t>
  </si>
  <si>
    <t>Projected Expenses and Revenue Credits</t>
  </si>
  <si>
    <t xml:space="preserve">Worksheet P3 </t>
  </si>
  <si>
    <t>Average</t>
  </si>
  <si>
    <t>Actual Load  for Jan-Aug</t>
  </si>
  <si>
    <t>(Worksheet P3, Line 15)</t>
  </si>
  <si>
    <t>Held for Future Use</t>
  </si>
  <si>
    <t xml:space="preserve">RATE BASE </t>
  </si>
  <si>
    <t>RATE BASE</t>
  </si>
  <si>
    <t>(Sum lines 18, 26, 27, &amp; 31)</t>
  </si>
  <si>
    <t xml:space="preserve">RATE BASE: </t>
  </si>
  <si>
    <t xml:space="preserve">     Less EPRI &amp; Reg. Comm. Exp. &amp; Non-safety  Ad. </t>
  </si>
  <si>
    <t xml:space="preserve">     Plus Transmission Related Reg. Comm. Exp. </t>
  </si>
  <si>
    <t xml:space="preserve">TOTAL O&amp;M </t>
  </si>
  <si>
    <t>Reference</t>
  </si>
  <si>
    <t>Actual Attachment H, Page 3, Line 10</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</si>
  <si>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</si>
  <si>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</si>
  <si>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</si>
  <si>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</si>
  <si>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</si>
  <si>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</si>
  <si>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</si>
  <si>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</si>
  <si>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</si>
  <si>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</si>
  <si>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</si>
  <si>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</si>
  <si>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</si>
  <si>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1</t>
  </si>
  <si>
    <t>Actual Attachment H, Page 4, Line 2</t>
  </si>
  <si>
    <t>Actual Attachment H, Page 4, Line 3</t>
  </si>
  <si>
    <t>Actual Attachment H, Page 4, Line 7</t>
  </si>
  <si>
    <t>Actual Attachment H, Page 2, Line 24</t>
  </si>
  <si>
    <t>Actual Attachment H, Page 2, Line 23c</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</si>
  <si>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</si>
  <si>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</si>
  <si>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</si>
  <si>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</si>
  <si>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</si>
  <si>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</si>
  <si>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</si>
  <si>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</si>
  <si>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</si>
  <si>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</si>
  <si>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</si>
  <si>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</si>
  <si>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</si>
  <si>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</si>
  <si>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</si>
  <si>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</si>
  <si>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</si>
  <si>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</si>
  <si>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</si>
  <si>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</si>
  <si>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</si>
  <si>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</si>
  <si>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</si>
  <si>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</si>
  <si>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</si>
  <si>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Worksheet A2 Line 5</t>
  </si>
  <si>
    <t>(Worksheet A1, line 6)</t>
  </si>
  <si>
    <t>(Worksheet A6, Line 14)</t>
  </si>
  <si>
    <t>(Note W)</t>
  </si>
  <si>
    <t>W</t>
  </si>
  <si>
    <t>If applicable, a separate workpaper will be provided and posted with other supporting documentation.</t>
  </si>
  <si>
    <t>Worksheet A4, Page 1, Line 14, Col. (b)</t>
  </si>
  <si>
    <t>Worksheet A4, Page 1, Line 14, Col. (c)</t>
  </si>
  <si>
    <t>Worksheet A4, Page 1, Line 14, Col. (d)</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</si>
  <si>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</si>
  <si>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</si>
  <si>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</si>
  <si>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</si>
  <si>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</si>
  <si>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</si>
  <si>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</si>
  <si>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</si>
  <si>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</si>
  <si>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</si>
  <si>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</si>
  <si>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</si>
  <si>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</si>
  <si>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</si>
  <si>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</si>
  <si>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 xml:space="preserve">STRUCTURES AND IMPROVEMENTS         </t>
  </si>
  <si>
    <t xml:space="preserve">STATION EQUIPMENT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</si>
  <si>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</si>
  <si>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</si>
  <si>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</si>
  <si>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</si>
  <si>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</si>
  <si>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</si>
  <si>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</si>
  <si>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</si>
  <si>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</si>
  <si>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</si>
  <si>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</si>
  <si>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</si>
  <si>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</si>
  <si>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</si>
  <si>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</si>
  <si>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</si>
  <si>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</si>
  <si>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</si>
  <si>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</si>
  <si>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</si>
  <si>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</si>
  <si>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(e )</t>
  </si>
  <si>
    <t>Worksheet A7, Column (e )</t>
  </si>
  <si>
    <t>Incentive Ret</t>
  </si>
  <si>
    <t xml:space="preserve">  Rate Base * Rate of Return + Incentive Return</t>
  </si>
  <si>
    <t>Projected Incentive Plant</t>
  </si>
  <si>
    <t>Projected Incentive Plant Worksheet</t>
  </si>
  <si>
    <t>Mon/Yr</t>
  </si>
  <si>
    <t>Weighted ROE Adder:</t>
  </si>
  <si>
    <t>Deprec. Rate/Month:</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</si>
  <si>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</si>
  <si>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</si>
  <si>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</si>
  <si>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</si>
  <si>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</si>
  <si>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</si>
  <si>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</si>
  <si>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</si>
  <si>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</si>
  <si>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</si>
  <si>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</si>
  <si>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</si>
  <si>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</si>
  <si>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</si>
  <si>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</si>
  <si>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</si>
  <si>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</si>
  <si>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</si>
  <si>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</si>
  <si>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</si>
  <si>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</si>
  <si>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ADJUSTMENTS TO RATE BASE (Note V)</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</si>
  <si>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</si>
  <si>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</si>
  <si>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</si>
  <si>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</si>
  <si>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</si>
  <si>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</si>
  <si>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</si>
  <si>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</si>
  <si>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</si>
  <si>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</si>
  <si>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</si>
  <si>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</si>
  <si>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7</t>
  </si>
  <si>
    <t>June, Sep</t>
  </si>
  <si>
    <t>Sep</t>
  </si>
  <si>
    <t>Average Balance</t>
  </si>
  <si>
    <t>Ref</t>
  </si>
  <si>
    <t>BOY Balance</t>
  </si>
  <si>
    <t>EOY Balance</t>
  </si>
  <si>
    <t>Beginning of Year ("BOY") balance is end of previous year balance per FERC Form No. 1.</t>
  </si>
  <si>
    <t>274.2.b &amp; 275.2.k</t>
  </si>
  <si>
    <t>276.9.b &amp; 277.9.k</t>
  </si>
  <si>
    <t>234.8.b&amp;c</t>
  </si>
  <si>
    <t>272.2.b &amp; 273.2.k</t>
  </si>
  <si>
    <t xml:space="preserve">Worksheet A4, Page 1, Line 13, Col. (h) </t>
  </si>
  <si>
    <t>(line 13 - line 14)</t>
  </si>
  <si>
    <t>Total 561 Costs for Schedule 1 Annual Rev Req</t>
  </si>
  <si>
    <t xml:space="preserve">     Less Account 561.1-561.3</t>
  </si>
  <si>
    <t>321.85-87.b</t>
  </si>
  <si>
    <t>Revenue Requirement</t>
  </si>
  <si>
    <t>12 months/year</t>
  </si>
  <si>
    <t>52 weeks/year</t>
  </si>
  <si>
    <t>Less:  Schedule 1 Point to Point Revenues</t>
  </si>
  <si>
    <t>Actual Schedule 1 Annual Rev Req (before True Up)</t>
  </si>
  <si>
    <r>
      <t xml:space="preserve">Column f </t>
    </r>
    <r>
      <rPr>
        <sz val="10"/>
        <rFont val="Times New Roman"/>
        <family val="1"/>
      </rPr>
      <t>contains actual load values for January-August and projected load values for September - December.</t>
    </r>
  </si>
  <si>
    <t>ACCOUNT 456.1 (OTHER ELECTRIC REVENUES) (Note B)</t>
  </si>
  <si>
    <t>(Worksheet A1, line 42, col (b) )</t>
  </si>
  <si>
    <t>Rev Req Comparison</t>
  </si>
  <si>
    <t>Volume Comparison</t>
  </si>
  <si>
    <t>Volume Revenue Adjustment</t>
  </si>
  <si>
    <t>kW</t>
  </si>
  <si>
    <t>Divisor for Actual Rate Year from Step 7</t>
  </si>
  <si>
    <t>(line 14 / line 18)</t>
  </si>
  <si>
    <t>$/kW</t>
  </si>
  <si>
    <t>(line 1 minus line 6)</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</si>
  <si>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</si>
  <si>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</si>
  <si>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</si>
  <si>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</si>
  <si>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</si>
  <si>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</si>
  <si>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</si>
  <si>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24aa</t>
  </si>
  <si>
    <t>(line 19 x line 21)</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</si>
  <si>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</si>
  <si>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</si>
  <si>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</si>
  <si>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</si>
  <si>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</si>
  <si>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</si>
  <si>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</si>
  <si>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</si>
  <si>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</si>
  <si>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</si>
  <si>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</si>
  <si>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</si>
  <si>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</si>
  <si>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Less non Prorated Items</t>
  </si>
  <si>
    <t>Beginning Balance of Prorated items</t>
  </si>
  <si>
    <t>Ending Balance</t>
  </si>
  <si>
    <t>Ending Balance of Prorated items</t>
  </si>
  <si>
    <t>Account 282</t>
  </si>
  <si>
    <t>Account 283</t>
  </si>
  <si>
    <t>Account 281</t>
  </si>
  <si>
    <t>272.b</t>
  </si>
  <si>
    <t>273.k</t>
  </si>
  <si>
    <t>Worksheet P5</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</si>
  <si>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</si>
  <si>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</si>
  <si>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</si>
  <si>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</si>
  <si>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</si>
  <si>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</si>
  <si>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</si>
  <si>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</si>
  <si>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</si>
  <si>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</si>
  <si>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</si>
  <si>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</si>
  <si>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</si>
  <si>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</si>
  <si>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</si>
  <si>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</si>
  <si>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</si>
  <si>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</si>
  <si>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</si>
  <si>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</si>
  <si>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</si>
  <si>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</si>
  <si>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</si>
  <si>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</si>
  <si>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</si>
  <si>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Worksheet A3, Column d, Line 3</t>
  </si>
  <si>
    <t>Act Att-H, page 1 line 2</t>
  </si>
  <si>
    <t>Act Att-H, page 1 line 3</t>
  </si>
  <si>
    <t>Worksheet P3, Line 15</t>
  </si>
  <si>
    <t>Rate Year -1</t>
  </si>
  <si>
    <t>Rate Year</t>
  </si>
  <si>
    <t>Balances as of Ending Rate Year -2</t>
  </si>
  <si>
    <t>Worksheet A2 Line 14</t>
  </si>
  <si>
    <t>356</t>
  </si>
  <si>
    <t>FERC annual charges - transmission only</t>
  </si>
  <si>
    <t>Company Records</t>
  </si>
  <si>
    <t xml:space="preserve">  Unfunded Reserves</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</si>
  <si>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</si>
  <si>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</si>
  <si>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</si>
  <si>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</si>
  <si>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</si>
  <si>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</si>
  <si>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</si>
  <si>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</si>
  <si>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</si>
  <si>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</si>
  <si>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 xml:space="preserve">Gross Plant In Service </t>
  </si>
  <si>
    <t xml:space="preserve">Accumulated Depreciation </t>
  </si>
  <si>
    <t>Adjustments to Rate Base</t>
  </si>
  <si>
    <t xml:space="preserve">Carried forward for use in Worksheet P3, Column b. </t>
  </si>
  <si>
    <t>Amortized Investment Tax Credit (266.8f)</t>
  </si>
  <si>
    <t>(Sum of Lines 25 and 26b less lines 26, 26a )</t>
  </si>
  <si>
    <t xml:space="preserve">     CIT=(T/(1-T)) * (1-(WCLTD/R)) =</t>
  </si>
  <si>
    <t>Note C</t>
  </si>
  <si>
    <t>(Line 21 times Line 24aa) (Notes T, Y)</t>
  </si>
  <si>
    <t>(Line 5) Weighted ROE Adder times (Line 34) 13 Month Average Net Plant</t>
  </si>
  <si>
    <t>Difference in Volume</t>
  </si>
  <si>
    <t>True-up Amount including Volume Revenue Adjustment (before interest)</t>
  </si>
  <si>
    <t>GROSS REVENUE REQUIREMENT  (page 3, line 29)</t>
  </si>
  <si>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</si>
  <si>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</si>
  <si>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</si>
  <si>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</si>
  <si>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</si>
  <si>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</si>
  <si>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</si>
  <si>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</si>
  <si>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</si>
  <si>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</si>
  <si>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Page 1 of 3</t>
  </si>
  <si>
    <t>Page 2 of 3</t>
  </si>
  <si>
    <t>Prepayments</t>
  </si>
  <si>
    <t>reserved</t>
  </si>
  <si>
    <t>Page 1 of 5</t>
  </si>
  <si>
    <t>Page 2 of 5</t>
  </si>
  <si>
    <t>Page 3 of 5</t>
  </si>
  <si>
    <t>Page 4 of 5</t>
  </si>
  <si>
    <t>Page 5 of 5</t>
  </si>
  <si>
    <t>Beginning Balance of Rate Year -1</t>
  </si>
  <si>
    <t>Ending Balance of Rate Year -1</t>
  </si>
  <si>
    <t xml:space="preserve">Beginning Balance of Rate Year </t>
  </si>
  <si>
    <t xml:space="preserve">  Account No. 255 (enter Zero)</t>
  </si>
  <si>
    <t>FAS 109 Adjustment to ADIT</t>
  </si>
  <si>
    <t xml:space="preserve">  Account No. 255 (enter zero)</t>
  </si>
  <si>
    <t>Amount for Attachment H before Allocation</t>
  </si>
  <si>
    <t>Actual Attachment H, Page 3, Line 24a</t>
  </si>
  <si>
    <t>Total Account 190 Beginning Balance</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</si>
  <si>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</si>
  <si>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</si>
  <si>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</si>
  <si>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</si>
  <si>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</si>
  <si>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</si>
  <si>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</si>
  <si>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</si>
  <si>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</si>
  <si>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</si>
  <si>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</si>
  <si>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</si>
  <si>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</si>
  <si>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</si>
  <si>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</si>
  <si>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</si>
  <si>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</si>
  <si>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</si>
  <si>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</si>
  <si>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</si>
  <si>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A8-Prepmts</t>
  </si>
  <si>
    <t>Allocation Factor</t>
  </si>
  <si>
    <t>Allocated Amount</t>
  </si>
  <si>
    <t>To Actual Attachment H, page 2, line 30</t>
  </si>
  <si>
    <t>(Sum of Lines 19 - 25)</t>
  </si>
  <si>
    <t>(Sum of Lines 11 - 21)</t>
  </si>
  <si>
    <t>True-up Amount (before Volume Revenue Adjustment &amp; interest)</t>
  </si>
  <si>
    <t>Transmission Plant (Note A)</t>
  </si>
  <si>
    <t>4a</t>
  </si>
  <si>
    <t>4b</t>
  </si>
  <si>
    <t>Accumulated Depreciation</t>
  </si>
  <si>
    <t>(Page 2, Line 32 x Page 4, Line 31, Col. (5)) + Page 4, Line 32</t>
  </si>
  <si>
    <t>FAS 109 (Note E)</t>
  </si>
  <si>
    <t>Allocation Factor "GP"</t>
  </si>
  <si>
    <t xml:space="preserve">  Account No. 281 </t>
  </si>
  <si>
    <t xml:space="preserve">  Account No. 283 </t>
  </si>
  <si>
    <t xml:space="preserve">  Account No. 282</t>
  </si>
  <si>
    <t>Lobbying Expense</t>
  </si>
  <si>
    <t>Penalties</t>
  </si>
  <si>
    <t xml:space="preserve">  Account No. 282 (Transmission only)</t>
  </si>
  <si>
    <t xml:space="preserve">  Account No. 283</t>
  </si>
  <si>
    <t>Beginning Balance (Enter Negative)</t>
  </si>
  <si>
    <t>(Except ADIT which is average of Beg. &amp; End Balances)</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</si>
  <si>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</si>
  <si>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</si>
  <si>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</si>
  <si>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</si>
  <si>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</si>
  <si>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</si>
  <si>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</si>
  <si>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AA</t>
  </si>
  <si>
    <t xml:space="preserve">  Other (Note AA)</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</si>
  <si>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</si>
  <si>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</si>
  <si>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</si>
  <si>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</si>
  <si>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</si>
  <si>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</si>
  <si>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</si>
  <si>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</si>
  <si>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</si>
  <si>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 xml:space="preserve">STRUCTURES AND IMPROVEMENTS             </t>
  </si>
  <si>
    <t xml:space="preserve">OFFICE FURNITURE AND EQUIPMENT          </t>
  </si>
  <si>
    <t xml:space="preserve">COMPUTER HARDWARE                       </t>
  </si>
  <si>
    <t>TRANSPORTATION EQUIPMENT</t>
  </si>
  <si>
    <t xml:space="preserve">STORES EQUIPMENT               </t>
  </si>
  <si>
    <t>TOOLS, SHOP AND GARAGE EQUIPMENT</t>
  </si>
  <si>
    <t xml:space="preserve">LABORATORY EQUIPMENT           </t>
  </si>
  <si>
    <t xml:space="preserve">    TOTAL GENERAL PLANT </t>
  </si>
  <si>
    <t>Intangible Plant</t>
  </si>
  <si>
    <t>ORGANIZATION</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</si>
  <si>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</si>
  <si>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</si>
  <si>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</si>
  <si>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</si>
  <si>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</si>
  <si>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</si>
  <si>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</si>
  <si>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Black Hills Service Company Plant</t>
  </si>
  <si>
    <t>Total Protected Property - EDIT</t>
  </si>
  <si>
    <t>Ending Balance of Account 190 for EDIT Tax Gross Up Offset</t>
  </si>
  <si>
    <t>Amount of Tax Gross Up Offset on EDIT</t>
  </si>
  <si>
    <t>Account 190 Not Including EDIT Tax Gross Up</t>
  </si>
  <si>
    <t>Beginning Balance of Account 190 for EDIT Tax Gross Up Offset</t>
  </si>
  <si>
    <t>SYSTEM DEVELOPMENT</t>
  </si>
  <si>
    <t xml:space="preserve">TRANSPORTATION EQUIPMENT </t>
  </si>
  <si>
    <t>STRUCTURES AND IMPROVEMENTS</t>
  </si>
  <si>
    <t>Worksheet P1, Line 29, Column (f)</t>
  </si>
  <si>
    <t>Worksheet P1, Line 29, Column (h)</t>
  </si>
  <si>
    <t>Worksheet P1, Line 28, Column (c)</t>
  </si>
  <si>
    <t>Worksheet P1, Page 3, Column t, Line 27a</t>
  </si>
  <si>
    <t>Projected Attachment H, Page 5, Line 6</t>
  </si>
  <si>
    <t>Line 2 less Lines 3 through 7</t>
  </si>
  <si>
    <t>Line 8 less Line 10</t>
  </si>
  <si>
    <t xml:space="preserve">     Adjustments to A&amp;G</t>
  </si>
  <si>
    <t>TOTAL O&amp;M  (sum lines 1, 3, 5a, 5b, 6, 7 less lines 2, 2a, 5, 5c)</t>
  </si>
  <si>
    <t>(Sum lines 3,6,9,10,12,13 less lines 4,5,8,11)</t>
  </si>
  <si>
    <t>Excess / Deficient Deferred Income Tax Adjustment (Net)</t>
  </si>
  <si>
    <t>Net of Account 254 &amp; 182.3</t>
  </si>
  <si>
    <t xml:space="preserve">In the event the Company populates the data enterable fields for future income tax changes, the Company will support the data entered as just and reasonable in its annual update following a change in tax rates.  </t>
  </si>
  <si>
    <t>End of Year ("EOY") balance is the end of Current Year balance reflected on FERC Form No. 1. p.232/278</t>
  </si>
  <si>
    <t>Includes the impact of tax rate changes enacted during the period.</t>
  </si>
  <si>
    <t>Beginning of Year ("BOY") balance is end of Prior Year balance reflected on FERC Form No. 1 p.232/278</t>
  </si>
  <si>
    <t>A1</t>
  </si>
  <si>
    <t>Total Excess/Deficient Deferred Income Taxes Annual Average</t>
  </si>
  <si>
    <t>Total Deferred Tax Offset</t>
  </si>
  <si>
    <t>TOTALS</t>
  </si>
  <si>
    <t>Total Plant DDIT/(EDIT) (Net of Tax Gross Up)</t>
  </si>
  <si>
    <t>Total Deferred Tax Offset Plant</t>
  </si>
  <si>
    <t>2017 NP</t>
  </si>
  <si>
    <t>2017 TCJA</t>
  </si>
  <si>
    <t>Deferred Tax Liability Plant</t>
  </si>
  <si>
    <t>Deferred Tax Asset Plant</t>
  </si>
  <si>
    <t>Total Plant DDIT/(EDIT)</t>
  </si>
  <si>
    <t>Yes</t>
  </si>
  <si>
    <t>ARAM</t>
  </si>
  <si>
    <t>Total Protected Property - DDIT-NOL</t>
  </si>
  <si>
    <t>PLANT DDIT/(EDIT)</t>
  </si>
  <si>
    <t>Total Deferred Tax Offset Non Plant</t>
  </si>
  <si>
    <t>NON PLANT DDIT/(EDIT)</t>
  </si>
  <si>
    <t>Amort Period or Method</t>
  </si>
  <si>
    <t>Prorated (Yes/No) (Note G)</t>
  </si>
  <si>
    <t>EOY Allocated Amount</t>
  </si>
  <si>
    <t>Current Period Other Activity Allocated</t>
  </si>
  <si>
    <t>Current Amortization Allocated</t>
  </si>
  <si>
    <t>BOY Allocated Amount</t>
  </si>
  <si>
    <t>Allocator (Note F)</t>
  </si>
  <si>
    <t>EOY Balance (Note E)</t>
  </si>
  <si>
    <t>Current Period Other Activity (Note D)</t>
  </si>
  <si>
    <t>Current Period Amortization (Note C)</t>
  </si>
  <si>
    <t>BOY Balance (Note B)</t>
  </si>
  <si>
    <t>Vintage</t>
  </si>
  <si>
    <t>Item (Note A1)</t>
  </si>
  <si>
    <t>(l)</t>
  </si>
  <si>
    <t>(k)</t>
  </si>
  <si>
    <t>(a3)</t>
  </si>
  <si>
    <t>(a2)</t>
  </si>
  <si>
    <t>(a1)</t>
  </si>
  <si>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</si>
  <si>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Deferred Rate Case</t>
  </si>
  <si>
    <t>Prepaid Expenses</t>
  </si>
  <si>
    <t>Line Extension Deposits</t>
  </si>
  <si>
    <t>Retiree Healthcare</t>
  </si>
  <si>
    <t>Workman's Compensation</t>
  </si>
  <si>
    <t>PUC Fees</t>
  </si>
  <si>
    <t>Bad Debt Reserve</t>
  </si>
  <si>
    <t>Non-Protected - Property</t>
  </si>
  <si>
    <t>Cost of Removal</t>
  </si>
  <si>
    <t>Protected - Property</t>
  </si>
  <si>
    <t>Deferred Tax Offset (Note B)</t>
  </si>
  <si>
    <t>(Excess) Deficient Def. Taxes with Tax Gross Up 182.3 / 254 Acct (Note A)</t>
  </si>
  <si>
    <t>(Excess) Deficient Def. Taxes at New Tax Rate</t>
  </si>
  <si>
    <t>Accumulated DIT Balances at Prior Tax Rate</t>
  </si>
  <si>
    <t>Accumulated (Taxable) / Deductible Book-to-Tax Differences</t>
  </si>
  <si>
    <t>= (C6) - (C7)</t>
  </si>
  <si>
    <t>= (C6) * Tax Gross Up Factor</t>
  </si>
  <si>
    <t>New Tax Rate Adjustment Calculation</t>
  </si>
  <si>
    <t>(Col 8)</t>
  </si>
  <si>
    <t>(Col 7)</t>
  </si>
  <si>
    <t>(Col 2)</t>
  </si>
  <si>
    <t>Vintage Name:</t>
  </si>
  <si>
    <t>Tax Gross Up Factor:</t>
  </si>
  <si>
    <t>New Rate:</t>
  </si>
  <si>
    <t>New Tax Rate?</t>
  </si>
  <si>
    <t xml:space="preserve">Prior Year:
</t>
  </si>
  <si>
    <t>Worksheet A3.1, Ln 358 Col (e) &amp; (j)</t>
  </si>
  <si>
    <t>Total Excess/Deficient Deferred Income Taxes (Net of Tax Gross Up) (Note J)</t>
  </si>
  <si>
    <t>Total Property Related  (= L99 + L199)</t>
  </si>
  <si>
    <t xml:space="preserve">The net amortization of the regulatory liability for excess deferred income taxes in Account 254 and the associated deferred tax asset in Account 190 is a positive number.  The net amortization of the regulatory asset for deficient deferred income taxes in account 182.3 and the associated deferred tax liability in Account 283 is a negative number.  The net amortization of excess deferred income taxes reduces income tax expense by the net amortization amount multiplied by (1/(1-T)) on Attachment H.  The Excess or Deficient ADIT are amortized to Accounts 410.1 / 411.1.  </t>
  </si>
  <si>
    <t>(Line 128 * - Actual Composite tax rate)</t>
  </si>
  <si>
    <t>Worksheet A3.1, Ln 359 Col (j)</t>
  </si>
  <si>
    <t>Allocator Value (Note H)</t>
  </si>
  <si>
    <t>Weighted Average EDIT/DDIT Net Plant Allocation Factor</t>
  </si>
  <si>
    <t>Worksheet P5, Page 5, Line 137, Column H</t>
  </si>
  <si>
    <t>Black Hills Colorado Electric, LLC</t>
  </si>
  <si>
    <t>The projected O&amp;M and plant balances are calculated on the P Tabs.  These sheets feed into the Projected Attachment H tab for determining the Projected Annual Transmission Revenue Requirement.  The tariff rates are calculated based on the revenue requirements and the specific point-to-point charges are shown on the same tab. The projected rates are posted to the customers for review in September of each year.</t>
  </si>
  <si>
    <t>Company populates the formula rate using projected costs for Year 1</t>
  </si>
  <si>
    <t>Company populates the formula rate using projected costs for Year 2</t>
  </si>
  <si>
    <t>Company populates the formula rate using actual costs for Year 1</t>
  </si>
  <si>
    <t>General Plant</t>
  </si>
  <si>
    <t>The depreciation/amortization rates included in this worksheet cannot be changed by Black Hills Colorado Electric, LLC without an FPA 205 filing.</t>
  </si>
  <si>
    <t xml:space="preserve">STRUCTURES AND IMPROVEMENTS - AMORTIZED         </t>
  </si>
  <si>
    <t xml:space="preserve">STATION EQUIPMENT - AMORTIZED             </t>
  </si>
  <si>
    <t>UNDERGROUND CONDUIT</t>
  </si>
  <si>
    <t>UNDERGROUND CONDUCTORS AND DEVICES</t>
  </si>
  <si>
    <t xml:space="preserve">STRUCTURES AND IMPROVEMENTS - OWNED  </t>
  </si>
  <si>
    <t>SOFTWARE</t>
  </si>
  <si>
    <t>POWER OPERATED EQUIPMENT</t>
  </si>
  <si>
    <t xml:space="preserve">COMMUNICATION EQUIPMENT        </t>
  </si>
  <si>
    <t xml:space="preserve">MISCELLANEOUS EQUIPMENT        </t>
  </si>
  <si>
    <t>MISCELLANEOUS INTANGIBLE PLANT</t>
  </si>
  <si>
    <t>(m)</t>
  </si>
  <si>
    <t>yyyy</t>
  </si>
  <si>
    <t>Less transmission plant included in OATT Ancillary Services and/or GSUs</t>
  </si>
  <si>
    <t>Total 454 - FERC Form No. 1 300.19.b</t>
  </si>
  <si>
    <t>398.1.g</t>
  </si>
  <si>
    <t>Prepaid Item</t>
  </si>
  <si>
    <t>Direct Assigned Prepaids</t>
  </si>
  <si>
    <t>Prepaid Items (directly assigned to Transmission)</t>
  </si>
  <si>
    <t>Transmission Plant-Related Prepaid Items</t>
  </si>
  <si>
    <t>Prepaid Items (allocated by Transmission Plant)</t>
  </si>
  <si>
    <t>Transmission Expense-Related Prepaid Items</t>
  </si>
  <si>
    <t>Prepaid Items (allocated by Transmission Expense)</t>
  </si>
  <si>
    <t>Wage &amp; Salary-Related Prepaid Items</t>
  </si>
  <si>
    <t>Prepaid Items (allocated by Wages &amp; Salaries)</t>
  </si>
  <si>
    <t>General Plant-Related Prepaid Items</t>
  </si>
  <si>
    <t>Leases and Prepaid Items (allocated by Gross Plant Allocator)</t>
  </si>
  <si>
    <t>Net Plant-Related Prepaid Items</t>
  </si>
  <si>
    <t>Prepaid Items (allocated by Net Plant Allocator)</t>
  </si>
  <si>
    <t>Prepaid Items Not Allocated</t>
  </si>
  <si>
    <t>Prepaid Items Not Allocated (including but not limited to Insurance for Generation assets, Prepaid Generation maintenance, Land Easements and Leases for Generation and Distribution, and Income Taxes)</t>
  </si>
  <si>
    <t>13 Month Average Balance
(Note B)</t>
  </si>
  <si>
    <t>NP</t>
  </si>
  <si>
    <t xml:space="preserve">Worksheet A8, Page 1, Line 9 , Col. (f) </t>
  </si>
  <si>
    <t>Source: Form 1 page 400, lines 1-15, columns e, f, g and h</t>
  </si>
  <si>
    <t>Services</t>
  </si>
  <si>
    <t>Long-Term Firm Point to Point Transmission Service</t>
  </si>
  <si>
    <t>LFP</t>
  </si>
  <si>
    <t>Firm Network Service for Others</t>
  </si>
  <si>
    <t>FNO</t>
  </si>
  <si>
    <t>Short-Term Firm Point to Point Transmission Reservation</t>
  </si>
  <si>
    <t>SFP</t>
  </si>
  <si>
    <t>Non-Firm Transmission Service</t>
  </si>
  <si>
    <t>NF</t>
  </si>
  <si>
    <t>Plant in Service ARO</t>
  </si>
  <si>
    <t>Accumulated Depreciation - ARO</t>
  </si>
  <si>
    <t>Right of Use Asset Operating Lease</t>
  </si>
  <si>
    <t>Accum Amortization - Right of Use Asset</t>
  </si>
  <si>
    <t>Line 22 + Line 23</t>
  </si>
  <si>
    <t>(Sum of Lines 12-15)</t>
  </si>
  <si>
    <t>Worksheet A4, Page 1, Line 13, Column (f)</t>
  </si>
  <si>
    <t>Worksheet A4, Page 1, Line 13, Column (e)</t>
  </si>
  <si>
    <t>Worksheet A4, Page 1, Line 27, Column (g)</t>
  </si>
  <si>
    <t>8a</t>
  </si>
  <si>
    <t>(Line 2a - Line 5a)</t>
  </si>
  <si>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</si>
  <si>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The amount is the net periodic expense and not the actual cash outlay.</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</si>
  <si>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 base. </t>
  </si>
  <si>
    <t>(n)</t>
  </si>
  <si>
    <t>(o)</t>
  </si>
  <si>
    <t>(p)</t>
  </si>
  <si>
    <t>(q)</t>
  </si>
  <si>
    <t>(r)</t>
  </si>
  <si>
    <t>(s)</t>
  </si>
  <si>
    <t>(t)</t>
  </si>
  <si>
    <t>(u)</t>
  </si>
  <si>
    <t>(v)</t>
  </si>
  <si>
    <t>(w)</t>
  </si>
  <si>
    <t>(x)</t>
  </si>
  <si>
    <t>(y)</t>
  </si>
  <si>
    <t>&amp; Year</t>
  </si>
  <si>
    <r>
      <t xml:space="preserve">Column e </t>
    </r>
    <r>
      <rPr>
        <sz val="10"/>
        <rFont val="Times New Roman"/>
        <family val="1"/>
      </rPr>
      <t>contains actual load values from current year FERC Form 3Q page 400, lines 1-10, columns e, f, g and h.</t>
    </r>
  </si>
  <si>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</si>
  <si>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Construction Period Interest</t>
  </si>
  <si>
    <t>Contribution in Aid of Construction</t>
  </si>
  <si>
    <t>Tax Repairs Deduction</t>
  </si>
  <si>
    <t>Capitalization of Overhead</t>
  </si>
  <si>
    <t>Accrued Vacation</t>
  </si>
  <si>
    <t>Employee Compensation</t>
  </si>
  <si>
    <t>Employee Group Insurance</t>
  </si>
  <si>
    <t>Insurance Reserve</t>
  </si>
  <si>
    <t>Pension</t>
  </si>
  <si>
    <t>Performance Plan</t>
  </si>
  <si>
    <t>Power Plant Maintenance</t>
  </si>
  <si>
    <t>One-Time Refund</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</si>
  <si>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</si>
  <si>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Finance Lease and Right of Use Operating Lease from Company Records are not included in the calculation of rate base and are provided for transparency.</t>
  </si>
  <si>
    <t>(Line 17, Col H)</t>
  </si>
  <si>
    <t>Worksheet A3.1, Ln 355 Col (e)</t>
  </si>
  <si>
    <t>Worksheet A3.1, Ln 355 Col (c)</t>
  </si>
  <si>
    <t>(Excess)/Deficient Deferred Income Taxes - FERC Order 864 Worksheet -- Tax Rate Change</t>
  </si>
  <si>
    <t>Worksheet A3.1</t>
  </si>
  <si>
    <t>(Col 1)</t>
  </si>
  <si>
    <t>(Col 3)</t>
  </si>
  <si>
    <t>(Col 4)</t>
  </si>
  <si>
    <t>(Col 5)</t>
  </si>
  <si>
    <t>(Col 6)</t>
  </si>
  <si>
    <t>= (C4) - (C5)</t>
  </si>
  <si>
    <t>Accumulated DIT Balance at New Tax Rate</t>
  </si>
  <si>
    <t>Method/Life</t>
  </si>
  <si>
    <t>Federal NOL</t>
  </si>
  <si>
    <t>Total Non-Property Related</t>
  </si>
  <si>
    <r>
      <rPr>
        <b/>
        <u/>
        <sz val="10"/>
        <rFont val="Times New Roman"/>
        <family val="1"/>
      </rPr>
      <t>Line</t>
    </r>
  </si>
  <si>
    <t>205.46.g (Note K) Excluding ARO</t>
  </si>
  <si>
    <t>207.58.g (Note K) Excluding ARO</t>
  </si>
  <si>
    <t>207.75.g (Note K) Excluding ARO</t>
  </si>
  <si>
    <t>Worksheet A3.2</t>
  </si>
  <si>
    <t>Projected transmission-related regulatory commission expenses including projected FERC rate filing costs (i.e. projection of amounts on Worksheet A2, Lines 10-11).</t>
  </si>
  <si>
    <t>A-3.1 EDIT-DDIT</t>
  </si>
  <si>
    <t>Annual Excess and Deficient Accumulated Deferred Income Tax</t>
  </si>
  <si>
    <t>A-3.2 EDIT-DDIT.dtl</t>
  </si>
  <si>
    <t xml:space="preserve">Excess and Deficient Accumulated Deferred Income Tax Remeasurement </t>
  </si>
  <si>
    <t xml:space="preserve">  Net Excess/Deficient Deferred Income Taxes Transmission</t>
  </si>
  <si>
    <t>Amortization of Excess/Deficient Deferred Income Taxes Transmission only (Net)</t>
  </si>
  <si>
    <t>Worksheet A3.1, Line 357 Col (h) (Note X)</t>
  </si>
  <si>
    <t>Form No. 1 Page  (Note I)</t>
  </si>
  <si>
    <t>Account</t>
  </si>
  <si>
    <t>Total Non Plant Non-Protected DDIT/(EDIT)</t>
  </si>
  <si>
    <t>Total Non Plant Non-Protected DDIT/(EDIT) (Net of Tax Gross Up)</t>
  </si>
  <si>
    <t xml:space="preserve">With respect to Projected Transmission Rate filings, each EDIT/DDIT Item must be categorized into balances that require proration and those that do not.  EDIT/DDIT items with a "Plant" Explanation code are generally subject to proration treatment consistent with the proration treatment of plant related ADIT in Account 282.  </t>
  </si>
  <si>
    <t>Figures are the FERC Form No. 1 totals less the ARO balances shown on A4 page 1 lines 29-42.</t>
  </si>
  <si>
    <t>Net Amortization of Excess/Deficient Deferred Income Taxes Transmission only</t>
  </si>
  <si>
    <t>Net Excess/Deficient Deferred Income Tax Adjustment</t>
  </si>
  <si>
    <t>Line 24 + Line 25</t>
  </si>
  <si>
    <t>Line 26 * Line 27</t>
  </si>
  <si>
    <t>Reserved</t>
  </si>
  <si>
    <t>(Line 53)</t>
  </si>
  <si>
    <t>(Line 80)</t>
  </si>
  <si>
    <t xml:space="preserve">  Net Excess/Deficient Deferred Income Taxes (Note C) Transmission only</t>
  </si>
  <si>
    <t>Worksheet A3, Pg 1, Col D, Line 4</t>
  </si>
  <si>
    <t>(Line 107)</t>
  </si>
  <si>
    <t>Line 135 * Line 136</t>
  </si>
  <si>
    <t>The revenue requirement includes the PBOP actual cash outlay (defined as actual benefit payments for the year net of participant contributions plus administrative expenses) and excludes the accrued amount.</t>
  </si>
  <si>
    <t>Removes plant that is not serving a transmission function, including but not limited to any 69kV plant recorded in transmission accounts and/or plant serving a distribution function and/or plant directly-assigned to a transmission customer.</t>
  </si>
  <si>
    <t xml:space="preserve">Removes dollar amount of transmission plant included in the development of OATT ancillary service rates and/or plant more appropriately characterized as production including but not limited to generation step-up facilities.    </t>
  </si>
  <si>
    <t xml:space="preserve">Removes identifiable expenses related to plant excluded from wholesale rates.  </t>
  </si>
  <si>
    <t>(Note C)</t>
  </si>
  <si>
    <t>Calculate using 13 month average balance, reconciling to FERC Form No. 1 by Page, Line, and Column as shown in Worksheet A4 for inputs on page 2 of 5 above, except ADIT.</t>
  </si>
  <si>
    <t>RESA Rider</t>
  </si>
  <si>
    <t>Worksheet A3, Ln 5 Col (d)</t>
  </si>
  <si>
    <t>The Balance reflecting any amortization for the year is calculated using the proration method shown on Worksheet P5-ADIT.</t>
  </si>
  <si>
    <t>Prior to 2021, Black Hills Colorado net its regulatory assets and regulatory liabilities related to deficient deferred income taxes and excess deferred taxes in account 254 or associated subaccounts.  Beginning in 2021, regulatory assets for deficient deferred income taxes are in account 182.3 and regulatory liabilities for excess deferred income taxes are in account 254.</t>
  </si>
  <si>
    <t xml:space="preserve">The "2017 NP" allocation code represents the "NP" allocator applied in formula rate filings for year-ended 2017.  This allocation factor is applied to EDIT because it was the allocator in effect in the year in which the Tax Cuts and Jobs Act ("TCJA") was enacted.  The 2017 Net Plant allocator must remain fixed and will not be updated each year.  In the event the Company populates the data enterable fields for future income tax changes, the Company will support its chosen allocation factor for EDIT or DDIT as just and reasonable in its annual update following a change in tax rates.  </t>
  </si>
  <si>
    <t>Due to a one time refund in 2021 and for purposes of implementing initial rates, the balances on lines 2 and 202 reflect a one-time refund in 2021 rather than 2020 actuals.  This one time adjustment occurred to avoid impacts in future rate years.</t>
  </si>
  <si>
    <t>The true up for the 2022 partial rate year will be prorated for a partial year and supported in a workpaper published according to the Protocols.</t>
  </si>
  <si>
    <t>336.7.f less 336.7.c</t>
  </si>
  <si>
    <t>336.10.f &amp; 336.1.f less 336.10.c &amp; 336.1.c</t>
  </si>
  <si>
    <t>336.11.f less 336.11.c</t>
  </si>
  <si>
    <t>Accumulated Excess / Deficient Deferred Income Taxes ("EDIT"/"DDIT") (Note A, H)</t>
  </si>
  <si>
    <t>Total Non-Protected Property - EDIT (Note K)</t>
  </si>
  <si>
    <t>Total Excess/Deficient Deferred Income Taxes (Note I)</t>
  </si>
  <si>
    <t>Weighted Average EDIT/DDIT Net Plant Allocator</t>
  </si>
  <si>
    <t>Percentage of Avg. Jan -Aug Load 
(Note B)</t>
  </si>
  <si>
    <t>Total Non-Protected Non-Property - DDIT (Note K)</t>
  </si>
  <si>
    <t>Deferred Tax Liability Non Plant (Note K)</t>
  </si>
  <si>
    <t>174 Development &amp; Engineering Costs</t>
  </si>
  <si>
    <t>162 Ordinary &amp; Necessary Business Deductions</t>
  </si>
  <si>
    <t>Construction Work in Progress</t>
  </si>
  <si>
    <t>1603 Grant</t>
  </si>
  <si>
    <t>Non-Protected - Non-Property </t>
  </si>
  <si>
    <t>Grand Total   (= L200 + L400)</t>
  </si>
  <si>
    <t>Worksheet A4, Page 1, Line 14, Col. (e )</t>
  </si>
  <si>
    <t xml:space="preserve">Worksheet A4, Page 3, Line 17, Col. (e) </t>
  </si>
  <si>
    <t>The formula is calculated in two steps.  The first step is to fill out the A tabs, and the Actual Attachment H tab with data from the previous year's Form No. 1 information or other data sources as noted.  This information is used to update the formulas in the Actual Attachment H tab to calculate the Actual Revenue Requirement (Actual ATRR) for the previous year.  The results of this calculation are presented to the customers for review in June of each year.</t>
  </si>
  <si>
    <t>If Black Hills Colorado Electric, LLC includes a new item in the category designated “Other” in line 18 of Page 3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Page 3 of Attachment H or in response to the allocator Black Hills Colorado Electric, LLC utilizes or if FERC institutes a FPA 206 in response to Black Hills Colorado Electric, LLC’s inclusion of a new item in the category designated “Other" in line 18 of Page 3 of Attachment H or in response to the allocator Black Hills Colorado Electric, LLC utilizes, Black Hills Colorado Electric, LLC while not required to make a FPA section 205 filing for such change(s), shall bear a FPA Section 205 burden to show that its inclusion of a new item in the category designated "Other" in line 18 of Page 3 of Attachment H and the associated allocator results in a just and reasonable allocation of costs to OATT Transmission Service.  The foregoing disclosure obligations and retention of burden applies only in the instances described in this note.</t>
  </si>
  <si>
    <t xml:space="preserve">       where WCLTD=(page 4, line 28) and R= (page 4, line 31)</t>
  </si>
  <si>
    <t>End of Year ("EOY") balance is end of current year balance per FERC Form No. 1.</t>
  </si>
  <si>
    <t>Upon a tax rate change, the Company remeasures its deferred tax assets and liabilities to the new applicable corporate tax rate. The result of this remeasurement is a change in the deferred taxes recorded in accounts 190, 282, and 283 with a corresponding change in regulatory assets or liabilities to reflect the impact to customers.  The remeasurement is effectuated mathematically by taking the ADIT balance before the tax rate change and dividing by the prior tax rate to arrive at gross timing differences.  Next, the new tax rate is applied against the balance of gross timing differences.  The difference in the two results is reclassified from ADIT to regulatory assets/liabilities for deficient/excess ADIT.  Accounts 182.3 Regulatory Asset for deficient ADIT and 254 Regulatory Liability for excess ADIT are presented grossed-up for tax purposes as is the amortization.  Black Hills Colorado Electric, LLC would follow the process described above to remeasure ADIT balance (increase or decrease) due to any future income tax rate change.  See Wkpr A3.2-EDIT-DDIT.dtl for detailed derivation.   The FERC Form No. 1 reference in column (a3) will be populated beginning for the twelve months ended December 31, 2021 (2021 FERC Form 1).</t>
  </si>
  <si>
    <t>The determination of an item as "Protected" versus "Non-Protected" has been and will be made in accordance with applicable tax code and regulations.</t>
  </si>
  <si>
    <t>DDIT or EDIT is reduced in the current period under the prescribed amortization method to account 410.1, Provision for Deferred Income Taxes, Utility Operating Income and 411.1, Provision for Deferred Income Taxes—Credit, Utility Operating Income, respectively.</t>
  </si>
  <si>
    <t>(C3) x New Rate</t>
  </si>
  <si>
    <t>Finance Lease Asset</t>
  </si>
  <si>
    <t>Accum. Depreciation - Finance Lease</t>
  </si>
  <si>
    <t>219.20-24.c  Excluding ARO</t>
  </si>
  <si>
    <t>219.25.c Excluding ARO</t>
  </si>
  <si>
    <t>219.26.c Excluding ARO</t>
  </si>
  <si>
    <t>(Line 74 * Line 75)</t>
  </si>
  <si>
    <t>(Line 76 + Line 77)</t>
  </si>
  <si>
    <t>(Line 78 + Line 79)</t>
  </si>
  <si>
    <t>Line 128 + Line 129</t>
  </si>
  <si>
    <t>Line 130</t>
  </si>
  <si>
    <t>(Line 126, Col H)</t>
  </si>
  <si>
    <t>Line 131 + Line 132</t>
  </si>
  <si>
    <t>Line 133</t>
  </si>
  <si>
    <t>(Sum Lines 1 and 2 and 2a)</t>
  </si>
  <si>
    <t>Worksheet A4, Page 1, Line 27, Column (h)</t>
  </si>
  <si>
    <t>(Sum Lines 4 and 5 and 5a)</t>
  </si>
  <si>
    <t>(Sum Lines 7 and 8 and 8a)</t>
  </si>
  <si>
    <t>Worksheet A4, Page 2, Line 14, Column (b) (Note B)</t>
  </si>
  <si>
    <t>Worksheet A4, Page 2, Line 14, Column (c) (Note B)</t>
  </si>
  <si>
    <t xml:space="preserve">Worksheet A8, Page 1, Line 9, Col. (f) </t>
  </si>
  <si>
    <t>Worksheet P2, Column 5, Line 15</t>
  </si>
  <si>
    <t>Worksheet P2, Column 5, Line 16</t>
  </si>
  <si>
    <t>Worksheet P2, Column 5, Line 18</t>
  </si>
  <si>
    <t>Worksheet P2, Column 5, Line 19</t>
  </si>
  <si>
    <t>Worksheet P2, Column 5, Line 20</t>
  </si>
  <si>
    <t>Page 2, Column 3, Line 1</t>
  </si>
  <si>
    <t>(Sum of Lines 1-5)</t>
  </si>
  <si>
    <t>(Sum of Lines 7-11)</t>
  </si>
  <si>
    <t>Intentionally Left Blank</t>
  </si>
  <si>
    <t>Unamortized Abandoned Incentive Plant and Amortization of Abandoned Incentive Plant will be zero absent a FPA Section 205 filing and Commission approval.  The details of the amounts are shown in the workpapers required pursuant to the Projected Net Revenue Requirement and Annual True-up Procedures.</t>
  </si>
  <si>
    <t>Worksheet A4, Page 1, Line 14, Col. (g)   (Note Q)</t>
  </si>
  <si>
    <t>Worksheet A4, Page 2, Line 14, Col. (b) (Note P)</t>
  </si>
  <si>
    <t>Worksheet A4, Page 2, Line 14, Col. (c) (Note N)</t>
  </si>
  <si>
    <t xml:space="preserve">(Note N) </t>
  </si>
  <si>
    <t xml:space="preserve">Recovery of project-specific regulatory assets requires authorization from the Commission.  </t>
  </si>
  <si>
    <t>Rental Income - General</t>
  </si>
  <si>
    <t xml:space="preserve">  Unamortized Regulatory Liability</t>
  </si>
  <si>
    <t>23aa</t>
  </si>
  <si>
    <t>Unamortized Regulatory Liability</t>
  </si>
  <si>
    <t>(Note F)</t>
  </si>
  <si>
    <t>Worksheet A4, Page 1, Line 42, Col. (h) (Note O)</t>
  </si>
  <si>
    <t>228202 RESERVE WORKERS' COMPENSATION</t>
  </si>
  <si>
    <t>228204 RESERVE MEDICAL</t>
  </si>
  <si>
    <t>228300 BENEFITS ACCURAL RETIREE HEALTHCARE</t>
  </si>
  <si>
    <t>228302 BENEFITS ACCRUED PENSION</t>
  </si>
  <si>
    <t>242003 ACCRUED BENEFITS COMP ABSENSCES</t>
  </si>
  <si>
    <t>242009 ACCRUED BENEFITS RETIREE HC CURRENT</t>
  </si>
  <si>
    <t>242014 ACCRUED BONUS OTHER</t>
  </si>
  <si>
    <t>242041 ACCRUED INCENTIVE</t>
  </si>
  <si>
    <t>242052 ACCRUED LT PERFORMANCE PLAN</t>
  </si>
  <si>
    <t>Amount (13 Month Average Balance)</t>
  </si>
  <si>
    <t xml:space="preserve">Allocation (Labor Allocator W/S) </t>
  </si>
  <si>
    <t>Amount Allocated, col. (c) x col. (d)</t>
  </si>
  <si>
    <t>Worksheet A4, Page 2, Line 25, Col. (e)  (Note R)</t>
  </si>
  <si>
    <t>Includes the annual income tax cost due to the Equity AFUDC permanent difference for the amount of book depreciation expense recognized in one period for ratemaking purposes and the amounts recognized for income tax purposes which do not reverse in one or more other periods. T multiplied by the amount of the Equity AFUDC permanent differences and book depreciation expense associated with Allowance for Other Funds Used During Construction will increase or decrease tax expense by the amount of the expense or benefit included on line 24b multiplied by (1/(1-T)).  Source of input data is Company Records.  The permanent difference input is restricted to the Equity AFUDC permanent difference for book depreciation expense and no other income tax adjustments for permanent differences may be included in the formula rate inputs without prior approval by FERC pursuant to FPA section 205 or FPA section 206.</t>
  </si>
  <si>
    <t>16a</t>
  </si>
  <si>
    <t>Worksheet A4, Page 1, Line 42, Column (e) (Note B)</t>
  </si>
  <si>
    <t>The listed Black Hills Colorado plant depreciation rates were approved in Docket ER22-2185 and the BHSC depreciation rates were approved in Docket ER19-697.</t>
  </si>
  <si>
    <t>Reserved. Will not be populated absent approval by FERC.</t>
  </si>
  <si>
    <t>Company Records (Note J)</t>
  </si>
  <si>
    <t>Worksheet A4, Page 1, Line 14, Column (g) (Note B)</t>
  </si>
  <si>
    <t>(Sum lines 1, 3, 5a, 5b, 6, 7 less lines 2, 2a,  5, 5c)</t>
  </si>
  <si>
    <t>TOTAL O&amp;M</t>
  </si>
  <si>
    <t>(Sum of Lines 9, 21, 22, 26.)</t>
  </si>
  <si>
    <t>(i) x (j)</t>
  </si>
  <si>
    <t>(i) x (k)</t>
  </si>
  <si>
    <t>Pg 2 Line 27a Col (l) / 12 + (n)</t>
  </si>
  <si>
    <t>(c )</t>
  </si>
  <si>
    <t>(q) - (p)</t>
  </si>
  <si>
    <t>Proj Att H pg 3, line 21, Col 3</t>
  </si>
  <si>
    <t>(r ) x (s)</t>
  </si>
  <si>
    <t>Pg 2 Line 27a Col M / 12 + (o)</t>
  </si>
  <si>
    <t>(u) - (v)</t>
  </si>
  <si>
    <t>(w) x (x)</t>
  </si>
  <si>
    <t>Actual Attachment H, Page 2 Line 18 Col 5</t>
  </si>
  <si>
    <t>Projected Attachment H, Page 2, Line 9 Col 5</t>
  </si>
  <si>
    <t>Actual Attachment H, Page 3, Line 1, Col 3</t>
  </si>
  <si>
    <t>Actual Attachment H, Page 3, Line 2, Col 3</t>
  </si>
  <si>
    <t>Actual Attachment H, Page 3, Line 2a, Col 3</t>
  </si>
  <si>
    <t>Actual Attachment H, Page 3, Line 3, Col 3</t>
  </si>
  <si>
    <t>Actual Attachment H, Page 3, Line 5, Col 3</t>
  </si>
  <si>
    <t>Actual Attachment H, Page 3, Line 5b, Col 3</t>
  </si>
  <si>
    <t>Actual Attachment H, Page 3, Line 5c, Col 3</t>
  </si>
  <si>
    <t>Actual Attachment H, Page 3, Line 6, Col 3</t>
  </si>
  <si>
    <t>Actual Attachment H, Page 3, Line 7, Col 3</t>
  </si>
  <si>
    <t>Actual Attachment H, Page 3, Line 13, Col 3</t>
  </si>
  <si>
    <t>Actual Attachment H, Page 3, Line 14, Col 3</t>
  </si>
  <si>
    <t>Actual Attachment H, Page 3, Line 16, Col 3</t>
  </si>
  <si>
    <t>Actual Attachment H, Page 3, Line 17, Col 3</t>
  </si>
  <si>
    <t>Actual Attachment H, Page 3, Line 18, Col 3</t>
  </si>
  <si>
    <t>(f) x Line 3 Col (g)</t>
  </si>
  <si>
    <t>(g) + Prev Line, Col (g)</t>
  </si>
  <si>
    <t>(f) - (h)</t>
  </si>
  <si>
    <t>(j) x Line 3, Col (k)</t>
  </si>
  <si>
    <t>(k) + Prev Line, Col (k)</t>
  </si>
  <si>
    <t>(j) - (l)</t>
  </si>
  <si>
    <t>A3.1-EDIT-DDIT, Line 355 Col (c )</t>
  </si>
  <si>
    <t>A3-ADIT, Line 4, Col L</t>
  </si>
  <si>
    <t>P1-Trans Plant, Pg 4 Col (y)</t>
  </si>
  <si>
    <t>Line 115-126 x Proj Att-H, Note A, FIT</t>
  </si>
  <si>
    <t>An FPA Section 205 filing is required to populate this line and identify an appropriate allocator. To the extent applicable, initial input values and workpapers related to Company Records information will be included in the filing.  The details of the amounts are shown in the workpapers required pursuant to the Projected Net Revenue Requirement and Annual True-up Procedures.</t>
  </si>
  <si>
    <t>Recovery of project-specific regulatory assets requires authorization from the Commission.   An FPA Section 205 filing is required to populate this line and identify an appropriate allocator. To the extent applicable, initial input values and workpapers related to Company Records information will be included in the filing.</t>
  </si>
  <si>
    <t>AFUDC ceases when CWIP is recovered in rate base.  No CWIP will be included in rate base on line 18a absent FERC authorization.  An FPA Section 205 filing is required to populate this line and identify an appropriate allocator. To the extent applicable, initial input values and workpapers related to Company Records information will be included in the filing.</t>
  </si>
  <si>
    <t>Permanent Differences - AFUDC Equity</t>
  </si>
  <si>
    <t>Company Records  (Notes T, Y)</t>
  </si>
  <si>
    <t>The effect of the FAS 109 Adjustment to ADIT is to remove deferred taxes included in accounts 190, 282 and 283 that are non-ratemaking in nature.</t>
  </si>
  <si>
    <t>Alternative Fuel Vehicle Tax Credit</t>
  </si>
  <si>
    <t>Asset Retirement Obligation</t>
  </si>
  <si>
    <t>Deferred Regulatory</t>
  </si>
  <si>
    <t>Deferred Tax Asset - Other</t>
  </si>
  <si>
    <t>Deferred Tax Liability Other</t>
  </si>
  <si>
    <t>EDIT Exclude</t>
  </si>
  <si>
    <t>Energy Cost Adjusment</t>
  </si>
  <si>
    <t>Equity AFUDC</t>
  </si>
  <si>
    <t>Federal Research and Development Tax Credits</t>
  </si>
  <si>
    <t>Goodwill</t>
  </si>
  <si>
    <t>Like Kind Exchange</t>
  </si>
  <si>
    <t>Line Extension Deposit</t>
  </si>
  <si>
    <t>Operating Leases</t>
  </si>
  <si>
    <t xml:space="preserve">Production Tax Credits </t>
  </si>
  <si>
    <t>Rate Case Expenses</t>
  </si>
  <si>
    <t>Rate Refund</t>
  </si>
  <si>
    <t>Regulatory Asset</t>
  </si>
  <si>
    <t>Renewable Energy Standard Rider</t>
  </si>
  <si>
    <t>State ADIT Exclude</t>
  </si>
  <si>
    <t>State Investment Tax Credits</t>
  </si>
  <si>
    <t>State Research and Development Tax Credits</t>
  </si>
  <si>
    <t>Winter Storm Uri</t>
  </si>
  <si>
    <t>Worksheet A3, Page 1, Line 200</t>
  </si>
  <si>
    <t>350.1b</t>
  </si>
  <si>
    <t>263.5l, 263.6l, &amp; 263.7l</t>
  </si>
  <si>
    <t>263.3l</t>
  </si>
  <si>
    <t>263.4l</t>
  </si>
  <si>
    <t>Transmission System Monthly Loads (kW) (Note A)</t>
  </si>
  <si>
    <t>Transmission System Load for Jan-Aug (kW)</t>
  </si>
  <si>
    <t>Monthly Transmission Loads as Percentage of the Average Total Loads of Jan-Aug (Worksheet A6)</t>
  </si>
  <si>
    <t>Avg Monthly Transmission Load for Jan-Aug (Col e, line 2-9)</t>
  </si>
  <si>
    <t>Estimated Monthly Transmission Load for Sep-Dec ( Col. b  * c)</t>
  </si>
  <si>
    <t>Projected Transmission Load</t>
  </si>
  <si>
    <r>
      <t>Column b</t>
    </r>
    <r>
      <rPr>
        <sz val="10"/>
        <rFont val="Times New Roman"/>
        <family val="1"/>
      </rPr>
      <t xml:space="preserve"> is the monthly transmission load for September, October, November and December as a percentage of the average of the monthly transmission load values for January through August, based on monthly load values in Worksheet A6.</t>
    </r>
  </si>
  <si>
    <r>
      <t>Column c</t>
    </r>
    <r>
      <rPr>
        <sz val="10"/>
        <rFont val="Times New Roman"/>
        <family val="1"/>
      </rPr>
      <t xml:space="preserve"> is average (January through August) of monthly transmission load in column e.</t>
    </r>
  </si>
  <si>
    <t xml:space="preserve">Projected Divisor </t>
  </si>
  <si>
    <t>P3-Divisor</t>
  </si>
  <si>
    <t xml:space="preserve">Actual Divisor </t>
  </si>
  <si>
    <t xml:space="preserve">This placeholder can only be populated upon an order by the Commission pursuant to a FPA Section 205 or 206 filing. If a transmission customer makes a FPA Section 206 filing seeking a Commission order requiring Black Hills Colorado to populate this line, Black Hills Colorado will bear the burden of proof to demonstrate why inclusion is not appropriate.  The applicable burden will be commensurate with that otherwise applicable in a FPA Section 205 filing. </t>
  </si>
  <si>
    <t>Lines 20 and 21 of column (b) identify revenues from Short-Term Firm Point to Point Transmission Service (“SFP”) and Non-Firm Transmission Service (“NF”) as those services are defined within, and required to be reported in, the FERC Form 1 at pages 328-330 (or as those page identifiers may be revised by the Commission from time to time). The revenues identified in this Worksheet A1, Lines 20 and 21 column (b) and aggregated at line 42 of column (b) of this Worksheet A1 are credited against the gross ATRR on Actual Attachment H, page 1, line 3.  To the extent, SFP or NF on the Black Hills Colorado transmission system was required in association with  Sales for Resale (as defined on the FERC Form 1 at pages 310-311 or as those page identifiers may be revised by the Commission from time to time), the SFP or NF revenue would be reported on the operative pages of the FERC Form 1, included in Lines 20 and 21 of this Worksheet A1 at column (b) and would be included in the revenue credit on Actual Attachment H, page 1, line 3.</t>
  </si>
  <si>
    <t>This placeholder can only be populated upon an order by the Commission pursuant to a FPA Section 205 or 206 filing. If a transmission customer makes a FPA Section 206 filing seeking a Commission order requiring Black Hills Colorado to populate this placeholder, Black Hills Colorado will bear the burden of proof to demonstrate why inclusion is not appropriate.  The applicable burden will be commensurate with that otherwise applicable in a FPA Section 205 filing</t>
  </si>
  <si>
    <t>Company populates the formula rate using projected costs for Year 3</t>
  </si>
  <si>
    <t xml:space="preserve">The TU (True-up) tab uses the revenue requirement from the Actual Attachment H tab and compares it to the revenue requirement from the Projected Attachment H tab that customers were billed for the same period. </t>
  </si>
  <si>
    <t xml:space="preserve">True-up Adjustment </t>
  </si>
  <si>
    <t>208.8.e, 205.5.g &amp; 207.99.g (Note K) Excluding ARO</t>
  </si>
  <si>
    <t>The list of accounts to be included as unfunded reserves is fixed and cannot be changed absent an FPA Section 205 or FPA 206 application and an accompanying FERC Order.  Input 100% of the 13 Month Average Balance in the Column entitled "Amount (12 Month Average Balance)" and use the wages and salaries allocator to determine the allocated amount to be used as an Unfunded Reserve Credit.</t>
  </si>
  <si>
    <t>Line 3 Col (f) + Col (e )</t>
  </si>
  <si>
    <t>Line 3 Col (h) + Col (g)</t>
  </si>
  <si>
    <t>(r )</t>
  </si>
  <si>
    <t>216.x.b</t>
  </si>
  <si>
    <t>216.x.d</t>
  </si>
  <si>
    <t>201.14.e, 219.28.c &amp; 200.21.c Excluding ARO</t>
  </si>
  <si>
    <t>Reserved for future use; will not be populated absent approval by FERC.</t>
  </si>
  <si>
    <t>Enter the Projected Revenue Requirement for the Actual period.</t>
  </si>
  <si>
    <t xml:space="preserve">Prior Period Adjustment, if any, is calculated to the same timing basis as balance of true up.  Work-papers for the Prior Period Adjustment calculation will be included in supporting documentation.  Black Hills Colorado Electric, LLC will only use the Prior Period Adjustment in the following circumstances and only if the error discovered would have impacted Black Hills Colorado’s calculation of the True-Up Amount in a prior Rate Year: (1) Black Hills Colorado Electric, LLC discovers a error in a previously filed FERC Form 1 (filed outside the current Rate Year), (2) Black Hills Colorado Electric, LLC discovers an error in books and records actually used to populate an input in the formula rate and the discovery is outside the current Rate Year, or (3) Black Hills Colorado Electric, LLC is required by applicable law, a court, or regulatory body to correct an error outside the current Rate Year.  If an error falls within one of these three categories and negatively impacted customers in Black Hills Colorado Electric, LLC’s calculation of a prior Rate Year’s True-Up Amount, Black Hills Colorado Electric, LLC will re-calculate the True-Up Amount for affected years.  </t>
  </si>
  <si>
    <t>Actuals - For the 12 months ended 12/31/2022</t>
  </si>
  <si>
    <t>2022</t>
  </si>
  <si>
    <t>182.3</t>
  </si>
  <si>
    <t>254</t>
  </si>
  <si>
    <t xml:space="preserve">2017
</t>
  </si>
  <si>
    <t xml:space="preserve">OTHER PLANT ALLOCATOR  (OE) </t>
  </si>
  <si>
    <t>OE</t>
  </si>
  <si>
    <t>Rental Income - Other</t>
  </si>
  <si>
    <t>201.8. e,f,g,h (Note K) Excluding ARO</t>
  </si>
  <si>
    <t>201.14.e,f,g,h (Note K) Excluding ARO</t>
  </si>
  <si>
    <t>The Tax Effect of a Permanent Difference captures the differences in the income taxes due under the Federal and State calculations and the income taxes calculated in Attachment H that are not the result of timing differences. Only equity AFUDC is includable as a permanent difference.</t>
  </si>
  <si>
    <t>Other Plant-Related Prepaid Items</t>
  </si>
  <si>
    <t>A credit will be provided only if the rent revenue received is associated with other or general plant otherwise included in the formula rate.</t>
  </si>
  <si>
    <t>Prepaid Items (allocated by Other Plant Allocator)</t>
  </si>
  <si>
    <t>Estimated - For the 12 months ended 12/31/2024</t>
  </si>
  <si>
    <t>Plant Balances as of Dec 31, 2022 &gt;</t>
  </si>
  <si>
    <t>Applies only to projects authorized by the Commission.  The source of the information is the Company Records. To the extent applicable, Black Hills Colorado will include initial input values and workpapers tied to Company Records in any Commission filing.</t>
  </si>
  <si>
    <t>Following the termination of the 3-year Moratorium set out in the Commission approved Settlement Agreement in Docket No. ER22-2185-000, the ROE input and the capital structure cannot be changed without an order by FERC pursuant to a FPA Section 205 or 206 filing.  The cost rate for the long-term debt will be derived with reference to the weighted average cost of Black Hills Colorado's long-term bond portfolio excluding two components: first mortgage bonds (indentures) held in the name of affiliate Black Hills Power, Inc. and first mortgage bonds (indentures) held in the name of affiliate Cheyenne Light, Fuel and Power Company.  Black Hills Colorado will not exclude any other component of Black Hills Corporation's long-term bond portfolio from its cost rate of long-term debt calculation without making a FPA Section 205 filing. The cost rate for long-term debt will be sourced from a workpaper.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</si>
</sst>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206">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
      <sz val="11"/>
      <color theme="1"/>
      <name val="Times New Roman"/>
      <family val="1"/>
    </font>
    <font>
      <sz val="10"/>
      <color rgb="FF000000"/>
      <name val="Times New Roman"/>
      <family val="1"/>
    </font>
    <font>
      <sz val="10"/>
      <color rgb="FF0000CC"/>
      <name val="Times New Roman"/>
      <family val="1"/>
    </font>
    <font>
      <sz val="10"/>
      <color rgb="FF0000FF"/>
      <name val="Times New Roman"/>
      <family val="1"/>
    </font>
    <font>
      <b/>
      <sz val="8"/>
      <color rgb="FFFF0000"/>
      <name val="Times New Roman"/>
      <family val="1"/>
    </font>
    <font>
      <b/>
      <sz val="10"/>
      <color rgb="FF000000"/>
      <name val="Times New Roman"/>
      <family val="1"/>
    </font>
    <font>
      <sz val="9"/>
      <color theme="1"/>
      <name val="Times New Roman"/>
      <family val="1"/>
    </font>
    <font>
      <sz val="12"/>
      <color theme="1"/>
      <name val="Times New Roman"/>
      <family val="1"/>
    </font>
    <font>
      <sz val="8"/>
      <color theme="1"/>
      <name val="Times New Roman"/>
      <family val="1"/>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66">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s>
  <cellStyleXfs count="4699">
    <xf numFmtId="172" fontId="0" fillId="0" borderId="0" applyProtection="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0" fontId="10" fillId="0" borderId="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38" borderId="0" applyNumberFormat="0" applyBorder="0" applyAlignment="0" applyProtection="0"/>
    <xf numFmtId="0" fontId="32" fillId="41" borderId="0" applyNumberFormat="0" applyBorder="0" applyAlignment="0" applyProtection="0"/>
    <xf numFmtId="0" fontId="32" fillId="44" borderId="0" applyNumberFormat="0" applyBorder="0" applyAlignment="0" applyProtection="0"/>
    <xf numFmtId="0" fontId="33" fillId="45"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38" fontId="34" fillId="0" borderId="0" applyBorder="0" applyAlignment="0"/>
    <xf numFmtId="175" fontId="30" fillId="53" borderId="16">
      <alignment horizontal="center" vertical="center"/>
    </xf>
    <xf numFmtId="176" fontId="10" fillId="0" borderId="17">
      <alignment horizontal="left"/>
    </xf>
    <xf numFmtId="0" fontId="35" fillId="0" borderId="0"/>
    <xf numFmtId="0" fontId="36" fillId="36" borderId="0" applyNumberFormat="0" applyBorder="0" applyAlignment="0" applyProtection="0"/>
    <xf numFmtId="0" fontId="37" fillId="0" borderId="0" applyNumberFormat="0" applyFill="0" applyBorder="0" applyAlignment="0" applyProtection="0"/>
    <xf numFmtId="177" fontId="38" fillId="0" borderId="1" applyNumberFormat="0" applyFill="0" applyAlignment="0" applyProtection="0">
      <alignment horizontal="center"/>
    </xf>
    <xf numFmtId="178" fontId="38" fillId="0" borderId="3" applyFill="0" applyAlignment="0" applyProtection="0">
      <alignment horizontal="center"/>
    </xf>
    <xf numFmtId="38" fontId="10" fillId="0" borderId="0">
      <alignment horizontal="right"/>
    </xf>
    <xf numFmtId="37" fontId="39" fillId="0" borderId="0" applyFill="0">
      <alignment horizontal="right"/>
    </xf>
    <xf numFmtId="37" fontId="39" fillId="0" borderId="0">
      <alignment horizontal="right"/>
    </xf>
    <xf numFmtId="0" fontId="39" fillId="0" borderId="0" applyFill="0">
      <alignment horizontal="center"/>
    </xf>
    <xf numFmtId="37" fontId="39" fillId="0" borderId="18" applyFill="0">
      <alignment horizontal="right"/>
    </xf>
    <xf numFmtId="37" fontId="39" fillId="0" borderId="0">
      <alignment horizontal="right"/>
    </xf>
    <xf numFmtId="0" fontId="40" fillId="0" borderId="0" applyFill="0">
      <alignment vertical="top"/>
    </xf>
    <xf numFmtId="0" fontId="41" fillId="0" borderId="0" applyFill="0">
      <alignment horizontal="left" vertical="top"/>
    </xf>
    <xf numFmtId="37" fontId="39" fillId="0" borderId="4" applyFill="0">
      <alignment horizontal="right"/>
    </xf>
    <xf numFmtId="0" fontId="10" fillId="0" borderId="0" applyNumberFormat="0" applyFont="0" applyAlignment="0"/>
    <xf numFmtId="0" fontId="40" fillId="0" borderId="0" applyFill="0">
      <alignment wrapText="1"/>
    </xf>
    <xf numFmtId="0" fontId="41"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3" fillId="0" borderId="0" applyFill="0">
      <alignment vertical="top" wrapText="1"/>
    </xf>
    <xf numFmtId="0" fontId="29"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4" fillId="0" borderId="0" applyFill="0">
      <alignment vertical="center" wrapText="1"/>
    </xf>
    <xf numFmtId="0" fontId="28" fillId="0" borderId="0">
      <alignment horizontal="left" vertical="center" wrapText="1"/>
    </xf>
    <xf numFmtId="37" fontId="39" fillId="0" borderId="0" applyFill="0">
      <alignment horizontal="right"/>
    </xf>
    <xf numFmtId="0" fontId="42" fillId="0" borderId="0" applyNumberFormat="0" applyFont="0" applyAlignment="0">
      <alignment horizontal="center"/>
    </xf>
    <xf numFmtId="0" fontId="45" fillId="0" borderId="0" applyFill="0">
      <alignment horizontal="center" vertical="center" wrapText="1"/>
    </xf>
    <xf numFmtId="0" fontId="10"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7" fillId="0" borderId="0" applyFill="0">
      <alignment horizontal="center" vertical="center" wrapText="1"/>
    </xf>
    <xf numFmtId="0" fontId="48"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9" fillId="0" borderId="0">
      <alignment horizontal="center" wrapText="1"/>
    </xf>
    <xf numFmtId="0" fontId="50" fillId="0" borderId="0" applyFill="0">
      <alignment horizontal="center" wrapText="1"/>
    </xf>
    <xf numFmtId="0" fontId="51" fillId="54" borderId="19" applyNumberFormat="0" applyAlignment="0" applyProtection="0"/>
    <xf numFmtId="0" fontId="52" fillId="55" borderId="20" applyNumberFormat="0" applyAlignment="0" applyProtection="0"/>
    <xf numFmtId="179" fontId="31" fillId="0" borderId="0" applyFont="0" applyFill="0" applyBorder="0" applyAlignment="0" applyProtection="0"/>
    <xf numFmtId="43" fontId="8" fillId="0" borderId="0" applyFont="0" applyFill="0" applyBorder="0" applyAlignment="0" applyProtection="0"/>
    <xf numFmtId="43" fontId="53" fillId="0" borderId="0" applyFont="0" applyFill="0" applyBorder="0" applyAlignment="0" applyProtection="0"/>
    <xf numFmtId="0" fontId="54" fillId="0" borderId="0"/>
    <xf numFmtId="44" fontId="10" fillId="0" borderId="0" applyFont="0" applyFill="0" applyBorder="0" applyAlignment="0" applyProtection="0"/>
    <xf numFmtId="180" fontId="10" fillId="0" borderId="17">
      <alignment horizontal="center"/>
    </xf>
    <xf numFmtId="181" fontId="55" fillId="0" borderId="0" applyFont="0" applyFill="0" applyBorder="0" applyAlignment="0" applyProtection="0"/>
    <xf numFmtId="0" fontId="56" fillId="0" borderId="0" applyNumberFormat="0" applyFill="0" applyBorder="0" applyAlignment="0" applyProtection="0"/>
    <xf numFmtId="182" fontId="10" fillId="0" borderId="0">
      <protection locked="0"/>
    </xf>
    <xf numFmtId="0" fontId="57" fillId="0" borderId="0"/>
    <xf numFmtId="0" fontId="58" fillId="0" borderId="0"/>
    <xf numFmtId="0" fontId="59" fillId="0" borderId="0"/>
    <xf numFmtId="0" fontId="60" fillId="37" borderId="0" applyNumberFormat="0" applyBorder="0" applyAlignment="0" applyProtection="0"/>
    <xf numFmtId="38" fontId="39" fillId="56" borderId="0" applyNumberFormat="0" applyBorder="0" applyAlignment="0" applyProtection="0"/>
    <xf numFmtId="0" fontId="61" fillId="0" borderId="0" applyNumberFormat="0" applyFill="0" applyBorder="0" applyAlignment="0" applyProtection="0"/>
    <xf numFmtId="0" fontId="29" fillId="0" borderId="21" applyNumberFormat="0" applyAlignment="0" applyProtection="0">
      <alignment horizontal="left" vertical="center"/>
    </xf>
    <xf numFmtId="0" fontId="29" fillId="0" borderId="15">
      <alignment horizontal="left" vertical="center"/>
    </xf>
    <xf numFmtId="0" fontId="62" fillId="0" borderId="0">
      <alignment horizontal="center"/>
    </xf>
    <xf numFmtId="0" fontId="63" fillId="0" borderId="22" applyNumberFormat="0" applyFill="0" applyAlignment="0" applyProtection="0"/>
    <xf numFmtId="0" fontId="64" fillId="0" borderId="23" applyNumberFormat="0" applyFill="0" applyAlignment="0" applyProtection="0"/>
    <xf numFmtId="0" fontId="65" fillId="0" borderId="24" applyNumberFormat="0" applyFill="0" applyAlignment="0" applyProtection="0"/>
    <xf numFmtId="0" fontId="65" fillId="0" borderId="0" applyNumberFormat="0" applyFill="0" applyBorder="0" applyAlignment="0" applyProtection="0"/>
    <xf numFmtId="183" fontId="10" fillId="0" borderId="0">
      <protection locked="0"/>
    </xf>
    <xf numFmtId="183" fontId="10" fillId="0" borderId="0">
      <protection locked="0"/>
    </xf>
    <xf numFmtId="0" fontId="66" fillId="0" borderId="25" applyNumberFormat="0" applyFill="0" applyAlignment="0" applyProtection="0"/>
    <xf numFmtId="10" fontId="39" fillId="57" borderId="17" applyNumberFormat="0" applyBorder="0" applyAlignment="0" applyProtection="0"/>
    <xf numFmtId="0" fontId="67" fillId="40" borderId="19" applyNumberFormat="0" applyAlignment="0" applyProtection="0"/>
    <xf numFmtId="0" fontId="39" fillId="56" borderId="0"/>
    <xf numFmtId="0" fontId="68" fillId="0" borderId="26" applyNumberFormat="0" applyFill="0" applyAlignment="0" applyProtection="0"/>
    <xf numFmtId="184" fontId="10" fillId="0" borderId="17">
      <alignment horizontal="center"/>
    </xf>
    <xf numFmtId="185" fontId="69" fillId="0" borderId="0"/>
    <xf numFmtId="17" fontId="70" fillId="0" borderId="0">
      <alignment horizontal="center"/>
    </xf>
    <xf numFmtId="186" fontId="10" fillId="0" borderId="0" applyFont="0" applyFill="0" applyBorder="0" applyAlignment="0" applyProtection="0"/>
    <xf numFmtId="187" fontId="10" fillId="0" borderId="0" applyFont="0" applyFill="0" applyBorder="0" applyAlignment="0" applyProtection="0"/>
    <xf numFmtId="0" fontId="71" fillId="58" borderId="0" applyNumberFormat="0" applyBorder="0" applyAlignment="0" applyProtection="0"/>
    <xf numFmtId="43" fontId="72" fillId="0" borderId="0" applyNumberFormat="0" applyFill="0" applyBorder="0" applyAlignment="0" applyProtection="0"/>
    <xf numFmtId="0" fontId="38" fillId="0" borderId="0" applyNumberFormat="0" applyFill="0" applyAlignment="0" applyProtection="0"/>
    <xf numFmtId="37" fontId="73" fillId="0" borderId="0"/>
    <xf numFmtId="188" fontId="74" fillId="0" borderId="0"/>
    <xf numFmtId="172" fontId="11" fillId="0" borderId="0" applyProtection="0"/>
    <xf numFmtId="0" fontId="10" fillId="0" borderId="0"/>
    <xf numFmtId="0" fontId="8" fillId="0" borderId="0"/>
    <xf numFmtId="0" fontId="53" fillId="0" borderId="0"/>
    <xf numFmtId="0" fontId="10" fillId="0" borderId="17">
      <alignment horizontal="center" wrapText="1"/>
    </xf>
    <xf numFmtId="2" fontId="10" fillId="0" borderId="17">
      <alignment horizontal="center"/>
    </xf>
    <xf numFmtId="189" fontId="75" fillId="0" borderId="17" applyFont="0">
      <alignment horizontal="center"/>
    </xf>
    <xf numFmtId="0" fontId="10" fillId="59" borderId="27" applyNumberFormat="0" applyFont="0" applyAlignment="0" applyProtection="0"/>
    <xf numFmtId="1" fontId="10" fillId="0" borderId="17">
      <alignment horizontal="center"/>
    </xf>
    <xf numFmtId="0" fontId="76" fillId="54" borderId="28" applyNumberFormat="0" applyAlignment="0" applyProtection="0"/>
    <xf numFmtId="10" fontId="10" fillId="0" borderId="0" applyFont="0" applyFill="0" applyBorder="0" applyAlignment="0" applyProtection="0"/>
    <xf numFmtId="0" fontId="31" fillId="0" borderId="0" applyNumberFormat="0" applyFont="0" applyFill="0" applyBorder="0" applyAlignment="0" applyProtection="0">
      <alignment horizontal="left"/>
    </xf>
    <xf numFmtId="15" fontId="31" fillId="0" borderId="0" applyFont="0" applyFill="0" applyBorder="0" applyAlignment="0" applyProtection="0"/>
    <xf numFmtId="4" fontId="31" fillId="0" borderId="0" applyFont="0" applyFill="0" applyBorder="0" applyAlignment="0" applyProtection="0"/>
    <xf numFmtId="0" fontId="77" fillId="0" borderId="1">
      <alignment horizontal="center"/>
    </xf>
    <xf numFmtId="3" fontId="31" fillId="0" borderId="0" applyFont="0" applyFill="0" applyBorder="0" applyAlignment="0" applyProtection="0"/>
    <xf numFmtId="0" fontId="31" fillId="60" borderId="0" applyNumberFormat="0" applyFont="0" applyBorder="0" applyAlignment="0" applyProtection="0"/>
    <xf numFmtId="37" fontId="39" fillId="56" borderId="0" applyFill="0">
      <alignment horizontal="right"/>
    </xf>
    <xf numFmtId="0" fontId="46" fillId="0" borderId="0">
      <alignment horizontal="left"/>
    </xf>
    <xf numFmtId="0" fontId="39" fillId="0" borderId="0" applyFill="0">
      <alignment horizontal="left"/>
    </xf>
    <xf numFmtId="37" fontId="39" fillId="0" borderId="3" applyFill="0">
      <alignment horizontal="right"/>
    </xf>
    <xf numFmtId="0" fontId="75" fillId="0" borderId="17" applyNumberFormat="0" applyFont="0" applyBorder="0">
      <alignment horizontal="right"/>
    </xf>
    <xf numFmtId="0" fontId="78" fillId="0" borderId="0" applyFill="0"/>
    <xf numFmtId="0" fontId="39" fillId="0" borderId="0" applyFill="0">
      <alignment horizontal="left"/>
    </xf>
    <xf numFmtId="190" fontId="39" fillId="0" borderId="3" applyFill="0">
      <alignment horizontal="right"/>
    </xf>
    <xf numFmtId="0" fontId="10" fillId="0" borderId="0" applyNumberFormat="0" applyFont="0" applyBorder="0" applyAlignment="0"/>
    <xf numFmtId="0" fontId="43" fillId="0" borderId="0" applyFill="0">
      <alignment horizontal="left" indent="1"/>
    </xf>
    <xf numFmtId="0" fontId="46" fillId="0" borderId="0" applyFill="0">
      <alignment horizontal="left"/>
    </xf>
    <xf numFmtId="37" fontId="39" fillId="0" borderId="0" applyFill="0">
      <alignment horizontal="right"/>
    </xf>
    <xf numFmtId="0" fontId="10" fillId="0" borderId="0" applyNumberFormat="0" applyFont="0" applyFill="0" applyBorder="0" applyAlignment="0"/>
    <xf numFmtId="0" fontId="43" fillId="0" borderId="0" applyFill="0">
      <alignment horizontal="left" indent="2"/>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79" fillId="0" borderId="0">
      <alignment horizontal="left" indent="3"/>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45" fillId="0" borderId="0">
      <alignment horizontal="left" indent="4"/>
    </xf>
    <xf numFmtId="0" fontId="39" fillId="0" borderId="0" applyFill="0">
      <alignment horizontal="left"/>
    </xf>
    <xf numFmtId="37" fontId="46" fillId="0" borderId="0" applyFill="0">
      <alignment horizontal="right"/>
    </xf>
    <xf numFmtId="0" fontId="10" fillId="0" borderId="0" applyNumberFormat="0" applyFont="0" applyBorder="0" applyAlignment="0"/>
    <xf numFmtId="0" fontId="47" fillId="0" borderId="0">
      <alignment horizontal="left" indent="5"/>
    </xf>
    <xf numFmtId="0" fontId="46" fillId="0" borderId="0" applyFill="0">
      <alignment horizontal="left"/>
    </xf>
    <xf numFmtId="37" fontId="46" fillId="0" borderId="0" applyFill="0">
      <alignment horizontal="right"/>
    </xf>
    <xf numFmtId="0" fontId="10" fillId="0" borderId="0" applyNumberFormat="0" applyFont="0" applyFill="0" applyBorder="0" applyAlignment="0"/>
    <xf numFmtId="0" fontId="49" fillId="0" borderId="0" applyFill="0">
      <alignment horizontal="left" indent="6"/>
    </xf>
    <xf numFmtId="0" fontId="46" fillId="0" borderId="0" applyFill="0">
      <alignment horizontal="left"/>
    </xf>
    <xf numFmtId="38" fontId="80" fillId="2" borderId="3">
      <alignment horizontal="right"/>
    </xf>
    <xf numFmtId="38" fontId="10" fillId="61" borderId="0" applyNumberFormat="0" applyFont="0" applyBorder="0" applyAlignment="0" applyProtection="0"/>
    <xf numFmtId="0" fontId="81" fillId="0" borderId="0" applyNumberFormat="0" applyAlignment="0">
      <alignment horizontal="centerContinuous"/>
    </xf>
    <xf numFmtId="0" fontId="38" fillId="0" borderId="3" applyNumberFormat="0" applyFill="0" applyAlignment="0" applyProtection="0"/>
    <xf numFmtId="37" fontId="82" fillId="0" borderId="0" applyNumberFormat="0">
      <alignment horizontal="left"/>
    </xf>
    <xf numFmtId="191" fontId="10" fillId="0" borderId="17">
      <alignment horizontal="center" wrapText="1"/>
    </xf>
    <xf numFmtId="38" fontId="31" fillId="0" borderId="0" applyFont="0" applyFill="0" applyBorder="0" applyAlignment="0" applyProtection="0"/>
    <xf numFmtId="38" fontId="31" fillId="0" borderId="0" applyFont="0" applyFill="0" applyBorder="0" applyAlignment="0" applyProtection="0"/>
    <xf numFmtId="0" fontId="10" fillId="0" borderId="0" applyNumberFormat="0" applyFill="0" applyBorder="0" applyProtection="0">
      <alignment horizontal="right" wrapText="1"/>
    </xf>
    <xf numFmtId="192" fontId="10" fillId="0" borderId="0" applyFill="0" applyBorder="0" applyAlignment="0" applyProtection="0">
      <alignment wrapText="1"/>
    </xf>
    <xf numFmtId="37" fontId="83" fillId="0" borderId="0" applyNumberFormat="0">
      <alignment horizontal="left"/>
    </xf>
    <xf numFmtId="37" fontId="84" fillId="0" borderId="0" applyNumberFormat="0">
      <alignment horizontal="left"/>
    </xf>
    <xf numFmtId="37" fontId="85" fillId="0" borderId="0" applyNumberFormat="0">
      <alignment horizontal="left"/>
    </xf>
    <xf numFmtId="185" fontId="86" fillId="0" borderId="0"/>
    <xf numFmtId="40" fontId="87" fillId="0" borderId="0"/>
    <xf numFmtId="0" fontId="88" fillId="0" borderId="0" applyNumberFormat="0" applyFill="0" applyBorder="0" applyAlignment="0" applyProtection="0"/>
    <xf numFmtId="0" fontId="89" fillId="0" borderId="29" applyNumberFormat="0" applyFill="0" applyAlignment="0" applyProtection="0"/>
    <xf numFmtId="37" fontId="39" fillId="2" borderId="0" applyNumberFormat="0" applyBorder="0" applyAlignment="0" applyProtection="0"/>
    <xf numFmtId="37" fontId="39" fillId="0" borderId="0"/>
    <xf numFmtId="3" fontId="90" fillId="0" borderId="25" applyProtection="0"/>
    <xf numFmtId="0" fontId="91" fillId="0" borderId="0" applyNumberForma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20"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92"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32"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13"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92" fillId="29"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4"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3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93"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93"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93"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93"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94"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95" fillId="8"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96"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2"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98"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99"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1"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3" fillId="0" borderId="6"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5" fillId="0" borderId="7"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6" fillId="0" borderId="0" applyNumberFormat="0" applyFill="0" applyBorder="0" applyAlignment="0" applyProtection="0">
      <alignment vertical="top"/>
      <protection locked="0"/>
    </xf>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107" fillId="7"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108"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9"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8" fillId="0" borderId="0"/>
    <xf numFmtId="0" fontId="8" fillId="0" borderId="0"/>
    <xf numFmtId="0" fontId="8" fillId="0" borderId="0"/>
    <xf numFmtId="0" fontId="8"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92" fillId="10" borderId="12"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111" fillId="8"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113"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11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172" fontId="11" fillId="0" borderId="0" applyProtection="0"/>
    <xf numFmtId="0" fontId="30" fillId="0" borderId="0"/>
    <xf numFmtId="0" fontId="10" fillId="0" borderId="0"/>
    <xf numFmtId="194" fontId="10" fillId="65" borderId="0" applyNumberFormat="0" applyFill="0" applyBorder="0" applyAlignment="0" applyProtection="0">
      <alignment horizontal="right" vertical="center"/>
    </xf>
    <xf numFmtId="194" fontId="66" fillId="0" borderId="0" applyNumberFormat="0" applyFill="0" applyBorder="0" applyAlignment="0" applyProtection="0"/>
    <xf numFmtId="0" fontId="10" fillId="0" borderId="3" applyNumberFormat="0" applyFont="0" applyFill="0" applyAlignment="0" applyProtection="0"/>
    <xf numFmtId="195" fontId="9" fillId="0" borderId="0" applyFont="0" applyFill="0" applyBorder="0" applyAlignment="0" applyProtection="0"/>
    <xf numFmtId="37" fontId="115" fillId="0" borderId="0" applyFont="0" applyFill="0" applyBorder="0" applyAlignment="0" applyProtection="0">
      <alignment vertical="center"/>
      <protection locked="0"/>
    </xf>
    <xf numFmtId="196" fontId="30" fillId="0" borderId="0" applyFont="0" applyFill="0" applyBorder="0" applyAlignment="0" applyProtection="0"/>
    <xf numFmtId="0" fontId="116" fillId="0" borderId="0"/>
    <xf numFmtId="0" fontId="10" fillId="0" borderId="0" applyFill="0">
      <alignment horizontal="center" vertical="center" wrapText="1"/>
    </xf>
    <xf numFmtId="185" fontId="117" fillId="0" borderId="0" applyFont="0" applyFill="0" applyBorder="0" applyAlignment="0" applyProtection="0">
      <protection locked="0"/>
    </xf>
    <xf numFmtId="197" fontId="117" fillId="0" borderId="0" applyFont="0" applyFill="0" applyBorder="0" applyAlignment="0" applyProtection="0">
      <protection locked="0"/>
    </xf>
    <xf numFmtId="39" fontId="10" fillId="0" borderId="0" applyFont="0" applyFill="0" applyBorder="0" applyAlignment="0" applyProtection="0"/>
    <xf numFmtId="198" fontId="118" fillId="0" borderId="0" applyFont="0" applyFill="0" applyBorder="0" applyAlignment="0" applyProtection="0"/>
    <xf numFmtId="199" fontId="30" fillId="0" borderId="0" applyFont="0" applyFill="0" applyBorder="0" applyAlignment="0" applyProtection="0"/>
    <xf numFmtId="0" fontId="10" fillId="0" borderId="3" applyNumberFormat="0" applyFont="0" applyFill="0" applyBorder="0" applyProtection="0">
      <alignment horizontal="centerContinuous" vertical="center"/>
    </xf>
    <xf numFmtId="0" fontId="119" fillId="0" borderId="0" applyFill="0" applyBorder="0" applyProtection="0">
      <alignment horizontal="center"/>
      <protection locked="0"/>
    </xf>
    <xf numFmtId="41" fontId="92" fillId="0" borderId="0" applyFont="0" applyFill="0" applyBorder="0" applyAlignment="0" applyProtection="0"/>
    <xf numFmtId="41" fontId="8" fillId="0" borderId="0" applyFont="0" applyFill="0" applyBorder="0" applyAlignment="0" applyProtection="0"/>
    <xf numFmtId="200" fontId="38" fillId="0" borderId="0" applyFont="0" applyFill="0" applyBorder="0" applyAlignment="0" applyProtection="0"/>
    <xf numFmtId="201" fontId="120" fillId="0" borderId="0" applyFont="0" applyFill="0" applyBorder="0" applyAlignment="0" applyProtection="0"/>
    <xf numFmtId="202" fontId="120" fillId="0" borderId="0" applyFont="0" applyFill="0" applyBorder="0" applyAlignment="0" applyProtection="0"/>
    <xf numFmtId="203" fontId="121" fillId="0" borderId="0" applyFont="0" applyFill="0" applyBorder="0" applyAlignment="0" applyProtection="0">
      <protection locked="0"/>
    </xf>
    <xf numFmtId="3" fontId="10" fillId="0" borderId="0" applyFont="0" applyFill="0" applyBorder="0" applyAlignment="0" applyProtection="0"/>
    <xf numFmtId="0" fontId="41" fillId="0" borderId="0" applyFill="0" applyBorder="0" applyAlignment="0" applyProtection="0">
      <protection locked="0"/>
    </xf>
    <xf numFmtId="0" fontId="10" fillId="0" borderId="35"/>
    <xf numFmtId="204" fontId="120" fillId="0" borderId="0" applyFont="0" applyFill="0" applyBorder="0" applyAlignment="0" applyProtection="0"/>
    <xf numFmtId="205" fontId="120" fillId="0" borderId="0" applyFont="0" applyFill="0" applyBorder="0" applyAlignment="0" applyProtection="0"/>
    <xf numFmtId="206" fontId="120" fillId="0" borderId="0" applyFont="0" applyFill="0" applyBorder="0" applyAlignment="0" applyProtection="0"/>
    <xf numFmtId="207" fontId="121" fillId="0" borderId="0" applyFont="0" applyFill="0" applyBorder="0" applyAlignment="0" applyProtection="0">
      <protection locked="0"/>
    </xf>
    <xf numFmtId="5" fontId="10" fillId="0" borderId="0" applyFont="0" applyFill="0" applyBorder="0" applyAlignment="0" applyProtection="0"/>
    <xf numFmtId="5" fontId="10" fillId="0" borderId="0" applyFont="0" applyFill="0" applyBorder="0" applyAlignment="0" applyProtection="0"/>
    <xf numFmtId="208" fontId="30" fillId="0" borderId="0" applyFont="0" applyFill="0" applyBorder="0" applyAlignment="0" applyProtection="0"/>
    <xf numFmtId="209" fontId="10" fillId="0" borderId="0" applyFont="0" applyFill="0" applyBorder="0" applyAlignment="0" applyProtection="0"/>
    <xf numFmtId="210" fontId="117" fillId="0" borderId="0" applyFont="0" applyFill="0" applyBorder="0" applyAlignment="0" applyProtection="0">
      <protection locked="0"/>
    </xf>
    <xf numFmtId="7" fontId="39" fillId="0" borderId="0" applyFont="0" applyFill="0" applyBorder="0" applyAlignment="0" applyProtection="0"/>
    <xf numFmtId="211" fontId="118" fillId="0" borderId="0" applyFont="0" applyFill="0" applyBorder="0" applyAlignment="0" applyProtection="0"/>
    <xf numFmtId="212" fontId="122" fillId="0" borderId="0" applyFont="0" applyFill="0" applyBorder="0" applyAlignment="0" applyProtection="0"/>
    <xf numFmtId="0" fontId="123" fillId="66" borderId="36" applyNumberFormat="0" applyFont="0" applyFill="0" applyAlignment="0" applyProtection="0">
      <alignment horizontal="left" indent="1"/>
    </xf>
    <xf numFmtId="5" fontId="124" fillId="0" borderId="0" applyBorder="0"/>
    <xf numFmtId="209" fontId="124" fillId="0" borderId="0" applyBorder="0"/>
    <xf numFmtId="7" fontId="124" fillId="0" borderId="0" applyBorder="0"/>
    <xf numFmtId="37" fontId="124" fillId="0" borderId="0" applyBorder="0"/>
    <xf numFmtId="185" fontId="124" fillId="0" borderId="0" applyBorder="0"/>
    <xf numFmtId="213" fontId="124" fillId="0" borderId="0" applyBorder="0"/>
    <xf numFmtId="39" fontId="124" fillId="0" borderId="0" applyBorder="0"/>
    <xf numFmtId="214" fontId="124" fillId="0" borderId="0" applyBorder="0"/>
    <xf numFmtId="7" fontId="10" fillId="0" borderId="0" applyFont="0" applyFill="0" applyBorder="0" applyAlignment="0" applyProtection="0"/>
    <xf numFmtId="215" fontId="30" fillId="0" borderId="0" applyFont="0" applyFill="0" applyBorder="0" applyAlignment="0" applyProtection="0"/>
    <xf numFmtId="216" fontId="30" fillId="0" borderId="0" applyFont="0" applyFill="0" applyAlignment="0" applyProtection="0"/>
    <xf numFmtId="215" fontId="30" fillId="0" borderId="0" applyFont="0" applyFill="0" applyBorder="0" applyAlignment="0" applyProtection="0"/>
    <xf numFmtId="185" fontId="125" fillId="0" borderId="0" applyNumberFormat="0" applyFill="0" applyBorder="0" applyAlignment="0" applyProtection="0"/>
    <xf numFmtId="0" fontId="39" fillId="0" borderId="0" applyFont="0" applyFill="0" applyBorder="0" applyAlignment="0" applyProtection="0"/>
    <xf numFmtId="0" fontId="125" fillId="0" borderId="0" applyNumberFormat="0" applyFill="0" applyBorder="0" applyAlignment="0" applyProtection="0"/>
    <xf numFmtId="0" fontId="119" fillId="0" borderId="0" applyFill="0" applyAlignment="0" applyProtection="0">
      <protection locked="0"/>
    </xf>
    <xf numFmtId="0" fontId="119" fillId="0" borderId="3" applyFill="0" applyAlignment="0" applyProtection="0">
      <protection locked="0"/>
    </xf>
    <xf numFmtId="0" fontId="126" fillId="0" borderId="3" applyNumberFormat="0" applyFill="0" applyAlignment="0" applyProtection="0"/>
    <xf numFmtId="0" fontId="127" fillId="62" borderId="17" applyNumberFormat="0" applyAlignment="0" applyProtection="0"/>
    <xf numFmtId="5" fontId="128" fillId="0" borderId="0" applyBorder="0"/>
    <xf numFmtId="209" fontId="128" fillId="0" borderId="0" applyBorder="0"/>
    <xf numFmtId="7" fontId="128" fillId="0" borderId="0" applyBorder="0"/>
    <xf numFmtId="37" fontId="128" fillId="0" borderId="0" applyBorder="0"/>
    <xf numFmtId="185" fontId="128" fillId="0" borderId="0" applyBorder="0"/>
    <xf numFmtId="213" fontId="128" fillId="0" borderId="0" applyBorder="0"/>
    <xf numFmtId="39" fontId="128" fillId="0" borderId="0" applyBorder="0"/>
    <xf numFmtId="214" fontId="128" fillId="0" borderId="0" applyBorder="0"/>
    <xf numFmtId="0" fontId="129" fillId="0" borderId="37" applyNumberFormat="0" applyFont="0" applyFill="0" applyAlignment="0" applyProtection="0"/>
    <xf numFmtId="217" fontId="10" fillId="0" borderId="0" applyFont="0" applyFill="0" applyBorder="0" applyAlignment="0" applyProtection="0"/>
    <xf numFmtId="218" fontId="10" fillId="0" borderId="0" applyFont="0" applyFill="0" applyBorder="0" applyAlignment="0" applyProtection="0"/>
    <xf numFmtId="219" fontId="10" fillId="0" borderId="0" applyFont="0" applyFill="0" applyBorder="0" applyAlignment="0" applyProtection="0"/>
    <xf numFmtId="220" fontId="10" fillId="0" borderId="0" applyFont="0" applyFill="0" applyBorder="0" applyAlignment="0" applyProtection="0"/>
    <xf numFmtId="221" fontId="10" fillId="0" borderId="0" applyFont="0" applyFill="0" applyBorder="0" applyAlignment="0" applyProtection="0"/>
    <xf numFmtId="0" fontId="10" fillId="0" borderId="0"/>
    <xf numFmtId="222" fontId="10" fillId="0" borderId="0" applyFont="0" applyFill="0" applyBorder="0" applyAlignment="0" applyProtection="0"/>
    <xf numFmtId="223" fontId="97" fillId="67" borderId="0" applyFont="0" applyFill="0" applyBorder="0" applyAlignment="0" applyProtection="0"/>
    <xf numFmtId="224" fontId="97" fillId="67" borderId="0" applyFont="0" applyFill="0" applyBorder="0" applyAlignment="0" applyProtection="0"/>
    <xf numFmtId="225" fontId="10" fillId="0" borderId="0" applyFont="0" applyFill="0" applyBorder="0" applyAlignment="0" applyProtection="0"/>
    <xf numFmtId="226" fontId="120" fillId="0" borderId="0" applyFont="0" applyFill="0" applyBorder="0" applyAlignment="0" applyProtection="0"/>
    <xf numFmtId="227" fontId="38" fillId="0" borderId="0" applyFont="0" applyFill="0" applyBorder="0" applyAlignment="0" applyProtection="0"/>
    <xf numFmtId="228" fontId="10" fillId="0" borderId="0" applyFont="0" applyFill="0" applyBorder="0" applyAlignment="0" applyProtection="0"/>
    <xf numFmtId="229" fontId="120" fillId="0" borderId="0" applyFont="0" applyFill="0" applyBorder="0" applyAlignment="0" applyProtection="0"/>
    <xf numFmtId="230" fontId="38" fillId="0" borderId="0" applyFont="0" applyFill="0" applyBorder="0" applyAlignment="0" applyProtection="0"/>
    <xf numFmtId="231" fontId="120" fillId="0" borderId="0" applyFont="0" applyFill="0" applyBorder="0" applyAlignment="0" applyProtection="0"/>
    <xf numFmtId="232" fontId="38" fillId="0" borderId="0" applyFont="0" applyFill="0" applyBorder="0" applyAlignment="0" applyProtection="0"/>
    <xf numFmtId="233" fontId="120" fillId="0" borderId="0" applyFont="0" applyFill="0" applyBorder="0" applyAlignment="0" applyProtection="0"/>
    <xf numFmtId="234" fontId="38" fillId="0" borderId="0" applyFont="0" applyFill="0" applyBorder="0" applyAlignment="0" applyProtection="0"/>
    <xf numFmtId="235" fontId="121" fillId="0" borderId="0" applyFont="0" applyFill="0" applyBorder="0" applyAlignment="0" applyProtection="0">
      <protection locked="0"/>
    </xf>
    <xf numFmtId="236" fontId="38"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92" fillId="0" borderId="0" applyFont="0" applyFill="0" applyBorder="0" applyAlignment="0" applyProtection="0"/>
    <xf numFmtId="9" fontId="8" fillId="0" borderId="0" applyFont="0" applyFill="0" applyBorder="0" applyAlignment="0" applyProtection="0"/>
    <xf numFmtId="9" fontId="124" fillId="0" borderId="0" applyBorder="0"/>
    <xf numFmtId="237" fontId="124" fillId="0" borderId="0" applyBorder="0"/>
    <xf numFmtId="10" fontId="124" fillId="0" borderId="0" applyBorder="0"/>
    <xf numFmtId="3" fontId="10" fillId="0" borderId="0">
      <alignment horizontal="left" vertical="top"/>
    </xf>
    <xf numFmtId="3" fontId="10" fillId="0" borderId="0">
      <alignment horizontal="right" vertical="top"/>
    </xf>
    <xf numFmtId="0" fontId="10" fillId="0" borderId="0" applyFill="0">
      <alignment horizontal="left" indent="4"/>
    </xf>
    <xf numFmtId="0" fontId="129" fillId="0" borderId="38" applyNumberFormat="0" applyFont="0" applyFill="0" applyAlignment="0" applyProtection="0"/>
    <xf numFmtId="0" fontId="130" fillId="0" borderId="0" applyNumberFormat="0" applyFill="0" applyBorder="0" applyAlignment="0" applyProtection="0"/>
    <xf numFmtId="0" fontId="131" fillId="0" borderId="0"/>
    <xf numFmtId="0" fontId="41" fillId="68" borderId="0"/>
    <xf numFmtId="0" fontId="10" fillId="56" borderId="35" applyNumberFormat="0" applyFont="0" applyAlignment="0"/>
    <xf numFmtId="0" fontId="129" fillId="66" borderId="0" applyNumberFormat="0" applyFont="0" applyBorder="0" applyAlignment="0" applyProtection="0"/>
    <xf numFmtId="223" fontId="132" fillId="0" borderId="15" applyNumberFormat="0" applyFont="0" applyFill="0" applyAlignment="0" applyProtection="0"/>
    <xf numFmtId="0" fontId="133" fillId="0" borderId="0" applyFill="0" applyBorder="0" applyProtection="0">
      <alignment horizontal="left" vertical="top"/>
    </xf>
    <xf numFmtId="0" fontId="10" fillId="0" borderId="4" applyNumberFormat="0" applyFont="0" applyFill="0" applyAlignment="0" applyProtection="0"/>
    <xf numFmtId="0" fontId="134" fillId="0" borderId="0" applyNumberFormat="0" applyFill="0" applyBorder="0" applyAlignment="0" applyProtection="0"/>
    <xf numFmtId="238" fontId="38" fillId="0" borderId="0" applyFont="0" applyFill="0" applyBorder="0" applyAlignment="0" applyProtection="0"/>
    <xf numFmtId="239" fontId="38" fillId="0" borderId="0" applyFont="0" applyFill="0" applyBorder="0" applyAlignment="0" applyProtection="0"/>
    <xf numFmtId="240" fontId="38" fillId="0" borderId="0" applyFont="0" applyFill="0" applyBorder="0" applyAlignment="0" applyProtection="0"/>
    <xf numFmtId="241" fontId="38" fillId="0" borderId="0" applyFont="0" applyFill="0" applyBorder="0" applyAlignment="0" applyProtection="0"/>
    <xf numFmtId="242" fontId="38" fillId="0" borderId="0" applyFont="0" applyFill="0" applyBorder="0" applyAlignment="0" applyProtection="0"/>
    <xf numFmtId="243" fontId="38" fillId="0" borderId="0" applyFont="0" applyFill="0" applyBorder="0" applyAlignment="0" applyProtection="0"/>
    <xf numFmtId="244" fontId="38" fillId="0" borderId="0" applyFont="0" applyFill="0" applyBorder="0" applyAlignment="0" applyProtection="0"/>
    <xf numFmtId="245" fontId="38" fillId="0" borderId="0" applyFont="0" applyFill="0" applyBorder="0" applyAlignment="0" applyProtection="0"/>
    <xf numFmtId="246" fontId="135" fillId="66" borderId="39" applyFont="0" applyFill="0" applyBorder="0" applyAlignment="0" applyProtection="0"/>
    <xf numFmtId="246" fontId="30" fillId="0" borderId="0" applyFont="0" applyFill="0" applyBorder="0" applyAlignment="0" applyProtection="0"/>
    <xf numFmtId="247" fontId="118" fillId="0" borderId="0" applyFont="0" applyFill="0" applyBorder="0" applyAlignment="0" applyProtection="0"/>
    <xf numFmtId="248" fontId="122" fillId="0" borderId="15" applyFont="0" applyFill="0" applyBorder="0" applyAlignment="0" applyProtection="0">
      <alignment horizontal="right"/>
      <protection locked="0"/>
    </xf>
    <xf numFmtId="0" fontId="55" fillId="0" borderId="0">
      <alignment vertical="top"/>
    </xf>
    <xf numFmtId="0" fontId="136" fillId="0" borderId="0"/>
    <xf numFmtId="0" fontId="10" fillId="0" borderId="0" applyNumberFormat="0" applyFill="0" applyBorder="0" applyAlignment="0" applyProtection="0"/>
    <xf numFmtId="0" fontId="10" fillId="0" borderId="0" applyNumberFormat="0" applyFill="0" applyBorder="0" applyAlignment="0" applyProtection="0"/>
    <xf numFmtId="175" fontId="30" fillId="53" borderId="16">
      <alignment horizontal="center" vertical="center"/>
    </xf>
    <xf numFmtId="0" fontId="137" fillId="0" borderId="0" applyNumberFormat="0" applyFont="0" applyFill="0" applyBorder="0" applyProtection="0">
      <alignment vertical="top" wrapText="1"/>
    </xf>
    <xf numFmtId="0" fontId="75" fillId="2" borderId="0" applyNumberFormat="0" applyFont="0" applyAlignment="0">
      <alignment vertical="top"/>
    </xf>
    <xf numFmtId="0" fontId="10" fillId="2" borderId="0" applyNumberFormat="0" applyFont="0" applyAlignment="0">
      <alignment vertical="top" wrapText="1"/>
    </xf>
    <xf numFmtId="249" fontId="133" fillId="0" borderId="37" applyNumberFormat="0" applyFill="0" applyBorder="0" applyAlignment="0" applyProtection="0">
      <alignment horizontal="center"/>
    </xf>
    <xf numFmtId="0" fontId="138" fillId="0" borderId="0"/>
    <xf numFmtId="250" fontId="139" fillId="0" borderId="0">
      <alignment horizontal="center" wrapText="1"/>
    </xf>
    <xf numFmtId="251" fontId="140" fillId="0" borderId="0" applyFont="0" applyFill="0" applyBorder="0" applyAlignment="0" applyProtection="0">
      <alignment vertical="center"/>
    </xf>
    <xf numFmtId="4" fontId="141" fillId="0" borderId="4" applyFont="0" applyFill="0" applyBorder="0" applyAlignment="0">
      <alignment horizontal="center"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8" fontId="39" fillId="0" borderId="0">
      <alignment horizontal="right"/>
    </xf>
    <xf numFmtId="252" fontId="137" fillId="0" borderId="0" applyFont="0" applyFill="0" applyBorder="0" applyAlignment="0" applyProtection="0"/>
    <xf numFmtId="0" fontId="142" fillId="0" borderId="0"/>
    <xf numFmtId="253" fontId="143" fillId="0" borderId="0">
      <protection locked="0"/>
    </xf>
    <xf numFmtId="171" fontId="30" fillId="0" borderId="0" applyFont="0" applyFill="0" applyBorder="0" applyAlignment="0" applyProtection="0"/>
    <xf numFmtId="171" fontId="30" fillId="0" borderId="0" applyFont="0" applyFill="0" applyBorder="0" applyAlignment="0" applyProtection="0"/>
    <xf numFmtId="4" fontId="30" fillId="0" borderId="0" applyFont="0" applyFill="0" applyBorder="0" applyAlignment="0" applyProtection="0"/>
    <xf numFmtId="4" fontId="30" fillId="0" borderId="0" applyFont="0" applyFill="0" applyBorder="0" applyAlignment="0" applyProtection="0"/>
    <xf numFmtId="4" fontId="135" fillId="0" borderId="0"/>
    <xf numFmtId="254" fontId="28" fillId="0" borderId="0">
      <protection locked="0"/>
    </xf>
    <xf numFmtId="44" fontId="140" fillId="0" borderId="0" applyFont="0" applyFill="0" applyBorder="0" applyAlignment="0" applyProtection="0"/>
    <xf numFmtId="255" fontId="14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256" fontId="10" fillId="0" borderId="0" applyFont="0" applyFill="0" applyBorder="0" applyAlignment="0" applyProtection="0">
      <alignment wrapText="1"/>
    </xf>
    <xf numFmtId="256" fontId="10" fillId="0" borderId="0" applyFont="0" applyFill="0" applyBorder="0" applyAlignment="0" applyProtection="0">
      <alignment wrapText="1"/>
    </xf>
    <xf numFmtId="16" fontId="39" fillId="0" borderId="0">
      <alignment horizontal="right"/>
    </xf>
    <xf numFmtId="15" fontId="39" fillId="0" borderId="0">
      <alignment horizontal="right"/>
    </xf>
    <xf numFmtId="257" fontId="9" fillId="0" borderId="0"/>
    <xf numFmtId="182" fontId="10" fillId="0" borderId="0">
      <protection locked="0"/>
    </xf>
    <xf numFmtId="182" fontId="10" fillId="0" borderId="0">
      <protection locked="0"/>
    </xf>
    <xf numFmtId="0" fontId="144" fillId="0" borderId="0" applyNumberFormat="0" applyFill="0" applyBorder="0" applyAlignment="0" applyProtection="0"/>
    <xf numFmtId="38" fontId="39" fillId="56" borderId="0" applyNumberFormat="0" applyBorder="0" applyAlignment="0" applyProtection="0"/>
    <xf numFmtId="183" fontId="10" fillId="0" borderId="0">
      <protection locked="0"/>
    </xf>
    <xf numFmtId="183" fontId="10" fillId="0" borderId="0">
      <protection locked="0"/>
    </xf>
    <xf numFmtId="183" fontId="10" fillId="0" borderId="0">
      <protection locked="0"/>
    </xf>
    <xf numFmtId="183" fontId="10" fillId="0" borderId="0">
      <protection locked="0"/>
    </xf>
    <xf numFmtId="10" fontId="39" fillId="57" borderId="17" applyNumberFormat="0" applyBorder="0" applyAlignment="0" applyProtection="0"/>
    <xf numFmtId="258" fontId="28" fillId="0" borderId="0">
      <alignment horizontal="center"/>
      <protection locked="0"/>
    </xf>
    <xf numFmtId="259" fontId="10" fillId="0" borderId="0" applyFont="0" applyFill="0" applyBorder="0" applyAlignment="0" applyProtection="0"/>
    <xf numFmtId="260" fontId="10" fillId="0" borderId="0" applyFont="0" applyFill="0" applyBorder="0" applyAlignment="0" applyProtection="0"/>
    <xf numFmtId="261" fontId="30" fillId="0" borderId="0"/>
    <xf numFmtId="37" fontId="145" fillId="0" borderId="0"/>
    <xf numFmtId="0" fontId="10"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55"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262" fontId="10" fillId="0" borderId="0"/>
    <xf numFmtId="262" fontId="10" fillId="0" borderId="0"/>
    <xf numFmtId="263" fontId="14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47" fillId="0" borderId="40"/>
    <xf numFmtId="174" fontId="135" fillId="0" borderId="0"/>
    <xf numFmtId="3" fontId="46" fillId="0" borderId="41" applyBorder="0">
      <alignment horizontal="right" wrapText="1"/>
    </xf>
    <xf numFmtId="4" fontId="46" fillId="0" borderId="42" applyBorder="0">
      <alignment horizontal="right" wrapText="1"/>
    </xf>
    <xf numFmtId="0" fontId="10" fillId="69" borderId="28" applyNumberFormat="0" applyProtection="0">
      <alignment horizontal="left" vertical="center" indent="1"/>
    </xf>
    <xf numFmtId="4" fontId="55" fillId="70" borderId="28" applyNumberFormat="0" applyProtection="0">
      <alignment horizontal="right" vertical="center"/>
    </xf>
    <xf numFmtId="0" fontId="10" fillId="69" borderId="28" applyNumberFormat="0" applyProtection="0">
      <alignment horizontal="left" vertical="center" indent="1"/>
    </xf>
    <xf numFmtId="0" fontId="10" fillId="69" borderId="28" applyNumberFormat="0" applyProtection="0">
      <alignment horizontal="left" vertical="center" indent="1"/>
    </xf>
    <xf numFmtId="0" fontId="137" fillId="71" borderId="0" applyNumberFormat="0" applyFont="0" applyBorder="0" applyAlignment="0" applyProtection="0"/>
    <xf numFmtId="0" fontId="137" fillId="61" borderId="0" applyNumberFormat="0" applyFont="0" applyBorder="0" applyAlignment="0" applyProtection="0"/>
    <xf numFmtId="0" fontId="137" fillId="1" borderId="0" applyNumberFormat="0" applyFont="0" applyBorder="0" applyAlignment="0" applyProtection="0"/>
    <xf numFmtId="264" fontId="137" fillId="0" borderId="0" applyFont="0" applyFill="0" applyBorder="0" applyAlignment="0" applyProtection="0"/>
    <xf numFmtId="265" fontId="137" fillId="0" borderId="0" applyFont="0" applyFill="0" applyBorder="0" applyAlignment="0" applyProtection="0"/>
    <xf numFmtId="266" fontId="137" fillId="0" borderId="0" applyFont="0" applyFill="0" applyBorder="0" applyAlignment="0" applyProtection="0"/>
    <xf numFmtId="0" fontId="75" fillId="72" borderId="43" applyNumberFormat="0" applyProtection="0">
      <alignment horizontal="center" wrapText="1"/>
    </xf>
    <xf numFmtId="0" fontId="75" fillId="72" borderId="43" applyNumberFormat="0" applyProtection="0">
      <alignment horizontal="center" wrapText="1"/>
    </xf>
    <xf numFmtId="0" fontId="75" fillId="72" borderId="44" applyNumberFormat="0" applyAlignment="0" applyProtection="0">
      <alignment wrapText="1"/>
    </xf>
    <xf numFmtId="0" fontId="75" fillId="72" borderId="44" applyNumberFormat="0" applyAlignment="0" applyProtection="0">
      <alignment wrapText="1"/>
    </xf>
    <xf numFmtId="0" fontId="10" fillId="73" borderId="0" applyNumberFormat="0" applyBorder="0">
      <alignment horizontal="center" wrapText="1"/>
    </xf>
    <xf numFmtId="0" fontId="10" fillId="73" borderId="0" applyNumberFormat="0" applyBorder="0">
      <alignment horizontal="center" wrapText="1"/>
    </xf>
    <xf numFmtId="0" fontId="10" fillId="73" borderId="0" applyNumberFormat="0" applyBorder="0">
      <alignment wrapText="1"/>
    </xf>
    <xf numFmtId="0" fontId="10" fillId="73" borderId="0" applyNumberFormat="0" applyBorder="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267" fontId="10" fillId="0" borderId="0" applyFill="0" applyBorder="0" applyAlignment="0" applyProtection="0">
      <alignment wrapText="1"/>
    </xf>
    <xf numFmtId="267" fontId="10" fillId="0" borderId="0" applyFill="0" applyBorder="0" applyAlignment="0" applyProtection="0">
      <alignment wrapText="1"/>
    </xf>
    <xf numFmtId="192" fontId="10" fillId="0" borderId="0" applyFill="0" applyBorder="0" applyAlignment="0" applyProtection="0">
      <alignment wrapText="1"/>
    </xf>
    <xf numFmtId="268" fontId="10" fillId="0" borderId="0" applyFill="0" applyBorder="0" applyAlignment="0" applyProtection="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0" fontId="10" fillId="0" borderId="0" applyNumberFormat="0" applyFill="0" applyBorder="0">
      <alignment horizontal="right" wrapText="1"/>
    </xf>
    <xf numFmtId="0" fontId="10" fillId="0" borderId="0" applyNumberFormat="0" applyFill="0" applyBorder="0">
      <alignment horizontal="right" wrapText="1"/>
    </xf>
    <xf numFmtId="17" fontId="10" fillId="0" borderId="0" applyFill="0" applyBorder="0">
      <alignment horizontal="right" wrapText="1"/>
    </xf>
    <xf numFmtId="17" fontId="10" fillId="0" borderId="0" applyFill="0" applyBorder="0">
      <alignment horizontal="right" wrapText="1"/>
    </xf>
    <xf numFmtId="8" fontId="10" fillId="0" borderId="0" applyFill="0" applyBorder="0" applyAlignment="0" applyProtection="0">
      <alignment wrapText="1"/>
    </xf>
    <xf numFmtId="8" fontId="10" fillId="0" borderId="0" applyFill="0" applyBorder="0" applyAlignment="0" applyProtection="0">
      <alignment wrapText="1"/>
    </xf>
    <xf numFmtId="0" fontId="29" fillId="0" borderId="0" applyNumberFormat="0" applyFill="0" applyBorder="0">
      <alignment horizontal="left" wrapText="1"/>
    </xf>
    <xf numFmtId="0" fontId="29" fillId="0" borderId="0" applyNumberFormat="0" applyFill="0" applyBorder="0">
      <alignment horizontal="left"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148" fillId="0" borderId="45"/>
    <xf numFmtId="0" fontId="149" fillId="0" borderId="0">
      <alignment horizontal="centerContinuous" vertical="center" wrapText="1"/>
    </xf>
    <xf numFmtId="0" fontId="137" fillId="0" borderId="0" applyNumberFormat="0" applyFont="0" applyFill="0" applyBorder="0" applyProtection="0">
      <alignment horizontal="center" wrapText="1"/>
    </xf>
    <xf numFmtId="0" fontId="137" fillId="0" borderId="0" applyNumberFormat="0" applyFont="0" applyFill="0" applyBorder="0" applyProtection="0">
      <alignment horizontal="centerContinuous" vertical="center" wrapText="1"/>
    </xf>
    <xf numFmtId="0" fontId="10" fillId="0" borderId="0"/>
    <xf numFmtId="0" fontId="10" fillId="0" borderId="0"/>
    <xf numFmtId="269" fontId="10" fillId="0" borderId="0">
      <alignment wrapText="1"/>
    </xf>
    <xf numFmtId="269" fontId="10" fillId="0" borderId="0">
      <alignment wrapText="1"/>
    </xf>
    <xf numFmtId="270" fontId="10" fillId="0" borderId="0">
      <alignment wrapText="1"/>
    </xf>
    <xf numFmtId="270" fontId="10" fillId="0" borderId="0">
      <alignment wrapText="1"/>
    </xf>
    <xf numFmtId="37" fontId="39" fillId="2" borderId="0" applyNumberFormat="0" applyBorder="0" applyAlignment="0" applyProtection="0"/>
    <xf numFmtId="37" fontId="39" fillId="0" borderId="0"/>
    <xf numFmtId="0" fontId="150" fillId="0" borderId="0"/>
    <xf numFmtId="0" fontId="137" fillId="0" borderId="0" applyNumberFormat="0" applyFont="0" applyFill="0" applyBorder="0" applyProtection="0"/>
    <xf numFmtId="0" fontId="137" fillId="0" borderId="0" applyNumberFormat="0" applyFont="0" applyFill="0" applyBorder="0" applyProtection="0">
      <alignment vertical="center"/>
    </xf>
    <xf numFmtId="0" fontId="137" fillId="0" borderId="0" applyNumberFormat="0" applyFont="0" applyFill="0" applyBorder="0" applyProtection="0">
      <alignment vertical="top"/>
    </xf>
    <xf numFmtId="0" fontId="137" fillId="0" borderId="0" applyNumberFormat="0" applyFont="0" applyFill="0" applyBorder="0" applyProtection="0">
      <alignment wrapText="1"/>
    </xf>
    <xf numFmtId="0" fontId="151" fillId="0" borderId="0"/>
    <xf numFmtId="0" fontId="151" fillId="0" borderId="0"/>
    <xf numFmtId="43" fontId="151" fillId="0" borderId="0" applyFont="0" applyFill="0" applyBorder="0" applyAlignment="0" applyProtection="0"/>
    <xf numFmtId="0" fontId="146" fillId="0" borderId="0"/>
    <xf numFmtId="172" fontId="152" fillId="0" borderId="0" applyNumberFormat="0" applyFill="0" applyBorder="0" applyAlignment="0" applyProtection="0"/>
    <xf numFmtId="9" fontId="7" fillId="0" borderId="0" applyFont="0" applyFill="0" applyBorder="0" applyAlignment="0" applyProtection="0"/>
    <xf numFmtId="0" fontId="10" fillId="0" borderId="0"/>
    <xf numFmtId="43" fontId="10" fillId="0" borderId="0" applyFont="0" applyFill="0" applyBorder="0" applyAlignment="0" applyProtection="0"/>
    <xf numFmtId="272" fontId="153" fillId="0" borderId="0" applyFont="0" applyFill="0" applyBorder="0" applyAlignment="0" applyProtection="0"/>
    <xf numFmtId="273" fontId="153" fillId="0" borderId="0" applyFont="0" applyFill="0" applyBorder="0" applyAlignment="0" applyProtection="0"/>
    <xf numFmtId="274" fontId="153" fillId="0" borderId="0" applyFont="0" applyFill="0" applyBorder="0" applyAlignment="0" applyProtection="0"/>
    <xf numFmtId="275" fontId="153" fillId="0" borderId="0" applyFont="0" applyFill="0" applyBorder="0" applyAlignment="0" applyProtection="0"/>
    <xf numFmtId="276" fontId="153" fillId="0" borderId="0" applyFont="0" applyFill="0" applyBorder="0" applyAlignment="0" applyProtection="0"/>
    <xf numFmtId="277" fontId="153" fillId="0" borderId="0" applyFont="0" applyFill="0" applyBorder="0" applyAlignment="0" applyProtection="0"/>
    <xf numFmtId="0" fontId="97" fillId="0" borderId="0"/>
    <xf numFmtId="278" fontId="153" fillId="0" borderId="0" applyFont="0" applyFill="0" applyBorder="0" applyProtection="0">
      <alignment horizontal="left"/>
    </xf>
    <xf numFmtId="279" fontId="153" fillId="0" borderId="0" applyFont="0" applyFill="0" applyBorder="0" applyProtection="0">
      <alignment horizontal="left"/>
    </xf>
    <xf numFmtId="280" fontId="153" fillId="0" borderId="0" applyFont="0" applyFill="0" applyBorder="0" applyProtection="0">
      <alignment horizontal="left"/>
    </xf>
    <xf numFmtId="0" fontId="116" fillId="0" borderId="0"/>
    <xf numFmtId="0" fontId="10"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281" fontId="15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5" fillId="0" borderId="0" applyFont="0" applyFill="0" applyBorder="0" applyAlignment="0" applyProtection="0"/>
    <xf numFmtId="37" fontId="72" fillId="0" borderId="0" applyFill="0" applyBorder="0" applyAlignment="0" applyProtection="0"/>
    <xf numFmtId="282" fontId="153" fillId="0" borderId="0" applyFont="0" applyFill="0" applyBorder="0" applyAlignment="0" applyProtection="0"/>
    <xf numFmtId="283" fontId="153" fillId="0" borderId="0" applyFont="0" applyFill="0" applyBorder="0" applyAlignment="0" applyProtection="0"/>
    <xf numFmtId="5" fontId="72" fillId="0" borderId="0" applyFill="0" applyBorder="0" applyAlignment="0" applyProtection="0"/>
    <xf numFmtId="284" fontId="153" fillId="0" borderId="0" applyFont="0" applyFill="0" applyBorder="0" applyProtection="0"/>
    <xf numFmtId="285" fontId="153" fillId="0" borderId="0" applyFont="0" applyFill="0" applyBorder="0" applyProtection="0"/>
    <xf numFmtId="286" fontId="153" fillId="0" borderId="0" applyFont="0" applyFill="0" applyBorder="0" applyAlignment="0" applyProtection="0"/>
    <xf numFmtId="287" fontId="153" fillId="0" borderId="0" applyFont="0" applyFill="0" applyBorder="0" applyAlignment="0" applyProtection="0"/>
    <xf numFmtId="288" fontId="153" fillId="0" borderId="0" applyFont="0" applyFill="0" applyBorder="0" applyAlignment="0" applyProtection="0"/>
    <xf numFmtId="289" fontId="129" fillId="0" borderId="0" applyFont="0" applyFill="0" applyBorder="0" applyAlignment="0" applyProtection="0"/>
    <xf numFmtId="0" fontId="154" fillId="0" borderId="0"/>
    <xf numFmtId="0" fontId="153" fillId="0" borderId="0" applyFont="0" applyFill="0" applyBorder="0" applyProtection="0">
      <alignment horizontal="center" wrapText="1"/>
    </xf>
    <xf numFmtId="290" fontId="153" fillId="0" borderId="0" applyFont="0" applyFill="0" applyBorder="0" applyProtection="0">
      <alignment horizontal="right"/>
    </xf>
    <xf numFmtId="291" fontId="153" fillId="0" borderId="0" applyFont="0" applyFill="0" applyBorder="0" applyProtection="0">
      <alignment horizontal="left"/>
    </xf>
    <xf numFmtId="292" fontId="153" fillId="0" borderId="0" applyFont="0" applyFill="0" applyBorder="0" applyProtection="0">
      <alignment horizontal="left"/>
    </xf>
    <xf numFmtId="293" fontId="153" fillId="0" borderId="0" applyFont="0" applyFill="0" applyBorder="0" applyProtection="0">
      <alignment horizontal="left"/>
    </xf>
    <xf numFmtId="294" fontId="153" fillId="0" borderId="0" applyFont="0" applyFill="0" applyBorder="0" applyProtection="0">
      <alignment horizontal="left"/>
    </xf>
    <xf numFmtId="0" fontId="155" fillId="0" borderId="0"/>
    <xf numFmtId="0" fontId="10" fillId="0" borderId="0" applyFont="0" applyFill="0" applyBorder="0" applyAlignment="0" applyProtection="0">
      <alignment horizontal="right"/>
    </xf>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applyProtection="0"/>
    <xf numFmtId="172" fontId="11" fillId="0" borderId="0" applyProtection="0"/>
    <xf numFmtId="172" fontId="11" fillId="0" borderId="0" applyProtection="0"/>
    <xf numFmtId="0" fontId="10" fillId="0" borderId="0"/>
    <xf numFmtId="0" fontId="9" fillId="76" borderId="0" applyNumberFormat="0" applyFont="0" applyBorder="0" applyAlignment="0"/>
    <xf numFmtId="295" fontId="156"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6" fontId="10" fillId="0" borderId="0"/>
    <xf numFmtId="297" fontId="30" fillId="0" borderId="0"/>
    <xf numFmtId="297" fontId="30" fillId="0" borderId="0"/>
    <xf numFmtId="295" fontId="156" fillId="0" borderId="0"/>
    <xf numFmtId="0" fontId="30" fillId="0" borderId="0"/>
    <xf numFmtId="295" fontId="72" fillId="0" borderId="0"/>
    <xf numFmtId="296" fontId="10" fillId="0" borderId="0"/>
    <xf numFmtId="297" fontId="30" fillId="0" borderId="0"/>
    <xf numFmtId="297" fontId="30" fillId="0" borderId="0"/>
    <xf numFmtId="0" fontId="30" fillId="0" borderId="0"/>
    <xf numFmtId="0" fontId="30"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0" fontId="30"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5" fontId="156" fillId="0" borderId="0"/>
    <xf numFmtId="295" fontId="156" fillId="0" borderId="0"/>
    <xf numFmtId="222" fontId="10" fillId="0" borderId="0" applyFont="0" applyFill="0" applyBorder="0" applyAlignment="0" applyProtection="0"/>
    <xf numFmtId="295" fontId="156" fillId="0" borderId="0"/>
    <xf numFmtId="295" fontId="156"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301" fontId="153" fillId="0" borderId="0" applyFont="0" applyFill="0" applyBorder="0" applyAlignment="0" applyProtection="0"/>
    <xf numFmtId="302" fontId="153"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194" fontId="72" fillId="0" borderId="0" applyFill="0" applyBorder="0" applyAlignment="0" applyProtection="0"/>
    <xf numFmtId="0" fontId="131" fillId="0" borderId="0"/>
    <xf numFmtId="0" fontId="157" fillId="0" borderId="1">
      <alignment horizontal="right"/>
    </xf>
    <xf numFmtId="303" fontId="122" fillId="0" borderId="0">
      <alignment horizontal="center"/>
    </xf>
    <xf numFmtId="304" fontId="158" fillId="0" borderId="0">
      <alignment horizontal="center"/>
    </xf>
    <xf numFmtId="0" fontId="55" fillId="0" borderId="0" applyNumberFormat="0" applyBorder="0" applyAlignment="0"/>
    <xf numFmtId="0" fontId="159" fillId="0" borderId="0" applyNumberFormat="0" applyBorder="0" applyAlignment="0"/>
    <xf numFmtId="0" fontId="160" fillId="0" borderId="0" applyAlignment="0">
      <alignment horizontal="centerContinuous"/>
    </xf>
    <xf numFmtId="0" fontId="161" fillId="0" borderId="0" applyNumberFormat="0" applyFill="0" applyBorder="0" applyAlignment="0" applyProtection="0">
      <alignment vertical="top"/>
      <protection locked="0"/>
    </xf>
    <xf numFmtId="172" fontId="11" fillId="0" borderId="0" applyProtection="0"/>
    <xf numFmtId="43" fontId="11" fillId="0" borderId="0" applyFont="0" applyFill="0" applyBorder="0" applyAlignment="0" applyProtection="0"/>
    <xf numFmtId="9" fontId="11" fillId="0" borderId="0" applyFont="0" applyFill="0" applyBorder="0" applyAlignment="0" applyProtection="0"/>
    <xf numFmtId="37" fontId="11" fillId="0" borderId="0" applyFont="0" applyFill="0" applyBorder="0" applyAlignment="0" applyProtection="0"/>
    <xf numFmtId="172" fontId="11" fillId="0" borderId="0" applyProtection="0"/>
    <xf numFmtId="172" fontId="11" fillId="0" borderId="0" applyProtection="0"/>
    <xf numFmtId="0" fontId="10" fillId="0" borderId="0"/>
    <xf numFmtId="0" fontId="183" fillId="0" borderId="0"/>
    <xf numFmtId="44" fontId="10" fillId="0" borderId="0" applyFont="0" applyFill="0" applyBorder="0" applyAlignment="0" applyProtection="0"/>
    <xf numFmtId="0" fontId="5" fillId="0" borderId="0"/>
    <xf numFmtId="0" fontId="28" fillId="0" borderId="0">
      <alignment vertical="top"/>
    </xf>
    <xf numFmtId="0" fontId="4" fillId="0" borderId="0"/>
    <xf numFmtId="172" fontId="11" fillId="0" borderId="0" applyProtection="0"/>
    <xf numFmtId="9" fontId="4" fillId="0" borderId="0" applyFont="0" applyFill="0" applyBorder="0" applyAlignment="0" applyProtection="0"/>
    <xf numFmtId="43" fontId="4" fillId="0" borderId="0" applyFont="0" applyFill="0" applyBorder="0" applyAlignment="0" applyProtection="0"/>
    <xf numFmtId="0" fontId="10" fillId="0" borderId="0"/>
    <xf numFmtId="0" fontId="4" fillId="0" borderId="0"/>
    <xf numFmtId="43" fontId="4" fillId="0" borderId="0" applyFont="0" applyFill="0" applyBorder="0" applyAlignment="0" applyProtection="0"/>
    <xf numFmtId="0" fontId="4" fillId="0" borderId="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98" fillId="0" borderId="0"/>
  </cellStyleXfs>
  <cellXfs count="990">
    <xf numFmtId="172" fontId="0" fillId="0" borderId="0" xfId="0"/>
    <xf numFmtId="0" fontId="162" fillId="0" borderId="0" xfId="0" applyNumberFormat="1" applyFont="1" applyAlignment="1">
      <alignment horizontal="center"/>
    </xf>
    <xf numFmtId="172" fontId="30" fillId="0" borderId="0" xfId="0" applyFont="1"/>
    <xf numFmtId="0" fontId="30" fillId="0" borderId="0" xfId="4598" applyFont="1"/>
    <xf numFmtId="172" fontId="38" fillId="0" borderId="0" xfId="0" applyFont="1"/>
    <xf numFmtId="0" fontId="30" fillId="0" borderId="0" xfId="0" applyNumberFormat="1" applyFont="1" applyAlignment="1">
      <alignment horizontal="center"/>
    </xf>
    <xf numFmtId="172" fontId="30" fillId="0" borderId="0" xfId="0" applyFont="1" applyAlignment="1">
      <alignment horizontal="right"/>
    </xf>
    <xf numFmtId="0" fontId="122" fillId="0" borderId="0" xfId="4598" applyFont="1" applyAlignment="1">
      <alignment horizontal="centerContinuous"/>
    </xf>
    <xf numFmtId="0" fontId="122" fillId="0" borderId="17" xfId="4598" applyFont="1" applyBorder="1" applyAlignment="1">
      <alignment horizontal="center"/>
    </xf>
    <xf numFmtId="0" fontId="30" fillId="0" borderId="0" xfId="0" applyNumberFormat="1" applyFont="1" applyAlignment="1">
      <alignment horizontal="center" wrapText="1"/>
    </xf>
    <xf numFmtId="0" fontId="122" fillId="0" borderId="0" xfId="4598" applyFont="1" applyAlignment="1">
      <alignment horizontal="center" wrapText="1"/>
    </xf>
    <xf numFmtId="172" fontId="122" fillId="0" borderId="0" xfId="0" applyFont="1" applyAlignment="1">
      <alignment horizontal="center" wrapText="1"/>
    </xf>
    <xf numFmtId="172" fontId="30" fillId="0" borderId="0" xfId="0" applyFont="1" applyAlignment="1">
      <alignment wrapText="1"/>
    </xf>
    <xf numFmtId="0" fontId="122" fillId="0" borderId="0" xfId="4598" applyFont="1" applyAlignment="1">
      <alignment horizontal="center"/>
    </xf>
    <xf numFmtId="0" fontId="122" fillId="0" borderId="0" xfId="4595" applyFont="1" applyAlignment="1">
      <alignment horizontal="center" wrapText="1"/>
    </xf>
    <xf numFmtId="172" fontId="163" fillId="0" borderId="0" xfId="0" applyFont="1"/>
    <xf numFmtId="172" fontId="162" fillId="0" borderId="0" xfId="0" applyFont="1"/>
    <xf numFmtId="0" fontId="30" fillId="0" borderId="0" xfId="4598" applyFont="1" applyAlignment="1">
      <alignment horizontal="left"/>
    </xf>
    <xf numFmtId="0" fontId="30" fillId="0" borderId="0" xfId="4598" quotePrefix="1" applyFont="1" applyAlignment="1">
      <alignment horizontal="left"/>
    </xf>
    <xf numFmtId="41" fontId="30" fillId="2" borderId="0" xfId="4598" applyNumberFormat="1" applyFont="1" applyFill="1"/>
    <xf numFmtId="0" fontId="30" fillId="0" borderId="0" xfId="4598" applyFont="1" applyAlignment="1">
      <alignment horizontal="right"/>
    </xf>
    <xf numFmtId="174" fontId="30" fillId="0" borderId="14" xfId="190" applyNumberFormat="1" applyFont="1" applyBorder="1"/>
    <xf numFmtId="37" fontId="30" fillId="0" borderId="0" xfId="4598" applyNumberFormat="1" applyFont="1"/>
    <xf numFmtId="172" fontId="30" fillId="0" borderId="0" xfId="4596" applyFont="1"/>
    <xf numFmtId="0" fontId="122" fillId="0" borderId="0" xfId="4598" applyFont="1" applyAlignment="1">
      <alignment horizontal="centerContinuous" wrapText="1"/>
    </xf>
    <xf numFmtId="41" fontId="30" fillId="77" borderId="0" xfId="4598" applyNumberFormat="1" applyFont="1" applyFill="1"/>
    <xf numFmtId="43" fontId="30" fillId="0" borderId="14" xfId="190" applyFont="1" applyBorder="1"/>
    <xf numFmtId="172" fontId="30" fillId="74" borderId="0" xfId="0" applyFont="1" applyFill="1"/>
    <xf numFmtId="172" fontId="30" fillId="0" borderId="0" xfId="0" applyFont="1" applyAlignment="1">
      <alignment horizontal="center"/>
    </xf>
    <xf numFmtId="44" fontId="30" fillId="0" borderId="0" xfId="0" applyNumberFormat="1" applyFont="1"/>
    <xf numFmtId="0" fontId="30" fillId="0" borderId="0" xfId="4157" applyFont="1"/>
    <xf numFmtId="0" fontId="30" fillId="0" borderId="0" xfId="4157" applyFont="1" applyAlignment="1">
      <alignment horizontal="center"/>
    </xf>
    <xf numFmtId="3" fontId="30" fillId="0" borderId="0" xfId="4157" applyNumberFormat="1" applyFont="1" applyAlignment="1">
      <alignment horizontal="center" wrapText="1"/>
    </xf>
    <xf numFmtId="0" fontId="30" fillId="0" borderId="0" xfId="4157" applyFont="1" applyAlignment="1">
      <alignment horizontal="center" wrapText="1"/>
    </xf>
    <xf numFmtId="174" fontId="30" fillId="0" borderId="0" xfId="190" applyNumberFormat="1" applyFont="1" applyFill="1" applyBorder="1" applyAlignment="1">
      <alignment horizontal="center" wrapText="1"/>
    </xf>
    <xf numFmtId="0" fontId="164" fillId="0" borderId="0" xfId="0" applyNumberFormat="1" applyFont="1" applyAlignment="1">
      <alignment horizontal="center"/>
    </xf>
    <xf numFmtId="172" fontId="164" fillId="0" borderId="0" xfId="0" applyFont="1" applyAlignment="1">
      <alignment horizontal="center"/>
    </xf>
    <xf numFmtId="44" fontId="164" fillId="0" borderId="0" xfId="0" applyNumberFormat="1" applyFont="1"/>
    <xf numFmtId="172" fontId="30" fillId="0" borderId="0" xfId="0" applyFont="1" applyAlignment="1">
      <alignment vertical="center" wrapText="1"/>
    </xf>
    <xf numFmtId="172" fontId="30" fillId="0" borderId="0" xfId="0" applyFont="1" applyAlignment="1">
      <alignment vertical="center"/>
    </xf>
    <xf numFmtId="0" fontId="30" fillId="0" borderId="0" xfId="0" applyNumberFormat="1" applyFont="1" applyAlignment="1">
      <alignment horizontal="center" vertical="top"/>
    </xf>
    <xf numFmtId="0" fontId="30" fillId="0" borderId="0" xfId="4228" applyFont="1" applyAlignment="1">
      <alignment vertical="top"/>
    </xf>
    <xf numFmtId="3" fontId="30" fillId="0" borderId="0" xfId="4228" applyNumberFormat="1" applyFont="1"/>
    <xf numFmtId="3" fontId="30" fillId="0" borderId="0" xfId="4597" applyNumberFormat="1" applyFont="1"/>
    <xf numFmtId="0" fontId="30" fillId="0" borderId="0" xfId="4597" applyNumberFormat="1" applyFont="1" applyAlignment="1" applyProtection="1">
      <alignment horizontal="center"/>
      <protection locked="0"/>
    </xf>
    <xf numFmtId="0" fontId="30" fillId="0" borderId="0" xfId="4597" applyNumberFormat="1" applyFont="1"/>
    <xf numFmtId="174" fontId="30" fillId="0" borderId="0" xfId="190" applyNumberFormat="1" applyFont="1" applyAlignment="1"/>
    <xf numFmtId="43" fontId="30" fillId="0" borderId="0" xfId="190" applyFont="1" applyAlignment="1">
      <alignment horizontal="center"/>
    </xf>
    <xf numFmtId="0" fontId="30" fillId="0" borderId="0" xfId="4595" applyFont="1"/>
    <xf numFmtId="3" fontId="30" fillId="0" borderId="0" xfId="4595" applyNumberFormat="1" applyFont="1"/>
    <xf numFmtId="174" fontId="30" fillId="0" borderId="0" xfId="190" applyNumberFormat="1" applyFont="1" applyFill="1" applyBorder="1" applyAlignment="1"/>
    <xf numFmtId="174" fontId="30" fillId="0" borderId="0" xfId="190" applyNumberFormat="1" applyFont="1" applyBorder="1" applyAlignment="1"/>
    <xf numFmtId="172" fontId="30" fillId="0" borderId="0" xfId="4597" applyFont="1"/>
    <xf numFmtId="164" fontId="30" fillId="0" borderId="0" xfId="4597" applyNumberFormat="1" applyFont="1" applyAlignment="1">
      <alignment horizontal="center"/>
    </xf>
    <xf numFmtId="174" fontId="30" fillId="0" borderId="0" xfId="190" applyNumberFormat="1" applyFont="1" applyFill="1" applyAlignment="1"/>
    <xf numFmtId="174" fontId="30" fillId="0" borderId="1" xfId="190" applyNumberFormat="1" applyFont="1" applyFill="1" applyBorder="1" applyAlignment="1"/>
    <xf numFmtId="271" fontId="30" fillId="0" borderId="0" xfId="190" applyNumberFormat="1" applyFont="1" applyFill="1" applyAlignment="1"/>
    <xf numFmtId="271" fontId="30" fillId="0" borderId="0" xfId="190" applyNumberFormat="1" applyFont="1" applyAlignment="1"/>
    <xf numFmtId="271" fontId="30" fillId="0" borderId="0" xfId="190" applyNumberFormat="1" applyFont="1" applyBorder="1" applyAlignment="1"/>
    <xf numFmtId="174" fontId="30" fillId="0" borderId="1" xfId="190" applyNumberFormat="1" applyFont="1" applyBorder="1" applyAlignment="1"/>
    <xf numFmtId="3" fontId="30" fillId="0" borderId="0" xfId="4597" quotePrefix="1" applyNumberFormat="1" applyFont="1" applyAlignment="1">
      <alignment horizontal="left"/>
    </xf>
    <xf numFmtId="174" fontId="30" fillId="0" borderId="14" xfId="190" applyNumberFormat="1" applyFont="1" applyFill="1" applyBorder="1" applyAlignment="1"/>
    <xf numFmtId="0" fontId="30" fillId="0" borderId="0" xfId="0" applyNumberFormat="1" applyFont="1" applyProtection="1">
      <protection locked="0"/>
    </xf>
    <xf numFmtId="174" fontId="30" fillId="0" borderId="50" xfId="190" applyNumberFormat="1" applyFont="1" applyFill="1" applyBorder="1" applyAlignment="1"/>
    <xf numFmtId="174" fontId="165" fillId="3" borderId="0" xfId="190" applyNumberFormat="1" applyFont="1" applyFill="1" applyAlignment="1"/>
    <xf numFmtId="0" fontId="30" fillId="0" borderId="0" xfId="4595" applyFont="1" applyAlignment="1" applyProtection="1">
      <alignment horizontal="center"/>
      <protection locked="0"/>
    </xf>
    <xf numFmtId="10" fontId="30" fillId="0" borderId="0" xfId="4597" applyNumberFormat="1" applyFont="1" applyAlignment="1">
      <alignment horizontal="left"/>
    </xf>
    <xf numFmtId="174" fontId="30" fillId="0" borderId="2" xfId="190" applyNumberFormat="1" applyFont="1" applyFill="1" applyBorder="1" applyAlignment="1"/>
    <xf numFmtId="0" fontId="30" fillId="0" borderId="0" xfId="0" applyNumberFormat="1" applyFont="1" applyAlignment="1" applyProtection="1">
      <alignment horizontal="center"/>
      <protection locked="0"/>
    </xf>
    <xf numFmtId="0" fontId="30" fillId="0" borderId="0" xfId="0" applyNumberFormat="1" applyFont="1" applyAlignment="1" applyProtection="1">
      <alignment horizontal="center" vertical="top"/>
      <protection locked="0"/>
    </xf>
    <xf numFmtId="0" fontId="30" fillId="0" borderId="0" xfId="0" applyNumberFormat="1" applyFont="1" applyAlignment="1" applyProtection="1">
      <alignment vertical="center"/>
      <protection locked="0"/>
    </xf>
    <xf numFmtId="172" fontId="30" fillId="0" borderId="0" xfId="0" applyFont="1" applyAlignment="1">
      <alignment horizontal="center" vertical="top"/>
    </xf>
    <xf numFmtId="0" fontId="30" fillId="0" borderId="0" xfId="4664" applyNumberFormat="1" applyFont="1"/>
    <xf numFmtId="0" fontId="166" fillId="0" borderId="0" xfId="0" applyNumberFormat="1" applyFont="1" applyProtection="1">
      <protection locked="0"/>
    </xf>
    <xf numFmtId="3" fontId="166" fillId="0" borderId="0" xfId="0" applyNumberFormat="1" applyFont="1"/>
    <xf numFmtId="0" fontId="166" fillId="0" borderId="0" xfId="0" applyNumberFormat="1" applyFont="1" applyAlignment="1" applyProtection="1">
      <alignment horizontal="center" vertical="top"/>
      <protection locked="0"/>
    </xf>
    <xf numFmtId="0" fontId="166" fillId="0" borderId="0" xfId="4597" applyNumberFormat="1" applyFont="1" applyAlignment="1" applyProtection="1">
      <alignment vertical="top" wrapText="1"/>
      <protection locked="0"/>
    </xf>
    <xf numFmtId="0" fontId="166" fillId="0" borderId="0" xfId="0" applyNumberFormat="1" applyFont="1" applyAlignment="1" applyProtection="1">
      <alignment vertical="top"/>
      <protection locked="0"/>
    </xf>
    <xf numFmtId="0" fontId="167" fillId="0" borderId="0" xfId="0" applyNumberFormat="1" applyFont="1" applyProtection="1">
      <protection locked="0"/>
    </xf>
    <xf numFmtId="172" fontId="166" fillId="0" borderId="0" xfId="0" applyFont="1"/>
    <xf numFmtId="172" fontId="166" fillId="0" borderId="0" xfId="0" applyFont="1" applyAlignment="1">
      <alignment horizontal="center"/>
    </xf>
    <xf numFmtId="0" fontId="166" fillId="0" borderId="0" xfId="4228" applyFont="1" applyAlignment="1">
      <alignment vertical="top" wrapText="1"/>
    </xf>
    <xf numFmtId="0" fontId="166" fillId="0" borderId="0" xfId="0" applyNumberFormat="1" applyFont="1"/>
    <xf numFmtId="172" fontId="166" fillId="0" borderId="0" xfId="0" applyFont="1" applyAlignment="1">
      <alignment horizontal="center" vertical="top"/>
    </xf>
    <xf numFmtId="0" fontId="166" fillId="0" borderId="0" xfId="4664" applyNumberFormat="1" applyFont="1"/>
    <xf numFmtId="172" fontId="166" fillId="0" borderId="0" xfId="4664" applyFont="1" applyAlignment="1">
      <alignment horizontal="center"/>
    </xf>
    <xf numFmtId="172" fontId="166" fillId="0" borderId="0" xfId="0" applyFont="1" applyAlignment="1">
      <alignment vertical="top" wrapText="1"/>
    </xf>
    <xf numFmtId="0" fontId="166" fillId="0" borderId="0" xfId="4228" applyFont="1" applyAlignment="1">
      <alignment vertical="top"/>
    </xf>
    <xf numFmtId="0" fontId="166" fillId="0" borderId="0" xfId="4597" applyNumberFormat="1" applyFont="1" applyAlignment="1" applyProtection="1">
      <alignment vertical="top"/>
      <protection locked="0"/>
    </xf>
    <xf numFmtId="170" fontId="166" fillId="0" borderId="0" xfId="4597" applyNumberFormat="1" applyFont="1" applyAlignment="1" applyProtection="1">
      <alignment vertical="top"/>
    </xf>
    <xf numFmtId="3" fontId="166" fillId="0" borderId="0" xfId="4597" applyNumberFormat="1" applyFont="1" applyAlignment="1" applyProtection="1">
      <alignment vertical="top"/>
    </xf>
    <xf numFmtId="172" fontId="166" fillId="0" borderId="0" xfId="0" applyFont="1" applyAlignment="1">
      <alignment vertical="top"/>
    </xf>
    <xf numFmtId="0" fontId="166" fillId="0" borderId="0" xfId="2138" applyFont="1" applyAlignment="1">
      <alignment vertical="center"/>
    </xf>
    <xf numFmtId="172" fontId="30" fillId="0" borderId="0" xfId="0" applyFont="1" applyProtection="1">
      <protection locked="0"/>
    </xf>
    <xf numFmtId="0" fontId="30" fillId="0" borderId="0" xfId="0" applyNumberFormat="1" applyFont="1" applyAlignment="1" applyProtection="1">
      <alignment horizontal="left"/>
      <protection locked="0"/>
    </xf>
    <xf numFmtId="0" fontId="30" fillId="0" borderId="0" xfId="0" applyNumberFormat="1" applyFont="1" applyAlignment="1" applyProtection="1">
      <alignment horizontal="right"/>
      <protection locked="0"/>
    </xf>
    <xf numFmtId="0" fontId="30" fillId="2" borderId="0" xfId="0" applyNumberFormat="1" applyFont="1" applyFill="1" applyAlignment="1" applyProtection="1">
      <alignment horizontal="right"/>
      <protection locked="0"/>
    </xf>
    <xf numFmtId="3" fontId="30" fillId="0" borderId="0" xfId="0" applyNumberFormat="1" applyFont="1" applyProtection="1">
      <protection locked="0"/>
    </xf>
    <xf numFmtId="3" fontId="30" fillId="0" borderId="0" xfId="0" applyNumberFormat="1" applyFont="1" applyAlignment="1" applyProtection="1">
      <alignment horizontal="center"/>
      <protection locked="0"/>
    </xf>
    <xf numFmtId="49" fontId="122" fillId="0" borderId="0" xfId="0" applyNumberFormat="1" applyFont="1" applyAlignment="1" applyProtection="1">
      <alignment horizontal="center"/>
      <protection locked="0"/>
    </xf>
    <xf numFmtId="49" fontId="30" fillId="0" borderId="0" xfId="0" applyNumberFormat="1" applyFont="1" applyProtection="1">
      <protection locked="0"/>
    </xf>
    <xf numFmtId="0" fontId="30" fillId="0" borderId="1" xfId="0" applyNumberFormat="1" applyFont="1" applyBorder="1" applyAlignment="1" applyProtection="1">
      <alignment horizontal="center"/>
      <protection locked="0"/>
    </xf>
    <xf numFmtId="42" fontId="30" fillId="0" borderId="0" xfId="0" applyNumberFormat="1" applyFont="1" applyProtection="1"/>
    <xf numFmtId="0" fontId="30" fillId="0" borderId="1" xfId="0" applyNumberFormat="1" applyFont="1" applyBorder="1" applyAlignment="1" applyProtection="1">
      <alignment horizontal="centerContinuous"/>
      <protection locked="0"/>
    </xf>
    <xf numFmtId="166" fontId="30" fillId="0" borderId="0" xfId="0" applyNumberFormat="1" applyFont="1" applyProtection="1"/>
    <xf numFmtId="3" fontId="30" fillId="0" borderId="0" xfId="0" applyNumberFormat="1" applyFont="1" applyProtection="1"/>
    <xf numFmtId="3" fontId="165" fillId="2" borderId="0" xfId="0" applyNumberFormat="1" applyFont="1" applyFill="1" applyProtection="1">
      <protection locked="0"/>
    </xf>
    <xf numFmtId="3" fontId="30" fillId="0" borderId="0" xfId="0" applyNumberFormat="1" applyFont="1" applyAlignment="1" applyProtection="1">
      <alignment horizontal="fill"/>
      <protection locked="0"/>
    </xf>
    <xf numFmtId="166" fontId="30" fillId="0" borderId="0" xfId="0" applyNumberFormat="1" applyFont="1" applyProtection="1">
      <protection locked="0"/>
    </xf>
    <xf numFmtId="42" fontId="30" fillId="0" borderId="14" xfId="0" applyNumberFormat="1" applyFont="1" applyBorder="1" applyAlignment="1" applyProtection="1">
      <alignment horizontal="right"/>
    </xf>
    <xf numFmtId="0" fontId="30" fillId="0" borderId="0" xfId="0" applyNumberFormat="1" applyFont="1" applyAlignment="1" applyProtection="1">
      <alignment horizontal="right"/>
    </xf>
    <xf numFmtId="172" fontId="122" fillId="0" borderId="0" xfId="0" applyFont="1" applyAlignment="1" applyProtection="1">
      <alignment horizontal="center"/>
    </xf>
    <xf numFmtId="49" fontId="30" fillId="0" borderId="0" xfId="0" applyNumberFormat="1" applyFont="1" applyAlignment="1" applyProtection="1">
      <alignment horizontal="left"/>
      <protection locked="0"/>
    </xf>
    <xf numFmtId="49" fontId="30" fillId="0" borderId="0" xfId="0" applyNumberFormat="1" applyFont="1" applyAlignment="1" applyProtection="1">
      <alignment horizontal="center"/>
      <protection locked="0"/>
    </xf>
    <xf numFmtId="3" fontId="122" fillId="0" borderId="0" xfId="0" applyNumberFormat="1" applyFont="1" applyAlignment="1" applyProtection="1">
      <alignment horizontal="center"/>
      <protection locked="0"/>
    </xf>
    <xf numFmtId="0" fontId="122" fillId="0" borderId="0" xfId="0" applyNumberFormat="1" applyFont="1" applyAlignment="1" applyProtection="1">
      <alignment horizontal="center"/>
      <protection locked="0"/>
    </xf>
    <xf numFmtId="172" fontId="122" fillId="0" borderId="0" xfId="0" applyFont="1" applyAlignment="1" applyProtection="1">
      <alignment horizontal="center"/>
      <protection locked="0"/>
    </xf>
    <xf numFmtId="3" fontId="122" fillId="0" borderId="0" xfId="0" applyNumberFormat="1" applyFont="1" applyProtection="1">
      <protection locked="0"/>
    </xf>
    <xf numFmtId="0" fontId="122" fillId="0" borderId="0" xfId="0" applyNumberFormat="1" applyFont="1" applyProtection="1">
      <protection locked="0"/>
    </xf>
    <xf numFmtId="165" fontId="30" fillId="0" borderId="0" xfId="0" applyNumberFormat="1" applyFont="1" applyProtection="1">
      <protection locked="0"/>
    </xf>
    <xf numFmtId="165" fontId="30" fillId="0" borderId="0" xfId="0" applyNumberFormat="1" applyFont="1" applyProtection="1"/>
    <xf numFmtId="164" fontId="30" fillId="0" borderId="0" xfId="0" applyNumberFormat="1" applyFont="1" applyAlignment="1" applyProtection="1">
      <alignment horizontal="center"/>
    </xf>
    <xf numFmtId="164" fontId="30" fillId="0" borderId="0" xfId="0" applyNumberFormat="1" applyFont="1" applyAlignment="1" applyProtection="1">
      <alignment horizontal="center"/>
      <protection locked="0"/>
    </xf>
    <xf numFmtId="0" fontId="30" fillId="0" borderId="0" xfId="0" applyNumberFormat="1" applyFont="1" applyProtection="1"/>
    <xf numFmtId="172" fontId="30" fillId="0" borderId="1" xfId="0" applyFont="1" applyBorder="1" applyProtection="1">
      <protection locked="0"/>
    </xf>
    <xf numFmtId="172" fontId="30" fillId="0" borderId="0" xfId="0" applyFont="1" applyProtection="1"/>
    <xf numFmtId="171" fontId="30" fillId="0" borderId="0" xfId="0" applyNumberFormat="1" applyFont="1" applyAlignment="1" applyProtection="1">
      <alignment horizontal="left"/>
    </xf>
    <xf numFmtId="166" fontId="30" fillId="0" borderId="0" xfId="0" applyNumberFormat="1" applyFont="1" applyAlignment="1" applyProtection="1">
      <alignment horizontal="right"/>
      <protection locked="0"/>
    </xf>
    <xf numFmtId="166" fontId="30" fillId="0" borderId="0" xfId="0" applyNumberFormat="1" applyFont="1" applyAlignment="1" applyProtection="1">
      <alignment horizontal="center"/>
      <protection locked="0"/>
    </xf>
    <xf numFmtId="164" fontId="30" fillId="0" borderId="0" xfId="0" applyNumberFormat="1" applyFont="1" applyAlignment="1" applyProtection="1">
      <alignment horizontal="left"/>
      <protection locked="0"/>
    </xf>
    <xf numFmtId="10" fontId="30" fillId="0" borderId="0" xfId="0" applyNumberFormat="1" applyFont="1" applyAlignment="1" applyProtection="1">
      <alignment horizontal="right"/>
    </xf>
    <xf numFmtId="10" fontId="30" fillId="0" borderId="0" xfId="0" applyNumberFormat="1" applyFont="1" applyAlignment="1" applyProtection="1">
      <alignment horizontal="left"/>
      <protection locked="0"/>
    </xf>
    <xf numFmtId="3" fontId="30" fillId="0" borderId="0" xfId="0" applyNumberFormat="1" applyFont="1" applyAlignment="1" applyProtection="1">
      <alignment horizontal="left"/>
      <protection locked="0"/>
    </xf>
    <xf numFmtId="167" fontId="30" fillId="0" borderId="0" xfId="0" applyNumberFormat="1" applyFont="1" applyProtection="1">
      <protection locked="0"/>
    </xf>
    <xf numFmtId="0" fontId="30" fillId="0" borderId="1" xfId="0" applyNumberFormat="1" applyFont="1" applyBorder="1" applyProtection="1">
      <protection locked="0"/>
    </xf>
    <xf numFmtId="3" fontId="165" fillId="2" borderId="1" xfId="0" applyNumberFormat="1" applyFont="1" applyFill="1" applyBorder="1" applyProtection="1">
      <protection locked="0"/>
    </xf>
    <xf numFmtId="165" fontId="30" fillId="0" borderId="0" xfId="0" applyNumberFormat="1" applyFont="1" applyAlignment="1" applyProtection="1">
      <alignment horizontal="right"/>
    </xf>
    <xf numFmtId="172" fontId="168" fillId="0" borderId="0" xfId="0" applyFont="1" applyProtection="1">
      <protection locked="0"/>
    </xf>
    <xf numFmtId="3" fontId="30" fillId="2" borderId="1" xfId="0" applyNumberFormat="1" applyFont="1" applyFill="1" applyBorder="1" applyProtection="1">
      <protection locked="0"/>
    </xf>
    <xf numFmtId="173" fontId="30" fillId="0" borderId="0" xfId="1" applyNumberFormat="1" applyFont="1" applyFill="1" applyBorder="1" applyAlignment="1" applyProtection="1">
      <protection locked="0"/>
    </xf>
    <xf numFmtId="3" fontId="169" fillId="0" borderId="0" xfId="0" applyNumberFormat="1" applyFont="1" applyProtection="1">
      <protection locked="0"/>
    </xf>
    <xf numFmtId="170" fontId="30" fillId="0" borderId="0" xfId="0" applyNumberFormat="1" applyFont="1" applyProtection="1">
      <protection locked="0"/>
    </xf>
    <xf numFmtId="172" fontId="169" fillId="0" borderId="0" xfId="0" applyFont="1" applyProtection="1">
      <protection locked="0"/>
    </xf>
    <xf numFmtId="172" fontId="170" fillId="0" borderId="0" xfId="0" applyFont="1" applyProtection="1">
      <protection locked="0"/>
    </xf>
    <xf numFmtId="172" fontId="171" fillId="0" borderId="0" xfId="0" applyFont="1" applyProtection="1">
      <protection locked="0"/>
    </xf>
    <xf numFmtId="172" fontId="169" fillId="0" borderId="0" xfId="0" applyFont="1" applyAlignment="1" applyProtection="1">
      <alignment horizontal="left" wrapText="1"/>
      <protection locked="0"/>
    </xf>
    <xf numFmtId="3" fontId="30" fillId="0" borderId="1" xfId="0" applyNumberFormat="1" applyFont="1" applyBorder="1" applyProtection="1">
      <protection locked="0"/>
    </xf>
    <xf numFmtId="3" fontId="30" fillId="0" borderId="1" xfId="0" applyNumberFormat="1" applyFont="1" applyBorder="1" applyAlignment="1" applyProtection="1">
      <alignment horizontal="center"/>
      <protection locked="0"/>
    </xf>
    <xf numFmtId="4" fontId="30" fillId="0" borderId="0" xfId="0" applyNumberFormat="1" applyFont="1" applyProtection="1">
      <protection locked="0"/>
    </xf>
    <xf numFmtId="4" fontId="30" fillId="0" borderId="0" xfId="0" applyNumberFormat="1" applyFont="1" applyProtection="1"/>
    <xf numFmtId="3" fontId="30" fillId="0" borderId="1" xfId="0" applyNumberFormat="1" applyFont="1" applyBorder="1" applyProtection="1"/>
    <xf numFmtId="166" fontId="30" fillId="0" borderId="0" xfId="0" applyNumberFormat="1" applyFont="1" applyAlignment="1" applyProtection="1">
      <alignment horizontal="center"/>
    </xf>
    <xf numFmtId="42" fontId="165" fillId="2" borderId="0" xfId="0" applyNumberFormat="1" applyFont="1" applyFill="1" applyProtection="1">
      <protection locked="0"/>
    </xf>
    <xf numFmtId="9" fontId="30" fillId="0" borderId="0" xfId="0" applyNumberFormat="1" applyFont="1" applyProtection="1"/>
    <xf numFmtId="169" fontId="30" fillId="0" borderId="0" xfId="0" applyNumberFormat="1" applyFont="1" applyProtection="1">
      <protection locked="0"/>
    </xf>
    <xf numFmtId="169" fontId="30" fillId="0" borderId="0" xfId="0" applyNumberFormat="1" applyFont="1" applyProtection="1"/>
    <xf numFmtId="3" fontId="30" fillId="0" borderId="0" xfId="0" quotePrefix="1" applyNumberFormat="1" applyFont="1" applyProtection="1">
      <protection locked="0"/>
    </xf>
    <xf numFmtId="169" fontId="30" fillId="0" borderId="1" xfId="0" applyNumberFormat="1" applyFont="1" applyBorder="1" applyProtection="1"/>
    <xf numFmtId="3" fontId="122" fillId="0" borderId="0" xfId="0" applyNumberFormat="1" applyFont="1" applyAlignment="1" applyProtection="1">
      <alignment horizontal="center"/>
    </xf>
    <xf numFmtId="10" fontId="30" fillId="2" borderId="0" xfId="0" applyNumberFormat="1" applyFont="1" applyFill="1" applyAlignment="1" applyProtection="1">
      <alignment vertical="top" wrapText="1"/>
      <protection locked="0"/>
    </xf>
    <xf numFmtId="174" fontId="30" fillId="75" borderId="0" xfId="4665" applyNumberFormat="1" applyFont="1" applyFill="1" applyAlignment="1"/>
    <xf numFmtId="174" fontId="165" fillId="0" borderId="0" xfId="190" applyNumberFormat="1" applyFont="1" applyFill="1" applyAlignment="1"/>
    <xf numFmtId="3" fontId="172" fillId="0" borderId="0" xfId="0" applyNumberFormat="1" applyFont="1" applyProtection="1">
      <protection locked="0"/>
    </xf>
    <xf numFmtId="43" fontId="30" fillId="0" borderId="0" xfId="4665" applyFont="1" applyFill="1" applyAlignment="1"/>
    <xf numFmtId="166" fontId="30" fillId="0" borderId="0" xfId="4665" applyNumberFormat="1" applyFont="1" applyFill="1" applyAlignment="1"/>
    <xf numFmtId="3" fontId="30" fillId="0" borderId="4" xfId="4597" applyNumberFormat="1" applyFont="1" applyBorder="1"/>
    <xf numFmtId="3" fontId="30" fillId="0" borderId="4" xfId="0" applyNumberFormat="1" applyFont="1" applyBorder="1" applyProtection="1"/>
    <xf numFmtId="0" fontId="30" fillId="0" borderId="4" xfId="0" applyNumberFormat="1" applyFont="1" applyBorder="1" applyProtection="1">
      <protection locked="0"/>
    </xf>
    <xf numFmtId="3" fontId="30" fillId="0" borderId="4" xfId="0" applyNumberFormat="1" applyFont="1" applyBorder="1" applyProtection="1">
      <protection locked="0"/>
    </xf>
    <xf numFmtId="49" fontId="30" fillId="0" borderId="4" xfId="0" applyNumberFormat="1" applyFont="1" applyBorder="1" applyProtection="1">
      <protection locked="0"/>
    </xf>
    <xf numFmtId="174" fontId="30" fillId="0" borderId="4" xfId="190" applyNumberFormat="1" applyFont="1" applyFill="1" applyBorder="1" applyAlignment="1"/>
    <xf numFmtId="3" fontId="30" fillId="0" borderId="3" xfId="0" applyNumberFormat="1" applyFont="1" applyBorder="1" applyAlignment="1" applyProtection="1">
      <alignment horizontal="center"/>
      <protection locked="0"/>
    </xf>
    <xf numFmtId="172" fontId="122" fillId="0" borderId="0" xfId="0" applyFont="1" applyAlignment="1">
      <alignment horizontal="center"/>
    </xf>
    <xf numFmtId="0" fontId="156" fillId="0" borderId="0" xfId="0" applyNumberFormat="1" applyFont="1" applyAlignment="1">
      <alignment horizontal="center"/>
    </xf>
    <xf numFmtId="0" fontId="30" fillId="0" borderId="0" xfId="4155" applyNumberFormat="1" applyFont="1" applyAlignment="1" applyProtection="1">
      <alignment horizontal="right"/>
      <protection locked="0"/>
    </xf>
    <xf numFmtId="172" fontId="9" fillId="0" borderId="0" xfId="0" applyFont="1"/>
    <xf numFmtId="172" fontId="174" fillId="0" borderId="0" xfId="0" applyFont="1"/>
    <xf numFmtId="172" fontId="9" fillId="0" borderId="0" xfId="0" applyFont="1" applyAlignment="1">
      <alignment horizontal="right"/>
    </xf>
    <xf numFmtId="172" fontId="9" fillId="0" borderId="0" xfId="0" applyFont="1" applyAlignment="1">
      <alignment vertical="top" wrapText="1"/>
    </xf>
    <xf numFmtId="172" fontId="9" fillId="3" borderId="0" xfId="0" applyFont="1" applyFill="1"/>
    <xf numFmtId="172" fontId="9" fillId="75" borderId="0" xfId="0" applyFont="1" applyFill="1"/>
    <xf numFmtId="172" fontId="9" fillId="0" borderId="0" xfId="0" applyFont="1" applyAlignment="1">
      <alignment vertical="top"/>
    </xf>
    <xf numFmtId="172" fontId="174" fillId="0" borderId="1" xfId="0" applyFont="1" applyBorder="1"/>
    <xf numFmtId="172" fontId="174" fillId="0" borderId="1" xfId="0" applyFont="1" applyBorder="1" applyAlignment="1">
      <alignment horizontal="center"/>
    </xf>
    <xf numFmtId="172" fontId="9" fillId="0" borderId="0" xfId="0" applyFont="1" applyAlignment="1">
      <alignment horizontal="center"/>
    </xf>
    <xf numFmtId="172" fontId="175" fillId="0" borderId="0" xfId="4663" applyNumberFormat="1" applyFont="1" applyFill="1" applyAlignment="1" applyProtection="1"/>
    <xf numFmtId="172" fontId="9" fillId="0" borderId="0" xfId="0" quotePrefix="1" applyFont="1" applyAlignment="1">
      <alignment horizontal="center"/>
    </xf>
    <xf numFmtId="172" fontId="9" fillId="0" borderId="0" xfId="0" applyFont="1" applyProtection="1"/>
    <xf numFmtId="172" fontId="176" fillId="0" borderId="0" xfId="0" applyFont="1"/>
    <xf numFmtId="172" fontId="9" fillId="0" borderId="0" xfId="0" quotePrefix="1" applyFont="1"/>
    <xf numFmtId="0" fontId="30" fillId="0" borderId="0" xfId="4" applyFont="1"/>
    <xf numFmtId="0" fontId="122" fillId="0" borderId="0" xfId="4" applyFont="1" applyAlignment="1">
      <alignment horizontal="right"/>
    </xf>
    <xf numFmtId="0" fontId="30" fillId="0" borderId="0" xfId="4" applyFont="1" applyAlignment="1">
      <alignment horizontal="right"/>
    </xf>
    <xf numFmtId="0" fontId="30" fillId="0" borderId="0" xfId="4" applyFont="1" applyAlignment="1">
      <alignment horizontal="center"/>
    </xf>
    <xf numFmtId="3" fontId="30" fillId="0" borderId="0" xfId="0" applyNumberFormat="1" applyFont="1" applyAlignment="1">
      <alignment horizontal="center"/>
    </xf>
    <xf numFmtId="3" fontId="30" fillId="0" borderId="0" xfId="0" applyNumberFormat="1" applyFont="1"/>
    <xf numFmtId="0" fontId="30" fillId="0" borderId="3" xfId="4" applyFont="1" applyBorder="1" applyAlignment="1">
      <alignment horizontal="center"/>
    </xf>
    <xf numFmtId="172" fontId="30" fillId="0" borderId="3" xfId="0" applyFont="1" applyBorder="1" applyAlignment="1">
      <alignment horizontal="center"/>
    </xf>
    <xf numFmtId="0" fontId="30" fillId="0" borderId="3" xfId="0" applyNumberFormat="1" applyFont="1" applyBorder="1" applyAlignment="1" applyProtection="1">
      <alignment horizontal="center"/>
      <protection locked="0"/>
    </xf>
    <xf numFmtId="173" fontId="165" fillId="2" borderId="0" xfId="1" applyNumberFormat="1" applyFont="1" applyFill="1" applyBorder="1"/>
    <xf numFmtId="43" fontId="30" fillId="0" borderId="0" xfId="190" applyFont="1" applyFill="1"/>
    <xf numFmtId="3" fontId="30" fillId="0" borderId="0" xfId="4" applyNumberFormat="1" applyFont="1"/>
    <xf numFmtId="174" fontId="30" fillId="0" borderId="0" xfId="190" applyNumberFormat="1" applyFont="1" applyFill="1"/>
    <xf numFmtId="174" fontId="30" fillId="0" borderId="0" xfId="4" applyNumberFormat="1" applyFont="1"/>
    <xf numFmtId="173" fontId="30" fillId="0" borderId="14" xfId="1" applyNumberFormat="1" applyFont="1" applyFill="1" applyBorder="1"/>
    <xf numFmtId="44" fontId="30" fillId="0" borderId="0" xfId="4" applyNumberFormat="1" applyFont="1"/>
    <xf numFmtId="0" fontId="122" fillId="0" borderId="0" xfId="4" applyFont="1"/>
    <xf numFmtId="174" fontId="30" fillId="0" borderId="0" xfId="190" applyNumberFormat="1" applyFont="1"/>
    <xf numFmtId="174" fontId="30" fillId="0" borderId="4" xfId="190" applyNumberFormat="1" applyFont="1" applyFill="1" applyBorder="1"/>
    <xf numFmtId="174" fontId="122" fillId="0" borderId="0" xfId="190" applyNumberFormat="1" applyFont="1" applyFill="1"/>
    <xf numFmtId="173" fontId="30" fillId="0" borderId="0" xfId="1" applyNumberFormat="1" applyFont="1" applyFill="1" applyBorder="1"/>
    <xf numFmtId="0" fontId="156" fillId="0" borderId="0" xfId="4" applyFont="1"/>
    <xf numFmtId="9" fontId="30" fillId="0" borderId="0" xfId="4475" applyFont="1"/>
    <xf numFmtId="172" fontId="122" fillId="0" borderId="0" xfId="0" applyFont="1" applyAlignment="1">
      <alignment horizontal="right"/>
    </xf>
    <xf numFmtId="49" fontId="122" fillId="0" borderId="0" xfId="4598" applyNumberFormat="1" applyFont="1" applyAlignment="1">
      <alignment horizontal="center"/>
    </xf>
    <xf numFmtId="0" fontId="30" fillId="0" borderId="3" xfId="4" applyFont="1" applyBorder="1"/>
    <xf numFmtId="10" fontId="30" fillId="0" borderId="0" xfId="3" applyNumberFormat="1" applyFont="1" applyFill="1"/>
    <xf numFmtId="10" fontId="30" fillId="0" borderId="0" xfId="4" applyNumberFormat="1" applyFont="1"/>
    <xf numFmtId="49" fontId="122" fillId="0" borderId="0" xfId="4" applyNumberFormat="1" applyFont="1"/>
    <xf numFmtId="172" fontId="122" fillId="0" borderId="0" xfId="0" applyFont="1" applyAlignment="1" applyProtection="1">
      <alignment horizontal="center" wrapText="1"/>
      <protection locked="0"/>
    </xf>
    <xf numFmtId="172" fontId="122" fillId="0" borderId="3" xfId="0" applyFont="1" applyBorder="1" applyAlignment="1" applyProtection="1">
      <alignment horizontal="center"/>
      <protection locked="0"/>
    </xf>
    <xf numFmtId="172" fontId="122" fillId="0" borderId="3" xfId="0" applyFont="1" applyBorder="1" applyAlignment="1" applyProtection="1">
      <alignment horizontal="center" wrapText="1"/>
      <protection locked="0"/>
    </xf>
    <xf numFmtId="174" fontId="30" fillId="0" borderId="0" xfId="4665" applyNumberFormat="1" applyFont="1" applyBorder="1" applyAlignment="1">
      <alignment horizontal="center"/>
    </xf>
    <xf numFmtId="10" fontId="9" fillId="56" borderId="0" xfId="4352" applyNumberFormat="1" applyFont="1" applyFill="1" applyBorder="1"/>
    <xf numFmtId="307" fontId="9" fillId="56" borderId="0" xfId="0" applyNumberFormat="1" applyFont="1" applyFill="1"/>
    <xf numFmtId="10" fontId="30" fillId="0" borderId="0" xfId="4666" applyNumberFormat="1" applyFont="1" applyBorder="1" applyAlignment="1">
      <alignment horizontal="right"/>
    </xf>
    <xf numFmtId="172" fontId="30" fillId="0" borderId="0" xfId="0" applyFont="1" applyAlignment="1" applyProtection="1">
      <alignment horizontal="right"/>
    </xf>
    <xf numFmtId="174" fontId="30" fillId="0" borderId="0" xfId="0" applyNumberFormat="1" applyFont="1" applyProtection="1"/>
    <xf numFmtId="174" fontId="30" fillId="0" borderId="17" xfId="0" applyNumberFormat="1" applyFont="1" applyBorder="1" applyProtection="1"/>
    <xf numFmtId="10" fontId="30" fillId="0" borderId="0" xfId="3" applyNumberFormat="1" applyFont="1" applyFill="1" applyBorder="1"/>
    <xf numFmtId="0" fontId="30" fillId="0" borderId="0" xfId="4476" applyFont="1"/>
    <xf numFmtId="0" fontId="30" fillId="0" borderId="0" xfId="4476" applyFont="1" applyAlignment="1">
      <alignment horizontal="center"/>
    </xf>
    <xf numFmtId="0" fontId="30" fillId="0" borderId="0" xfId="4476" applyFont="1" applyAlignment="1">
      <alignment horizontal="right"/>
    </xf>
    <xf numFmtId="0" fontId="122" fillId="0" borderId="0" xfId="4476" applyFont="1" applyAlignment="1">
      <alignment horizontal="left"/>
    </xf>
    <xf numFmtId="0" fontId="30" fillId="0" borderId="0" xfId="4476" applyFont="1" applyAlignment="1">
      <alignment horizontal="left"/>
    </xf>
    <xf numFmtId="16" fontId="30" fillId="0" borderId="0" xfId="4476" applyNumberFormat="1" applyFont="1" applyAlignment="1">
      <alignment horizontal="center"/>
    </xf>
    <xf numFmtId="0" fontId="30" fillId="0" borderId="0" xfId="4476" applyFont="1" applyAlignment="1">
      <alignment horizontal="left" wrapText="1"/>
    </xf>
    <xf numFmtId="0" fontId="30" fillId="0" borderId="0" xfId="4476" applyFont="1" applyAlignment="1">
      <alignment wrapText="1"/>
    </xf>
    <xf numFmtId="0" fontId="122" fillId="0" borderId="1" xfId="4476" applyFont="1" applyBorder="1" applyAlignment="1">
      <alignment horizontal="center" wrapText="1"/>
    </xf>
    <xf numFmtId="0" fontId="177" fillId="0" borderId="0" xfId="4476" applyFont="1"/>
    <xf numFmtId="174" fontId="30" fillId="0" borderId="0" xfId="190" applyNumberFormat="1" applyFont="1" applyFill="1" applyBorder="1" applyAlignment="1" applyProtection="1">
      <alignment wrapText="1"/>
    </xf>
    <xf numFmtId="173" fontId="30" fillId="0" borderId="0" xfId="4476" applyNumberFormat="1" applyFont="1"/>
    <xf numFmtId="174" fontId="177" fillId="0" borderId="0" xfId="190" applyNumberFormat="1" applyFont="1" applyFill="1" applyProtection="1"/>
    <xf numFmtId="0" fontId="178" fillId="0" borderId="0" xfId="4476" applyFont="1" applyAlignment="1">
      <alignment horizontal="center"/>
    </xf>
    <xf numFmtId="174" fontId="177" fillId="0" borderId="0" xfId="4477" applyNumberFormat="1" applyFont="1" applyFill="1" applyProtection="1"/>
    <xf numFmtId="173" fontId="30" fillId="0" borderId="0" xfId="1" applyNumberFormat="1" applyFont="1" applyFill="1" applyProtection="1"/>
    <xf numFmtId="174" fontId="30" fillId="0" borderId="0" xfId="4476" applyNumberFormat="1" applyFont="1"/>
    <xf numFmtId="0" fontId="30" fillId="0" borderId="0" xfId="4476" applyFont="1" applyAlignment="1">
      <alignment horizontal="center" vertical="top"/>
    </xf>
    <xf numFmtId="0" fontId="9" fillId="0" borderId="0" xfId="4476" applyFont="1" applyAlignment="1">
      <alignment horizontal="center"/>
    </xf>
    <xf numFmtId="0" fontId="9" fillId="0" borderId="0" xfId="4476" applyFont="1"/>
    <xf numFmtId="172" fontId="30" fillId="0" borderId="0" xfId="4667" applyNumberFormat="1" applyFont="1" applyAlignment="1"/>
    <xf numFmtId="172" fontId="30" fillId="0" borderId="0" xfId="4667" applyNumberFormat="1" applyFont="1" applyAlignment="1">
      <alignment horizontal="right"/>
    </xf>
    <xf numFmtId="0" fontId="30" fillId="0" borderId="0" xfId="4667" applyNumberFormat="1" applyFont="1" applyAlignment="1"/>
    <xf numFmtId="172" fontId="30" fillId="0" borderId="0" xfId="4667" applyNumberFormat="1" applyFont="1" applyBorder="1" applyAlignment="1"/>
    <xf numFmtId="0" fontId="30" fillId="0" borderId="0" xfId="4667" applyNumberFormat="1" applyFont="1" applyBorder="1" applyAlignment="1"/>
    <xf numFmtId="193" fontId="30" fillId="0" borderId="0" xfId="4667" applyNumberFormat="1" applyFont="1" applyAlignment="1"/>
    <xf numFmtId="172" fontId="30" fillId="0" borderId="0" xfId="4667" applyNumberFormat="1" applyFont="1" applyFill="1" applyBorder="1" applyAlignment="1"/>
    <xf numFmtId="306" fontId="38" fillId="0" borderId="0" xfId="4667" applyNumberFormat="1" applyFont="1" applyFill="1" applyAlignment="1">
      <alignment horizontal="left"/>
    </xf>
    <xf numFmtId="41" fontId="30" fillId="78" borderId="0" xfId="1" applyNumberFormat="1" applyFont="1" applyFill="1" applyAlignment="1" applyProtection="1">
      <protection locked="0"/>
    </xf>
    <xf numFmtId="173" fontId="30" fillId="0" borderId="0" xfId="1" applyNumberFormat="1" applyFont="1" applyFill="1" applyBorder="1" applyAlignment="1"/>
    <xf numFmtId="172" fontId="30" fillId="0" borderId="38" xfId="4667" applyNumberFormat="1" applyFont="1" applyBorder="1" applyAlignment="1"/>
    <xf numFmtId="172" fontId="156" fillId="0" borderId="0" xfId="4667" applyNumberFormat="1" applyFont="1" applyBorder="1" applyAlignment="1">
      <alignment horizontal="center"/>
    </xf>
    <xf numFmtId="42" fontId="38" fillId="0" borderId="0" xfId="4667" applyNumberFormat="1" applyFont="1" applyAlignment="1"/>
    <xf numFmtId="42" fontId="38" fillId="0" borderId="0" xfId="4667" applyNumberFormat="1" applyFont="1" applyBorder="1" applyAlignment="1"/>
    <xf numFmtId="42" fontId="38" fillId="0" borderId="38" xfId="4667" applyNumberFormat="1" applyFont="1" applyBorder="1" applyAlignment="1"/>
    <xf numFmtId="42" fontId="38" fillId="0" borderId="0" xfId="1" applyNumberFormat="1" applyFont="1" applyFill="1" applyBorder="1" applyAlignment="1"/>
    <xf numFmtId="42" fontId="30" fillId="0" borderId="38" xfId="4667" applyNumberFormat="1" applyFont="1" applyBorder="1" applyAlignment="1"/>
    <xf numFmtId="42" fontId="30" fillId="0" borderId="0" xfId="4667" applyNumberFormat="1" applyFont="1" applyBorder="1" applyAlignment="1"/>
    <xf numFmtId="306" fontId="30" fillId="0" borderId="0" xfId="4667" applyNumberFormat="1" applyFont="1" applyFill="1" applyAlignment="1">
      <alignment horizontal="left"/>
    </xf>
    <xf numFmtId="170" fontId="30" fillId="0" borderId="0" xfId="4667" applyNumberFormat="1" applyFont="1" applyAlignment="1"/>
    <xf numFmtId="172" fontId="30" fillId="0" borderId="0" xfId="4667" applyNumberFormat="1" applyFont="1" applyFill="1" applyAlignment="1"/>
    <xf numFmtId="172" fontId="156" fillId="0" borderId="0" xfId="4667" applyNumberFormat="1" applyFont="1" applyAlignment="1">
      <alignment horizontal="center"/>
    </xf>
    <xf numFmtId="172" fontId="122" fillId="0" borderId="0" xfId="4667" quotePrefix="1" applyNumberFormat="1" applyFont="1" applyFill="1" applyAlignment="1"/>
    <xf numFmtId="172" fontId="30" fillId="0" borderId="0" xfId="4667" applyNumberFormat="1" applyFont="1" applyAlignment="1">
      <alignment horizontal="center" vertical="top"/>
    </xf>
    <xf numFmtId="172" fontId="30" fillId="0" borderId="0" xfId="4667" applyNumberFormat="1" applyFont="1" applyBorder="1" applyAlignment="1">
      <alignment horizontal="center"/>
    </xf>
    <xf numFmtId="172" fontId="30" fillId="0" borderId="3" xfId="4667" applyNumberFormat="1" applyFont="1" applyFill="1" applyBorder="1"/>
    <xf numFmtId="172" fontId="30" fillId="0" borderId="0" xfId="4667" applyNumberFormat="1" applyFont="1" applyFill="1"/>
    <xf numFmtId="0" fontId="30" fillId="0" borderId="0" xfId="4667" applyNumberFormat="1" applyFont="1" applyFill="1" applyAlignment="1">
      <alignment horizontal="center"/>
    </xf>
    <xf numFmtId="172" fontId="122" fillId="0" borderId="17" xfId="4667" applyNumberFormat="1" applyFont="1" applyFill="1" applyBorder="1" applyAlignment="1">
      <alignment horizontal="center" wrapText="1"/>
    </xf>
    <xf numFmtId="172" fontId="122" fillId="0" borderId="54" xfId="4667" applyNumberFormat="1" applyFont="1" applyFill="1" applyBorder="1" applyAlignment="1">
      <alignment horizontal="center" wrapText="1"/>
    </xf>
    <xf numFmtId="172" fontId="30" fillId="0" borderId="0" xfId="0" applyFont="1" applyAlignment="1">
      <alignment horizontal="left" vertical="center" wrapText="1"/>
    </xf>
    <xf numFmtId="0" fontId="30" fillId="0" borderId="0" xfId="4228" applyFont="1" applyAlignment="1">
      <alignment horizontal="left" vertical="top" wrapText="1"/>
    </xf>
    <xf numFmtId="44" fontId="30" fillId="0" borderId="0" xfId="4" applyNumberFormat="1" applyFont="1" applyAlignment="1">
      <alignment horizontal="center"/>
    </xf>
    <xf numFmtId="10" fontId="30" fillId="0" borderId="0" xfId="4665" applyNumberFormat="1" applyFont="1" applyFill="1" applyAlignment="1">
      <alignment horizontal="center"/>
    </xf>
    <xf numFmtId="10" fontId="30" fillId="0" borderId="0" xfId="3" applyNumberFormat="1" applyFont="1" applyFill="1" applyAlignment="1">
      <alignment horizontal="center"/>
    </xf>
    <xf numFmtId="0" fontId="30" fillId="0" borderId="4" xfId="4" applyFont="1" applyBorder="1"/>
    <xf numFmtId="10" fontId="30" fillId="0" borderId="4" xfId="3" applyNumberFormat="1" applyFont="1" applyFill="1" applyBorder="1" applyAlignment="1">
      <alignment horizontal="center"/>
    </xf>
    <xf numFmtId="172" fontId="179" fillId="0" borderId="0" xfId="0" applyFont="1"/>
    <xf numFmtId="172" fontId="181" fillId="0" borderId="51" xfId="0" applyFont="1" applyBorder="1"/>
    <xf numFmtId="172" fontId="179" fillId="0" borderId="37" xfId="0" applyFont="1" applyBorder="1"/>
    <xf numFmtId="172" fontId="179" fillId="0" borderId="38" xfId="0" applyFont="1" applyBorder="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Alignment="1">
      <alignment horizontal="center"/>
    </xf>
    <xf numFmtId="172" fontId="179" fillId="0" borderId="38" xfId="0" applyFont="1" applyBorder="1" applyAlignment="1">
      <alignment horizontal="center"/>
    </xf>
    <xf numFmtId="42" fontId="179" fillId="0" borderId="0" xfId="0" applyNumberFormat="1" applyFo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3" borderId="4" xfId="0" applyFont="1" applyFill="1" applyBorder="1"/>
    <xf numFmtId="172" fontId="179" fillId="3" borderId="0" xfId="0" applyFont="1" applyFill="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Alignment="1">
      <alignment horizontal="center"/>
    </xf>
    <xf numFmtId="0" fontId="30" fillId="0" borderId="0" xfId="4598" applyFont="1" applyAlignment="1">
      <alignment horizontal="center"/>
    </xf>
    <xf numFmtId="44" fontId="164" fillId="0" borderId="0" xfId="0" applyNumberFormat="1" applyFont="1" applyAlignment="1">
      <alignment horizontal="center"/>
    </xf>
    <xf numFmtId="0" fontId="179" fillId="0" borderId="0" xfId="0" applyNumberFormat="1" applyFont="1" applyAlignment="1">
      <alignment horizontal="center"/>
    </xf>
    <xf numFmtId="172" fontId="179" fillId="0" borderId="0" xfId="0" applyFont="1" applyAlignment="1">
      <alignment horizontal="left"/>
    </xf>
    <xf numFmtId="172" fontId="182" fillId="0" borderId="0" xfId="0" applyFont="1" applyAlignment="1">
      <alignment horizontal="center"/>
    </xf>
    <xf numFmtId="0" fontId="164" fillId="0" borderId="0" xfId="0" applyNumberFormat="1" applyFont="1" applyProtection="1">
      <protection locked="0"/>
    </xf>
    <xf numFmtId="172" fontId="122" fillId="0" borderId="0" xfId="4667" applyNumberFormat="1" applyFont="1" applyBorder="1" applyAlignment="1"/>
    <xf numFmtId="172" fontId="30" fillId="0" borderId="37" xfId="4667" applyNumberFormat="1" applyFont="1" applyFill="1" applyBorder="1" applyAlignment="1"/>
    <xf numFmtId="172" fontId="30" fillId="0" borderId="37" xfId="4667" applyNumberFormat="1" applyFont="1" applyBorder="1" applyAlignment="1"/>
    <xf numFmtId="172" fontId="156"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xf numFmtId="172" fontId="180" fillId="0" borderId="37" xfId="0" applyFont="1" applyBorder="1" applyAlignment="1">
      <alignment horizontal="center"/>
    </xf>
    <xf numFmtId="172" fontId="180" fillId="0" borderId="52" xfId="0" applyFont="1" applyBorder="1" applyAlignment="1">
      <alignment horizontal="center"/>
    </xf>
    <xf numFmtId="42" fontId="38"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xf numFmtId="172" fontId="180" fillId="0" borderId="38" xfId="0" applyFont="1" applyBorder="1" applyAlignment="1">
      <alignment horizontal="center"/>
    </xf>
    <xf numFmtId="174" fontId="179" fillId="0" borderId="38"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xf numFmtId="172" fontId="122" fillId="0" borderId="0" xfId="4667" applyNumberFormat="1" applyFont="1" applyFill="1" applyAlignment="1">
      <alignment horizontal="center"/>
    </xf>
    <xf numFmtId="0" fontId="30" fillId="0" borderId="0" xfId="4671" applyFont="1"/>
    <xf numFmtId="0" fontId="30" fillId="0" borderId="0" xfId="4671" quotePrefix="1" applyFont="1"/>
    <xf numFmtId="0" fontId="30" fillId="0" borderId="0" xfId="4671" applyFont="1" applyAlignment="1">
      <alignment horizontal="center"/>
    </xf>
    <xf numFmtId="37" fontId="30" fillId="0" borderId="0" xfId="4671" applyNumberFormat="1" applyFont="1" applyAlignment="1">
      <alignment horizontal="right"/>
    </xf>
    <xf numFmtId="0" fontId="184" fillId="0" borderId="27" xfId="4671" applyFont="1" applyBorder="1"/>
    <xf numFmtId="37" fontId="30" fillId="0" borderId="0" xfId="4671" applyNumberFormat="1" applyFont="1"/>
    <xf numFmtId="0" fontId="30" fillId="0" borderId="0" xfId="4671" applyFont="1" applyAlignment="1">
      <alignment horizontal="left" indent="1"/>
    </xf>
    <xf numFmtId="5" fontId="30" fillId="0" borderId="0" xfId="4671" applyNumberFormat="1" applyFont="1"/>
    <xf numFmtId="0" fontId="30" fillId="0" borderId="0" xfId="4671" applyFont="1" applyAlignment="1">
      <alignment horizontal="left" indent="2"/>
    </xf>
    <xf numFmtId="0" fontId="131" fillId="0" borderId="0" xfId="4473" applyFont="1" applyAlignment="1">
      <alignment horizontal="left" indent="2"/>
    </xf>
    <xf numFmtId="0" fontId="184" fillId="0" borderId="0" xfId="4671" applyFont="1" applyAlignment="1">
      <alignment horizontal="left"/>
    </xf>
    <xf numFmtId="212" fontId="30" fillId="0" borderId="0" xfId="4671" applyNumberFormat="1" applyFont="1"/>
    <xf numFmtId="309" fontId="30" fillId="0" borderId="0" xfId="4671" applyNumberFormat="1" applyFont="1"/>
    <xf numFmtId="0" fontId="122" fillId="0" borderId="0" xfId="4671" applyFont="1"/>
    <xf numFmtId="0" fontId="156" fillId="0" borderId="0" xfId="4" applyFont="1" applyAlignment="1">
      <alignment horizontal="center"/>
    </xf>
    <xf numFmtId="174" fontId="30" fillId="0" borderId="0" xfId="4665" applyNumberFormat="1" applyFont="1" applyFill="1" applyAlignment="1" applyProtection="1">
      <alignment horizontal="center"/>
      <protection locked="0"/>
    </xf>
    <xf numFmtId="43" fontId="30" fillId="0" borderId="0" xfId="190" applyFont="1" applyFill="1" applyAlignment="1"/>
    <xf numFmtId="172" fontId="30" fillId="0" borderId="0" xfId="4667" applyNumberFormat="1" applyFont="1" applyFill="1" applyAlignment="1">
      <alignment horizontal="right"/>
    </xf>
    <xf numFmtId="172" fontId="122" fillId="0" borderId="0" xfId="4667" applyNumberFormat="1" applyFont="1" applyBorder="1"/>
    <xf numFmtId="172" fontId="122" fillId="0" borderId="0" xfId="4667" applyNumberFormat="1" applyFont="1" applyBorder="1" applyAlignment="1">
      <alignment horizontal="center"/>
    </xf>
    <xf numFmtId="172" fontId="30" fillId="0" borderId="0" xfId="4667" quotePrefix="1" applyNumberFormat="1" applyFont="1" applyAlignment="1">
      <alignment horizontal="center"/>
    </xf>
    <xf numFmtId="172" fontId="30" fillId="0" borderId="0" xfId="4667" quotePrefix="1" applyNumberFormat="1" applyFont="1" applyFill="1" applyAlignment="1">
      <alignment horizontal="center"/>
    </xf>
    <xf numFmtId="172" fontId="122" fillId="0" borderId="0" xfId="4667" applyNumberFormat="1" applyFont="1" applyAlignment="1"/>
    <xf numFmtId="172" fontId="122" fillId="0" borderId="0" xfId="4667" applyNumberFormat="1" applyFont="1" applyAlignment="1">
      <alignment horizontal="center"/>
    </xf>
    <xf numFmtId="172" fontId="122" fillId="0" borderId="1" xfId="4667" applyNumberFormat="1" applyFont="1" applyBorder="1" applyAlignment="1">
      <alignment horizontal="center"/>
    </xf>
    <xf numFmtId="172" fontId="122" fillId="0" borderId="1" xfId="4667" applyNumberFormat="1" applyFont="1" applyFill="1" applyBorder="1" applyAlignment="1">
      <alignment horizontal="center"/>
    </xf>
    <xf numFmtId="0" fontId="30" fillId="0" borderId="0" xfId="190" applyNumberFormat="1" applyFont="1" applyAlignment="1">
      <alignment horizontal="center"/>
    </xf>
    <xf numFmtId="170" fontId="30" fillId="0" borderId="0" xfId="190" applyNumberFormat="1" applyFont="1" applyFill="1" applyBorder="1" applyAlignment="1"/>
    <xf numFmtId="0" fontId="30" fillId="0" borderId="0" xfId="4667" applyNumberFormat="1" applyFont="1" applyAlignment="1">
      <alignment horizontal="center"/>
    </xf>
    <xf numFmtId="193" fontId="30" fillId="0" borderId="0" xfId="4667" applyNumberFormat="1" applyFont="1" applyFill="1" applyAlignment="1"/>
    <xf numFmtId="41" fontId="30" fillId="0" borderId="0" xfId="4668" applyNumberFormat="1" applyFont="1" applyProtection="1">
      <protection locked="0"/>
    </xf>
    <xf numFmtId="271" fontId="30" fillId="79" borderId="0" xfId="190" applyNumberFormat="1" applyFont="1" applyFill="1" applyAlignment="1"/>
    <xf numFmtId="41" fontId="30" fillId="0" borderId="0" xfId="4667" applyNumberFormat="1" applyFont="1" applyFill="1" applyBorder="1" applyAlignment="1"/>
    <xf numFmtId="172" fontId="30" fillId="0" borderId="4" xfId="4667" applyNumberFormat="1" applyFont="1" applyFill="1" applyBorder="1" applyAlignment="1"/>
    <xf numFmtId="173" fontId="30" fillId="0" borderId="4" xfId="1" applyNumberFormat="1" applyFont="1" applyFill="1" applyBorder="1" applyAlignment="1"/>
    <xf numFmtId="271" fontId="30" fillId="0" borderId="4" xfId="190" applyNumberFormat="1" applyFont="1" applyFill="1" applyBorder="1" applyAlignment="1"/>
    <xf numFmtId="173" fontId="30" fillId="0" borderId="0" xfId="4668" applyNumberFormat="1" applyFont="1" applyProtection="1">
      <protection locked="0"/>
    </xf>
    <xf numFmtId="0" fontId="30" fillId="0" borderId="4" xfId="4667" applyNumberFormat="1" applyFont="1" applyBorder="1" applyAlignment="1"/>
    <xf numFmtId="1" fontId="30" fillId="0" borderId="4" xfId="4668" applyNumberFormat="1" applyFont="1" applyBorder="1" applyAlignment="1" applyProtection="1">
      <alignment horizontal="left"/>
      <protection locked="0"/>
    </xf>
    <xf numFmtId="173" fontId="30" fillId="0" borderId="4" xfId="4668" applyNumberFormat="1" applyFont="1" applyBorder="1" applyProtection="1">
      <protection locked="0"/>
    </xf>
    <xf numFmtId="173" fontId="30" fillId="0" borderId="0" xfId="1" applyNumberFormat="1" applyFont="1" applyFill="1" applyAlignment="1"/>
    <xf numFmtId="172" fontId="122" fillId="0" borderId="0" xfId="4669" applyFont="1" applyAlignment="1">
      <alignment horizontal="left"/>
    </xf>
    <xf numFmtId="42" fontId="30" fillId="0" borderId="0" xfId="4667" applyNumberFormat="1" applyFont="1" applyAlignment="1"/>
    <xf numFmtId="0" fontId="30" fillId="0" borderId="0" xfId="4667" applyNumberFormat="1" applyFont="1" applyFill="1" applyBorder="1" applyAlignment="1"/>
    <xf numFmtId="41" fontId="115" fillId="0" borderId="0" xfId="4668" applyNumberFormat="1" applyFont="1" applyProtection="1">
      <protection locked="0"/>
    </xf>
    <xf numFmtId="172" fontId="30" fillId="0" borderId="0" xfId="4667" applyNumberFormat="1" applyFont="1" applyFill="1" applyBorder="1" applyAlignment="1">
      <alignment horizontal="center"/>
    </xf>
    <xf numFmtId="193" fontId="30" fillId="0" borderId="0" xfId="4667" applyNumberFormat="1" applyFont="1" applyFill="1" applyBorder="1" applyAlignment="1"/>
    <xf numFmtId="42" fontId="30" fillId="0" borderId="0" xfId="4667" applyNumberFormat="1" applyFont="1" applyFill="1" applyBorder="1" applyAlignment="1"/>
    <xf numFmtId="10" fontId="30" fillId="0" borderId="0" xfId="4667" applyNumberFormat="1" applyFont="1" applyFill="1" applyBorder="1" applyAlignment="1"/>
    <xf numFmtId="41" fontId="185" fillId="0" borderId="0" xfId="4667" applyNumberFormat="1" applyFont="1" applyFill="1" applyBorder="1" applyAlignment="1"/>
    <xf numFmtId="0" fontId="30" fillId="0" borderId="0" xfId="4670" applyFont="1"/>
    <xf numFmtId="1" fontId="165" fillId="3" borderId="0" xfId="0" applyNumberFormat="1" applyFont="1" applyFill="1" applyAlignment="1" applyProtection="1">
      <alignment horizontal="center"/>
      <protection locked="0"/>
    </xf>
    <xf numFmtId="14" fontId="30" fillId="0" borderId="0" xfId="0" applyNumberFormat="1" applyFont="1" applyProtection="1">
      <protection locked="0"/>
    </xf>
    <xf numFmtId="1" fontId="30" fillId="0" borderId="0" xfId="0" applyNumberFormat="1" applyFont="1" applyAlignment="1" applyProtection="1">
      <alignment horizontal="center"/>
      <protection locked="0"/>
    </xf>
    <xf numFmtId="0" fontId="30" fillId="0" borderId="0" xfId="4" applyFont="1" applyAlignment="1">
      <alignment horizontal="center" vertical="top"/>
    </xf>
    <xf numFmtId="42" fontId="30" fillId="0" borderId="0" xfId="0" applyNumberFormat="1" applyFont="1" applyAlignment="1" applyProtection="1">
      <alignment horizontal="right"/>
    </xf>
    <xf numFmtId="0" fontId="30" fillId="0" borderId="0" xfId="0" applyNumberFormat="1" applyFont="1"/>
    <xf numFmtId="172" fontId="122" fillId="0" borderId="0" xfId="0" applyFont="1"/>
    <xf numFmtId="0" fontId="122" fillId="0" borderId="0" xfId="4" applyFont="1" applyAlignment="1">
      <alignment horizontal="center"/>
    </xf>
    <xf numFmtId="3" fontId="30" fillId="0" borderId="1" xfId="0" applyNumberFormat="1" applyFont="1" applyBorder="1" applyAlignment="1">
      <alignment horizontal="center"/>
    </xf>
    <xf numFmtId="0" fontId="122" fillId="0" borderId="1" xfId="4" applyFont="1" applyBorder="1" applyAlignment="1">
      <alignment horizontal="center"/>
    </xf>
    <xf numFmtId="0" fontId="30" fillId="0" borderId="0" xfId="4" applyFont="1" applyAlignment="1">
      <alignment horizontal="center" vertical="center"/>
    </xf>
    <xf numFmtId="174" fontId="30" fillId="75" borderId="14" xfId="4665" applyNumberFormat="1" applyFont="1" applyFill="1" applyBorder="1" applyAlignment="1"/>
    <xf numFmtId="0" fontId="187" fillId="0" borderId="0" xfId="4671" applyFont="1" applyAlignment="1">
      <alignment horizontal="center"/>
    </xf>
    <xf numFmtId="0" fontId="184" fillId="0" borderId="0" xfId="4671" applyFont="1" applyAlignment="1">
      <alignment horizontal="center"/>
    </xf>
    <xf numFmtId="37" fontId="184" fillId="0" borderId="0" xfId="4671" applyNumberFormat="1" applyFont="1" applyAlignment="1">
      <alignment horizontal="center"/>
    </xf>
    <xf numFmtId="173" fontId="165" fillId="3" borderId="0" xfId="1" applyNumberFormat="1" applyFont="1" applyFill="1" applyAlignment="1"/>
    <xf numFmtId="173" fontId="30" fillId="0" borderId="4" xfId="1" applyNumberFormat="1" applyFont="1" applyFill="1" applyBorder="1"/>
    <xf numFmtId="0" fontId="30" fillId="0" borderId="4" xfId="4671" applyFont="1" applyBorder="1" applyAlignment="1">
      <alignment horizontal="left" indent="1"/>
    </xf>
    <xf numFmtId="42" fontId="122" fillId="0" borderId="0" xfId="1" applyNumberFormat="1" applyFont="1" applyFill="1" applyBorder="1" applyAlignment="1" applyProtection="1">
      <alignment horizontal="right"/>
    </xf>
    <xf numFmtId="0" fontId="30" fillId="0" borderId="0" xfId="4671" applyFont="1" applyAlignment="1">
      <alignment horizontal="left"/>
    </xf>
    <xf numFmtId="173" fontId="30" fillId="0" borderId="0" xfId="4671" applyNumberFormat="1" applyFont="1"/>
    <xf numFmtId="173" fontId="30" fillId="0" borderId="15" xfId="4671" applyNumberFormat="1" applyFont="1" applyBorder="1"/>
    <xf numFmtId="0" fontId="30" fillId="0" borderId="0" xfId="0" applyNumberFormat="1" applyFont="1" applyAlignment="1" applyProtection="1">
      <alignment vertical="top" wrapText="1"/>
      <protection locked="0"/>
    </xf>
    <xf numFmtId="0" fontId="122" fillId="0" borderId="0" xfId="4155" applyNumberFormat="1" applyFont="1" applyAlignment="1" applyProtection="1">
      <alignment horizontal="center"/>
      <protection locked="0"/>
    </xf>
    <xf numFmtId="49" fontId="122" fillId="0" borderId="0" xfId="4597" applyNumberFormat="1" applyFont="1" applyAlignment="1">
      <alignment horizontal="center"/>
    </xf>
    <xf numFmtId="168" fontId="30" fillId="0" borderId="0" xfId="0" applyNumberFormat="1" applyFont="1" applyProtection="1">
      <protection locked="0"/>
    </xf>
    <xf numFmtId="172" fontId="122" fillId="0" borderId="0" xfId="0" applyFont="1" applyProtection="1">
      <protection locked="0"/>
    </xf>
    <xf numFmtId="172" fontId="188" fillId="0" borderId="0" xfId="0" applyFont="1" applyProtection="1">
      <protection locked="0"/>
    </xf>
    <xf numFmtId="172" fontId="122" fillId="0" borderId="3" xfId="0" applyFont="1" applyBorder="1" applyAlignment="1">
      <alignment horizontal="center"/>
    </xf>
    <xf numFmtId="172" fontId="30" fillId="0" borderId="3" xfId="0" applyFont="1" applyBorder="1"/>
    <xf numFmtId="172" fontId="30" fillId="0" borderId="0" xfId="0" applyFont="1" applyAlignment="1" applyProtection="1">
      <alignment wrapText="1"/>
      <protection locked="0"/>
    </xf>
    <xf numFmtId="0" fontId="131" fillId="0" borderId="0" xfId="4473" applyFont="1" applyAlignment="1">
      <alignment horizontal="center"/>
    </xf>
    <xf numFmtId="0" fontId="30" fillId="0" borderId="0" xfId="4472" applyNumberFormat="1" applyFont="1" applyFill="1" applyBorder="1" applyAlignment="1">
      <alignment horizontal="left"/>
    </xf>
    <xf numFmtId="174" fontId="30" fillId="0" borderId="0" xfId="4472" applyNumberFormat="1" applyFont="1" applyFill="1" applyBorder="1"/>
    <xf numFmtId="0" fontId="30" fillId="0" borderId="0" xfId="4472" applyNumberFormat="1" applyFont="1" applyFill="1" applyBorder="1" applyAlignment="1">
      <alignment horizontal="center"/>
    </xf>
    <xf numFmtId="174" fontId="165" fillId="2" borderId="0" xfId="4472" applyNumberFormat="1" applyFont="1" applyFill="1" applyBorder="1"/>
    <xf numFmtId="174" fontId="30" fillId="0" borderId="4" xfId="4472" applyNumberFormat="1" applyFont="1" applyFill="1" applyBorder="1"/>
    <xf numFmtId="172" fontId="30" fillId="0" borderId="4" xfId="0" applyFont="1" applyBorder="1"/>
    <xf numFmtId="172" fontId="122" fillId="0" borderId="0" xfId="0" applyFont="1" applyAlignment="1" applyProtection="1">
      <alignment horizontal="left"/>
      <protection locked="0"/>
    </xf>
    <xf numFmtId="172" fontId="30" fillId="0" borderId="0" xfId="0" applyFont="1" applyAlignment="1" applyProtection="1">
      <alignment horizontal="centerContinuous"/>
      <protection locked="0"/>
    </xf>
    <xf numFmtId="172" fontId="189" fillId="0" borderId="0" xfId="0" applyFont="1" applyAlignment="1">
      <alignment horizontal="left"/>
    </xf>
    <xf numFmtId="0" fontId="122" fillId="0" borderId="3" xfId="4471" applyFont="1" applyBorder="1" applyAlignment="1">
      <alignment horizontal="center"/>
    </xf>
    <xf numFmtId="172" fontId="165" fillId="2" borderId="27" xfId="0" applyFont="1" applyFill="1" applyBorder="1"/>
    <xf numFmtId="0" fontId="165" fillId="2" borderId="27" xfId="4471" applyFont="1" applyFill="1" applyBorder="1"/>
    <xf numFmtId="174" fontId="165" fillId="2" borderId="27" xfId="190" applyNumberFormat="1" applyFont="1" applyFill="1" applyBorder="1"/>
    <xf numFmtId="37" fontId="165" fillId="2" borderId="27" xfId="0" applyNumberFormat="1" applyFont="1" applyFill="1" applyBorder="1"/>
    <xf numFmtId="172" fontId="190" fillId="0" borderId="0" xfId="0" applyFont="1"/>
    <xf numFmtId="172" fontId="165" fillId="2" borderId="46" xfId="0" applyFont="1" applyFill="1" applyBorder="1"/>
    <xf numFmtId="37" fontId="165" fillId="2" borderId="46" xfId="0" applyNumberFormat="1" applyFont="1" applyFill="1" applyBorder="1"/>
    <xf numFmtId="37" fontId="30" fillId="0" borderId="4" xfId="0" applyNumberFormat="1" applyFont="1" applyBorder="1"/>
    <xf numFmtId="43" fontId="30" fillId="0" borderId="0" xfId="190" applyFont="1"/>
    <xf numFmtId="37" fontId="30" fillId="0" borderId="0" xfId="0" applyNumberFormat="1" applyFont="1"/>
    <xf numFmtId="172" fontId="184" fillId="0" borderId="0" xfId="0" applyFont="1"/>
    <xf numFmtId="174" fontId="30" fillId="0" borderId="0" xfId="0" applyNumberFormat="1" applyFont="1"/>
    <xf numFmtId="172" fontId="156" fillId="0" borderId="0" xfId="0" applyFont="1"/>
    <xf numFmtId="172" fontId="156"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30" fillId="0" borderId="51" xfId="4667" applyNumberFormat="1" applyFont="1" applyBorder="1" applyAlignment="1"/>
    <xf numFmtId="172" fontId="30" fillId="0" borderId="4" xfId="4667" applyNumberFormat="1" applyFont="1" applyBorder="1" applyAlignment="1"/>
    <xf numFmtId="0" fontId="30" fillId="0" borderId="47" xfId="4667" applyNumberFormat="1" applyFont="1" applyBorder="1" applyAlignment="1"/>
    <xf numFmtId="172" fontId="30" fillId="0" borderId="37" xfId="4667" applyNumberFormat="1" applyFont="1" applyFill="1" applyBorder="1" applyAlignment="1">
      <alignment horizontal="center"/>
    </xf>
    <xf numFmtId="172" fontId="30" fillId="0" borderId="38" xfId="4667" applyNumberFormat="1" applyFont="1" applyFill="1" applyBorder="1" applyAlignment="1">
      <alignment horizontal="center"/>
    </xf>
    <xf numFmtId="172" fontId="30" fillId="0" borderId="37" xfId="4667" applyNumberFormat="1" applyFont="1" applyBorder="1" applyAlignment="1">
      <alignment horizontal="center"/>
    </xf>
    <xf numFmtId="172" fontId="30" fillId="0" borderId="38" xfId="4667" applyNumberFormat="1" applyFont="1" applyBorder="1" applyAlignment="1">
      <alignment horizontal="center"/>
    </xf>
    <xf numFmtId="172" fontId="122" fillId="0" borderId="3" xfId="4667" applyNumberFormat="1" applyFont="1" applyBorder="1" applyAlignment="1">
      <alignment horizontal="center"/>
    </xf>
    <xf numFmtId="172" fontId="30" fillId="0" borderId="56" xfId="4667" applyNumberFormat="1" applyFont="1" applyBorder="1" applyAlignment="1">
      <alignment horizontal="center"/>
    </xf>
    <xf numFmtId="172" fontId="30" fillId="0" borderId="1" xfId="4667" applyNumberFormat="1" applyFont="1" applyBorder="1" applyAlignment="1">
      <alignment horizontal="center"/>
    </xf>
    <xf numFmtId="172" fontId="30" fillId="0" borderId="57" xfId="4667" applyNumberFormat="1" applyFont="1" applyBorder="1" applyAlignment="1">
      <alignment horizontal="center"/>
    </xf>
    <xf numFmtId="193" fontId="30" fillId="0" borderId="0" xfId="4352" applyNumberFormat="1" applyFont="1" applyFill="1" applyBorder="1" applyAlignment="1"/>
    <xf numFmtId="193" fontId="30" fillId="0" borderId="0" xfId="4667" applyNumberFormat="1" applyFont="1" applyBorder="1" applyAlignment="1"/>
    <xf numFmtId="173" fontId="30" fillId="0" borderId="0" xfId="1" applyNumberFormat="1" applyFont="1" applyFill="1" applyBorder="1" applyAlignment="1" applyProtection="1">
      <alignment vertical="center"/>
      <protection locked="0"/>
    </xf>
    <xf numFmtId="173" fontId="30" fillId="0" borderId="0" xfId="4667" applyNumberFormat="1" applyFont="1" applyFill="1" applyBorder="1" applyAlignment="1"/>
    <xf numFmtId="42" fontId="30" fillId="56" borderId="0" xfId="4667" quotePrefix="1" applyNumberFormat="1" applyFont="1" applyFill="1" applyAlignment="1">
      <alignment horizontal="left"/>
    </xf>
    <xf numFmtId="42" fontId="30" fillId="0" borderId="0" xfId="190" applyNumberFormat="1" applyFont="1" applyBorder="1" applyAlignment="1"/>
    <xf numFmtId="42" fontId="30" fillId="0" borderId="0" xfId="190" applyNumberFormat="1" applyFont="1" applyFill="1" applyBorder="1" applyAlignment="1"/>
    <xf numFmtId="42" fontId="30" fillId="0" borderId="38" xfId="190" applyNumberFormat="1" applyFont="1" applyBorder="1" applyAlignment="1"/>
    <xf numFmtId="306" fontId="30" fillId="0" borderId="0" xfId="4667" quotePrefix="1" applyNumberFormat="1" applyFont="1" applyFill="1" applyAlignment="1">
      <alignment horizontal="left"/>
    </xf>
    <xf numFmtId="170" fontId="187" fillId="0" borderId="37" xfId="4667" applyNumberFormat="1" applyFont="1" applyBorder="1" applyAlignment="1"/>
    <xf numFmtId="42" fontId="30" fillId="0" borderId="0" xfId="1" applyNumberFormat="1" applyFont="1" applyFill="1" applyBorder="1" applyAlignment="1"/>
    <xf numFmtId="172" fontId="30" fillId="0" borderId="52" xfId="4667" applyNumberFormat="1" applyFont="1" applyBorder="1" applyAlignment="1"/>
    <xf numFmtId="42" fontId="30" fillId="0" borderId="3" xfId="4667" applyNumberFormat="1" applyFont="1" applyFill="1" applyBorder="1" applyAlignment="1"/>
    <xf numFmtId="42" fontId="30" fillId="0" borderId="53" xfId="4667" applyNumberFormat="1" applyFont="1" applyBorder="1" applyAlignment="1"/>
    <xf numFmtId="41" fontId="30" fillId="0" borderId="0" xfId="4667" applyNumberFormat="1" applyFont="1" applyFill="1" applyAlignment="1"/>
    <xf numFmtId="172" fontId="190" fillId="0" borderId="0" xfId="4667" applyNumberFormat="1" applyFont="1" applyFill="1" applyAlignment="1"/>
    <xf numFmtId="172" fontId="30" fillId="0" borderId="17" xfId="4667" applyNumberFormat="1" applyFont="1" applyFill="1" applyBorder="1" applyAlignment="1">
      <alignment horizontal="center"/>
    </xf>
    <xf numFmtId="172" fontId="30" fillId="0" borderId="17" xfId="4667" quotePrefix="1" applyNumberFormat="1" applyFont="1" applyFill="1" applyBorder="1" applyAlignment="1">
      <alignment horizontal="center"/>
    </xf>
    <xf numFmtId="10" fontId="30" fillId="0" borderId="48" xfId="4352" applyNumberFormat="1" applyFont="1" applyFill="1" applyBorder="1"/>
    <xf numFmtId="10" fontId="30" fillId="56" borderId="51" xfId="4352" applyNumberFormat="1" applyFont="1" applyFill="1" applyBorder="1"/>
    <xf numFmtId="10" fontId="30" fillId="56" borderId="54" xfId="4352" applyNumberFormat="1" applyFont="1" applyFill="1" applyBorder="1"/>
    <xf numFmtId="41" fontId="115" fillId="2" borderId="49" xfId="4352" applyNumberFormat="1" applyFont="1" applyFill="1" applyBorder="1"/>
    <xf numFmtId="174" fontId="30" fillId="0" borderId="17" xfId="190" applyNumberFormat="1" applyFont="1" applyFill="1" applyBorder="1"/>
    <xf numFmtId="172" fontId="189" fillId="0" borderId="0" xfId="4667" applyNumberFormat="1" applyFont="1" applyAlignment="1"/>
    <xf numFmtId="10" fontId="30" fillId="56" borderId="37" xfId="4352" applyNumberFormat="1" applyFont="1" applyFill="1" applyBorder="1"/>
    <xf numFmtId="10" fontId="30" fillId="56" borderId="55" xfId="4352" applyNumberFormat="1" applyFont="1" applyFill="1" applyBorder="1"/>
    <xf numFmtId="10" fontId="30" fillId="56" borderId="52" xfId="4352" applyNumberFormat="1" applyFont="1" applyFill="1" applyBorder="1"/>
    <xf numFmtId="10" fontId="30" fillId="56" borderId="58" xfId="4352" applyNumberFormat="1" applyFont="1" applyFill="1" applyBorder="1"/>
    <xf numFmtId="172" fontId="190" fillId="0" borderId="0" xfId="4667" applyNumberFormat="1" applyFont="1" applyAlignment="1"/>
    <xf numFmtId="10" fontId="30" fillId="0" borderId="17" xfId="4352" applyNumberFormat="1" applyFont="1" applyFill="1" applyBorder="1"/>
    <xf numFmtId="10" fontId="30" fillId="0" borderId="58" xfId="4352" applyNumberFormat="1" applyFont="1" applyFill="1" applyBorder="1"/>
    <xf numFmtId="41" fontId="30" fillId="0" borderId="52" xfId="4352" applyNumberFormat="1" applyFont="1" applyFill="1" applyBorder="1"/>
    <xf numFmtId="308" fontId="30" fillId="0" borderId="52" xfId="4352" applyNumberFormat="1" applyFont="1" applyFill="1" applyBorder="1"/>
    <xf numFmtId="174" fontId="30" fillId="0" borderId="49" xfId="190" applyNumberFormat="1" applyFont="1" applyFill="1" applyBorder="1"/>
    <xf numFmtId="172" fontId="30" fillId="0" borderId="17" xfId="4667" applyNumberFormat="1" applyFont="1" applyFill="1" applyBorder="1" applyAlignment="1">
      <alignment horizontal="right"/>
    </xf>
    <xf numFmtId="174" fontId="30" fillId="0" borderId="17" xfId="4667" applyNumberFormat="1" applyFont="1" applyFill="1" applyBorder="1"/>
    <xf numFmtId="174" fontId="30" fillId="0" borderId="48" xfId="4667" applyNumberFormat="1" applyFont="1" applyFill="1" applyBorder="1"/>
    <xf numFmtId="174" fontId="30" fillId="0" borderId="49" xfId="4667" applyNumberFormat="1" applyFont="1" applyFill="1" applyBorder="1"/>
    <xf numFmtId="308" fontId="30" fillId="0" borderId="49" xfId="4667" applyNumberFormat="1" applyFont="1" applyFill="1" applyBorder="1"/>
    <xf numFmtId="172" fontId="30" fillId="0" borderId="0" xfId="4667" applyNumberFormat="1" applyFont="1" applyFill="1" applyAlignment="1">
      <alignment vertical="top"/>
    </xf>
    <xf numFmtId="172" fontId="30" fillId="0" borderId="0" xfId="4667" applyNumberFormat="1" applyFont="1" applyAlignment="1">
      <alignment horizontal="left" vertical="top"/>
    </xf>
    <xf numFmtId="172" fontId="122" fillId="0" borderId="0" xfId="4667" applyNumberFormat="1" applyFont="1" applyFill="1" applyAlignment="1"/>
    <xf numFmtId="172" fontId="115" fillId="0" borderId="0" xfId="4667" applyNumberFormat="1" applyFont="1" applyFill="1" applyAlignment="1"/>
    <xf numFmtId="172" fontId="115" fillId="0" borderId="0" xfId="4667" applyNumberFormat="1" applyFont="1" applyAlignment="1"/>
    <xf numFmtId="172" fontId="192" fillId="0" borderId="0" xfId="4667" applyNumberFormat="1" applyFont="1" applyFill="1" applyAlignment="1"/>
    <xf numFmtId="44" fontId="30" fillId="0" borderId="0" xfId="1" applyFont="1" applyFill="1" applyBorder="1" applyAlignment="1"/>
    <xf numFmtId="174" fontId="165" fillId="3" borderId="0" xfId="4665" applyNumberFormat="1" applyFont="1" applyFill="1" applyAlignment="1"/>
    <xf numFmtId="174" fontId="165" fillId="0" borderId="0" xfId="4665" applyNumberFormat="1" applyFont="1" applyFill="1" applyAlignment="1"/>
    <xf numFmtId="174" fontId="30" fillId="0" borderId="0" xfId="4665" applyNumberFormat="1" applyFont="1" applyFill="1" applyAlignment="1"/>
    <xf numFmtId="173" fontId="122" fillId="0" borderId="15" xfId="4476" applyNumberFormat="1" applyFont="1" applyBorder="1" applyAlignment="1">
      <alignment wrapText="1"/>
    </xf>
    <xf numFmtId="2" fontId="30" fillId="0" borderId="0" xfId="0" applyNumberFormat="1" applyFont="1" applyProtection="1"/>
    <xf numFmtId="165" fontId="30" fillId="0" borderId="4" xfId="0" applyNumberFormat="1" applyFont="1" applyBorder="1" applyProtection="1"/>
    <xf numFmtId="172" fontId="30" fillId="0" borderId="0" xfId="4667" applyNumberFormat="1" applyFont="1" applyFill="1" applyAlignment="1">
      <alignment horizontal="left" vertical="top" wrapText="1"/>
    </xf>
    <xf numFmtId="43" fontId="178" fillId="0" borderId="0" xfId="190" applyFont="1" applyBorder="1" applyAlignment="1">
      <alignment horizontal="right" vertical="center" wrapText="1"/>
    </xf>
    <xf numFmtId="43" fontId="178" fillId="0" borderId="0" xfId="190" applyFont="1" applyBorder="1" applyAlignment="1">
      <alignment vertical="center" wrapText="1"/>
    </xf>
    <xf numFmtId="174" fontId="178" fillId="0" borderId="0" xfId="190" applyNumberFormat="1" applyFont="1"/>
    <xf numFmtId="174" fontId="30" fillId="0" borderId="0" xfId="190" applyNumberFormat="1" applyFont="1" applyFill="1" applyAlignment="1">
      <alignment horizontal="center"/>
    </xf>
    <xf numFmtId="249" fontId="178" fillId="0" borderId="0" xfId="190" applyNumberFormat="1" applyFont="1"/>
    <xf numFmtId="249" fontId="178" fillId="0" borderId="0" xfId="190" applyNumberFormat="1" applyFont="1" applyBorder="1" applyAlignment="1">
      <alignment horizontal="right" vertical="center" wrapText="1"/>
    </xf>
    <xf numFmtId="49" fontId="30" fillId="0" borderId="0" xfId="4" applyNumberFormat="1" applyFont="1" applyAlignment="1">
      <alignment horizontal="center"/>
    </xf>
    <xf numFmtId="172" fontId="122" fillId="0" borderId="0" xfId="4667" applyNumberFormat="1" applyFont="1" applyFill="1" applyBorder="1" applyAlignment="1">
      <alignment horizontal="center"/>
    </xf>
    <xf numFmtId="164" fontId="115" fillId="3" borderId="37" xfId="4666" applyNumberFormat="1" applyFont="1" applyFill="1" applyBorder="1" applyAlignment="1" applyProtection="1">
      <alignment vertical="center"/>
      <protection locked="0"/>
    </xf>
    <xf numFmtId="10" fontId="30" fillId="0" borderId="52" xfId="4352" quotePrefix="1" applyNumberFormat="1" applyFont="1" applyBorder="1" applyAlignment="1">
      <alignment horizontal="center"/>
    </xf>
    <xf numFmtId="10" fontId="30" fillId="0" borderId="3" xfId="4352" quotePrefix="1" applyNumberFormat="1" applyFont="1" applyBorder="1" applyAlignment="1">
      <alignment horizontal="center"/>
    </xf>
    <xf numFmtId="172" fontId="30" fillId="0" borderId="3" xfId="4667" applyNumberFormat="1" applyFont="1" applyBorder="1" applyAlignment="1">
      <alignment horizontal="center"/>
    </xf>
    <xf numFmtId="174" fontId="30" fillId="0" borderId="4" xfId="4665" applyNumberFormat="1" applyFont="1" applyBorder="1" applyAlignment="1"/>
    <xf numFmtId="172" fontId="30" fillId="0" borderId="52" xfId="4667" applyNumberFormat="1" applyFont="1" applyBorder="1" applyAlignment="1">
      <alignment horizontal="center"/>
    </xf>
    <xf numFmtId="172" fontId="30" fillId="0" borderId="53" xfId="4667" applyNumberFormat="1" applyFont="1" applyBorder="1" applyAlignment="1">
      <alignment horizontal="center"/>
    </xf>
    <xf numFmtId="172" fontId="122" fillId="0" borderId="0" xfId="4667" applyNumberFormat="1" applyFont="1" applyFill="1" applyBorder="1" applyAlignment="1">
      <alignment horizontal="center" vertical="center"/>
    </xf>
    <xf numFmtId="172" fontId="30" fillId="0" borderId="0" xfId="4667" applyNumberFormat="1" applyFont="1" applyFill="1" applyAlignment="1">
      <alignment horizontal="center" vertical="center"/>
    </xf>
    <xf numFmtId="172" fontId="30" fillId="0" borderId="0" xfId="4667" applyNumberFormat="1" applyFont="1" applyAlignment="1">
      <alignment horizontal="center" vertical="center"/>
    </xf>
    <xf numFmtId="0" fontId="30" fillId="0" borderId="0" xfId="4667" applyNumberFormat="1" applyFont="1" applyAlignment="1">
      <alignment horizontal="center" vertical="center"/>
    </xf>
    <xf numFmtId="172" fontId="122" fillId="0" borderId="3" xfId="4667" applyNumberFormat="1" applyFont="1" applyBorder="1" applyAlignment="1">
      <alignment horizontal="center" vertical="center"/>
    </xf>
    <xf numFmtId="172" fontId="30" fillId="0" borderId="0" xfId="4667" applyNumberFormat="1" applyFont="1" applyFill="1" applyAlignment="1">
      <alignment vertical="top" wrapText="1"/>
    </xf>
    <xf numFmtId="249" fontId="178" fillId="0" borderId="0" xfId="4665" applyNumberFormat="1" applyFont="1"/>
    <xf numFmtId="172" fontId="30" fillId="0" borderId="47" xfId="4667" applyNumberFormat="1" applyFont="1" applyFill="1" applyBorder="1" applyAlignment="1">
      <alignment horizontal="center"/>
    </xf>
    <xf numFmtId="311" fontId="30" fillId="0" borderId="0" xfId="4667" applyNumberFormat="1" applyFont="1" applyAlignment="1"/>
    <xf numFmtId="172" fontId="30" fillId="3" borderId="37" xfId="4667" applyNumberFormat="1" applyFont="1" applyFill="1" applyBorder="1" applyAlignment="1">
      <alignment horizontal="right" wrapText="1"/>
    </xf>
    <xf numFmtId="44" fontId="30" fillId="0" borderId="0" xfId="1" applyFont="1" applyAlignment="1" applyProtection="1">
      <protection locked="0"/>
    </xf>
    <xf numFmtId="312" fontId="30" fillId="0" borderId="0" xfId="1" applyNumberFormat="1" applyFont="1" applyAlignment="1" applyProtection="1">
      <protection locked="0"/>
    </xf>
    <xf numFmtId="313" fontId="30" fillId="0" borderId="0" xfId="0" applyNumberFormat="1" applyFont="1" applyProtection="1">
      <protection locked="0"/>
    </xf>
    <xf numFmtId="172" fontId="30" fillId="0" borderId="51" xfId="4667" applyNumberFormat="1" applyFont="1" applyFill="1" applyBorder="1" applyAlignment="1">
      <alignment horizontal="center"/>
    </xf>
    <xf numFmtId="172" fontId="30" fillId="0" borderId="4" xfId="4667" applyNumberFormat="1" applyFont="1" applyFill="1" applyBorder="1" applyAlignment="1">
      <alignment horizontal="center"/>
    </xf>
    <xf numFmtId="14" fontId="30" fillId="0" borderId="0" xfId="0" applyNumberFormat="1" applyFont="1"/>
    <xf numFmtId="174" fontId="178" fillId="0" borderId="0" xfId="190" applyNumberFormat="1" applyFont="1" applyBorder="1" applyAlignment="1">
      <alignment vertical="center" wrapText="1"/>
    </xf>
    <xf numFmtId="41" fontId="30" fillId="78" borderId="4" xfId="1" applyNumberFormat="1" applyFont="1" applyFill="1" applyBorder="1" applyAlignment="1" applyProtection="1">
      <protection locked="0"/>
    </xf>
    <xf numFmtId="41" fontId="30" fillId="0" borderId="0" xfId="1" applyNumberFormat="1" applyFont="1" applyFill="1" applyAlignment="1" applyProtection="1">
      <protection locked="0"/>
    </xf>
    <xf numFmtId="41" fontId="30" fillId="0" borderId="4" xfId="1" applyNumberFormat="1" applyFont="1" applyFill="1" applyBorder="1" applyAlignment="1" applyProtection="1">
      <protection locked="0"/>
    </xf>
    <xf numFmtId="310" fontId="30" fillId="0" borderId="0" xfId="1" applyNumberFormat="1" applyFont="1" applyFill="1" applyAlignment="1" applyProtection="1">
      <protection locked="0"/>
    </xf>
    <xf numFmtId="174" fontId="30" fillId="0" borderId="4" xfId="4665" applyNumberFormat="1" applyFont="1" applyFill="1" applyBorder="1" applyAlignment="1"/>
    <xf numFmtId="3" fontId="30" fillId="0" borderId="0" xfId="0" quotePrefix="1" applyNumberFormat="1" applyFont="1" applyProtection="1"/>
    <xf numFmtId="0" fontId="30" fillId="0" borderId="0" xfId="4" quotePrefix="1" applyFont="1"/>
    <xf numFmtId="172" fontId="180" fillId="0" borderId="0" xfId="0" applyFont="1"/>
    <xf numFmtId="0" fontId="30" fillId="0" borderId="0" xfId="0" applyNumberFormat="1" applyFont="1" applyAlignment="1" applyProtection="1">
      <alignment horizontal="center" vertical="top" wrapText="1"/>
      <protection locked="0"/>
    </xf>
    <xf numFmtId="172" fontId="30" fillId="0" borderId="47" xfId="0" applyFont="1" applyBorder="1"/>
    <xf numFmtId="173" fontId="30" fillId="0" borderId="17" xfId="0" applyNumberFormat="1" applyFont="1" applyBorder="1"/>
    <xf numFmtId="174" fontId="30" fillId="0" borderId="0" xfId="190" applyNumberFormat="1" applyFont="1" applyBorder="1"/>
    <xf numFmtId="174" fontId="30" fillId="0" borderId="0" xfId="190" applyNumberFormat="1" applyFont="1" applyBorder="1" applyAlignment="1">
      <alignment horizontal="right"/>
    </xf>
    <xf numFmtId="271" fontId="30" fillId="0" borderId="0" xfId="190" applyNumberFormat="1" applyFont="1" applyBorder="1"/>
    <xf numFmtId="174" fontId="30" fillId="0" borderId="15" xfId="190" applyNumberFormat="1" applyFont="1" applyBorder="1"/>
    <xf numFmtId="41" fontId="30" fillId="0" borderId="0" xfId="4598" applyNumberFormat="1" applyFont="1"/>
    <xf numFmtId="0" fontId="122" fillId="0" borderId="49" xfId="4598" applyFont="1" applyBorder="1"/>
    <xf numFmtId="0" fontId="122" fillId="0" borderId="17" xfId="4598" applyFont="1" applyBorder="1"/>
    <xf numFmtId="0" fontId="30" fillId="0" borderId="0" xfId="4598" applyFont="1" applyAlignment="1">
      <alignment horizontal="center" wrapText="1"/>
    </xf>
    <xf numFmtId="49" fontId="122" fillId="0" borderId="0" xfId="4" applyNumberFormat="1" applyFont="1" applyAlignment="1">
      <alignment horizontal="center"/>
    </xf>
    <xf numFmtId="0" fontId="122" fillId="0" borderId="0" xfId="4690" applyFont="1"/>
    <xf numFmtId="0" fontId="178" fillId="0" borderId="0" xfId="4690" applyFont="1"/>
    <xf numFmtId="0" fontId="178" fillId="0" borderId="0" xfId="4690" applyFont="1" applyAlignment="1">
      <alignment horizontal="right"/>
    </xf>
    <xf numFmtId="0" fontId="178" fillId="0" borderId="0" xfId="4690" applyFont="1" applyAlignment="1">
      <alignment horizontal="center"/>
    </xf>
    <xf numFmtId="0" fontId="194" fillId="0" borderId="0" xfId="4690" applyFont="1"/>
    <xf numFmtId="0" fontId="194" fillId="0" borderId="0" xfId="4690" applyFont="1" applyAlignment="1">
      <alignment vertical="center"/>
    </xf>
    <xf numFmtId="0" fontId="194" fillId="0" borderId="0" xfId="4690" applyFont="1" applyAlignment="1">
      <alignment horizontal="center" vertical="center"/>
    </xf>
    <xf numFmtId="0" fontId="194" fillId="0" borderId="0" xfId="4690" applyFont="1" applyAlignment="1">
      <alignment horizontal="center" vertical="center" wrapText="1"/>
    </xf>
    <xf numFmtId="0" fontId="194" fillId="0" borderId="54" xfId="4690" applyFont="1" applyBorder="1" applyAlignment="1">
      <alignment horizontal="center" vertical="center"/>
    </xf>
    <xf numFmtId="0" fontId="178" fillId="0" borderId="58" xfId="4690" applyFont="1" applyBorder="1" applyAlignment="1">
      <alignment horizontal="center" vertical="center" wrapText="1"/>
    </xf>
    <xf numFmtId="0" fontId="178" fillId="0" borderId="0" xfId="4690" applyFont="1" applyAlignment="1">
      <alignment horizontal="center" vertical="center" wrapText="1"/>
    </xf>
    <xf numFmtId="0" fontId="178" fillId="0" borderId="0" xfId="4690" applyFont="1" applyAlignment="1">
      <alignment horizontal="left" vertical="center"/>
    </xf>
    <xf numFmtId="15" fontId="178" fillId="0" borderId="0" xfId="4690" applyNumberFormat="1" applyFont="1" applyAlignment="1">
      <alignment vertical="center" wrapText="1"/>
    </xf>
    <xf numFmtId="174" fontId="178" fillId="0" borderId="0" xfId="4691" applyNumberFormat="1" applyFont="1" applyBorder="1" applyAlignment="1">
      <alignment horizontal="right" vertical="center" wrapText="1"/>
    </xf>
    <xf numFmtId="174" fontId="178" fillId="0" borderId="0" xfId="4691" applyNumberFormat="1" applyFont="1" applyBorder="1" applyAlignment="1">
      <alignment vertical="center" wrapText="1"/>
    </xf>
    <xf numFmtId="174" fontId="178" fillId="3" borderId="0" xfId="4692" applyNumberFormat="1" applyFont="1" applyFill="1" applyBorder="1" applyAlignment="1">
      <alignment horizontal="right" vertical="center" wrapText="1"/>
    </xf>
    <xf numFmtId="174" fontId="178" fillId="0" borderId="0" xfId="4691" applyNumberFormat="1" applyFont="1" applyFill="1" applyBorder="1" applyAlignment="1">
      <alignment horizontal="center" vertical="center" wrapText="1"/>
    </xf>
    <xf numFmtId="174" fontId="178" fillId="0" borderId="0" xfId="4692" applyNumberFormat="1" applyFont="1" applyBorder="1" applyAlignment="1">
      <alignment vertical="center" wrapText="1"/>
    </xf>
    <xf numFmtId="174" fontId="178" fillId="3" borderId="0" xfId="4692" applyNumberFormat="1" applyFont="1" applyFill="1" applyBorder="1" applyAlignment="1">
      <alignment vertical="center" wrapText="1"/>
    </xf>
    <xf numFmtId="0" fontId="178" fillId="0" borderId="4" xfId="4690" applyFont="1" applyBorder="1" applyAlignment="1">
      <alignment vertical="center" wrapText="1"/>
    </xf>
    <xf numFmtId="0" fontId="178" fillId="0" borderId="4" xfId="4690" applyFont="1" applyBorder="1" applyAlignment="1">
      <alignment horizontal="right" vertical="center" wrapText="1"/>
    </xf>
    <xf numFmtId="174" fontId="178" fillId="0" borderId="4" xfId="4691" applyNumberFormat="1" applyFont="1" applyBorder="1" applyAlignment="1">
      <alignment vertical="center" wrapText="1"/>
    </xf>
    <xf numFmtId="0" fontId="178" fillId="0" borderId="0" xfId="4690" applyFont="1" applyAlignment="1">
      <alignment vertical="center" wrapText="1"/>
    </xf>
    <xf numFmtId="0" fontId="178" fillId="0" borderId="0" xfId="4690" applyFont="1" applyAlignment="1">
      <alignment horizontal="right" vertical="center" wrapText="1"/>
    </xf>
    <xf numFmtId="0" fontId="178" fillId="0" borderId="0" xfId="4690" applyFont="1" applyAlignment="1">
      <alignment horizontal="justify" vertical="center" wrapText="1"/>
    </xf>
    <xf numFmtId="174" fontId="178" fillId="0" borderId="0" xfId="4691" applyNumberFormat="1" applyFont="1" applyFill="1" applyBorder="1" applyAlignment="1">
      <alignment vertical="center" wrapText="1"/>
    </xf>
    <xf numFmtId="174" fontId="178" fillId="0" borderId="4" xfId="4691" applyNumberFormat="1" applyFont="1" applyFill="1" applyBorder="1" applyAlignment="1">
      <alignment vertical="center" wrapText="1"/>
    </xf>
    <xf numFmtId="174" fontId="194" fillId="0" borderId="0" xfId="4690" applyNumberFormat="1" applyFont="1"/>
    <xf numFmtId="0" fontId="195" fillId="0" borderId="0" xfId="4690" applyFont="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8" fillId="0" borderId="0" xfId="4693" applyFont="1"/>
    <xf numFmtId="174" fontId="178" fillId="0" borderId="0" xfId="4693" applyNumberFormat="1" applyFont="1"/>
    <xf numFmtId="174" fontId="178" fillId="0" borderId="0" xfId="4692" applyNumberFormat="1" applyFont="1" applyBorder="1" applyAlignment="1">
      <alignment horizontal="right" vertical="center" wrapText="1"/>
    </xf>
    <xf numFmtId="174" fontId="178" fillId="0" borderId="0" xfId="4690" applyNumberFormat="1" applyFont="1" applyAlignment="1">
      <alignment horizontal="center"/>
    </xf>
    <xf numFmtId="43" fontId="178" fillId="0" borderId="0" xfId="4690" applyNumberFormat="1" applyFont="1"/>
    <xf numFmtId="174" fontId="178" fillId="0" borderId="0" xfId="4692" applyNumberFormat="1" applyFont="1" applyFill="1" applyBorder="1" applyAlignment="1">
      <alignment vertical="center" wrapText="1"/>
    </xf>
    <xf numFmtId="174" fontId="178" fillId="0" borderId="0" xfId="4690" applyNumberFormat="1" applyFont="1"/>
    <xf numFmtId="0" fontId="193" fillId="0" borderId="0" xfId="4690" applyFont="1"/>
    <xf numFmtId="44" fontId="30" fillId="0" borderId="3" xfId="4667" applyNumberFormat="1" applyFont="1" applyBorder="1" applyAlignment="1"/>
    <xf numFmtId="9" fontId="178" fillId="0" borderId="0" xfId="4690" applyNumberFormat="1" applyFont="1"/>
    <xf numFmtId="174" fontId="178" fillId="0" borderId="0" xfId="4665" applyNumberFormat="1" applyFont="1"/>
    <xf numFmtId="174" fontId="178" fillId="0" borderId="0" xfId="4690" applyNumberFormat="1" applyFont="1" applyAlignment="1">
      <alignment horizontal="justify" vertical="center" wrapText="1"/>
    </xf>
    <xf numFmtId="165" fontId="30" fillId="3" borderId="0" xfId="0" applyNumberFormat="1" applyFont="1" applyFill="1" applyProtection="1"/>
    <xf numFmtId="174" fontId="194" fillId="0" borderId="4" xfId="4690" applyNumberFormat="1" applyFont="1" applyBorder="1"/>
    <xf numFmtId="0" fontId="30" fillId="0" borderId="0" xfId="4" applyFont="1" applyAlignment="1">
      <alignment horizontal="left"/>
    </xf>
    <xf numFmtId="0" fontId="156" fillId="0" borderId="0" xfId="4476" applyFont="1" applyAlignment="1">
      <alignment horizontal="center"/>
    </xf>
    <xf numFmtId="173" fontId="30" fillId="0" borderId="4" xfId="1" applyNumberFormat="1" applyFont="1" applyBorder="1"/>
    <xf numFmtId="173" fontId="30" fillId="0" borderId="17" xfId="1" applyNumberFormat="1" applyFont="1" applyBorder="1"/>
    <xf numFmtId="173" fontId="30" fillId="0" borderId="47" xfId="1" applyNumberFormat="1" applyFont="1" applyBorder="1"/>
    <xf numFmtId="174" fontId="30" fillId="0" borderId="17" xfId="190" applyNumberFormat="1" applyFont="1" applyFill="1" applyBorder="1" applyAlignment="1"/>
    <xf numFmtId="305" fontId="30" fillId="0" borderId="0" xfId="4665" applyNumberFormat="1" applyFont="1" applyFill="1" applyAlignment="1" applyProtection="1">
      <protection locked="0"/>
    </xf>
    <xf numFmtId="174" fontId="30" fillId="0" borderId="14" xfId="190" applyNumberFormat="1" applyFont="1" applyFill="1" applyBorder="1"/>
    <xf numFmtId="0" fontId="30" fillId="0" borderId="0" xfId="4476" applyFont="1" applyAlignment="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5" fillId="3" borderId="0" xfId="190" applyNumberFormat="1" applyFont="1" applyFill="1" applyAlignment="1"/>
    <xf numFmtId="173" fontId="30" fillId="0" borderId="0" xfId="1" applyNumberFormat="1" applyFont="1" applyBorder="1"/>
    <xf numFmtId="10" fontId="30" fillId="0" borderId="0" xfId="3" applyNumberFormat="1" applyFont="1" applyFill="1" applyBorder="1" applyAlignment="1">
      <alignment horizontal="center"/>
    </xf>
    <xf numFmtId="3" fontId="30" fillId="3" borderId="0" xfId="0" applyNumberFormat="1" applyFont="1" applyFill="1" applyProtection="1"/>
    <xf numFmtId="10" fontId="30" fillId="0" borderId="53" xfId="4352" quotePrefix="1" applyNumberFormat="1" applyFont="1" applyBorder="1" applyAlignment="1">
      <alignment horizontal="center"/>
    </xf>
    <xf numFmtId="172" fontId="30" fillId="0" borderId="38" xfId="4667" applyNumberFormat="1" applyFont="1" applyFill="1" applyBorder="1" applyAlignment="1"/>
    <xf numFmtId="42" fontId="30" fillId="0" borderId="37" xfId="190" applyNumberFormat="1" applyFont="1" applyBorder="1" applyAlignment="1"/>
    <xf numFmtId="172" fontId="30" fillId="80" borderId="38" xfId="4667" applyNumberFormat="1" applyFont="1" applyFill="1" applyBorder="1" applyAlignment="1"/>
    <xf numFmtId="172" fontId="30" fillId="80" borderId="0" xfId="4667" applyNumberFormat="1" applyFont="1" applyFill="1" applyBorder="1" applyAlignment="1"/>
    <xf numFmtId="42" fontId="30" fillId="0" borderId="37" xfId="4667" applyNumberFormat="1" applyFont="1" applyBorder="1" applyAlignment="1"/>
    <xf numFmtId="174" fontId="30" fillId="0" borderId="47" xfId="4665" applyNumberFormat="1" applyFont="1" applyFill="1" applyBorder="1" applyAlignment="1"/>
    <xf numFmtId="42" fontId="30" fillId="0" borderId="52" xfId="4667" applyNumberFormat="1" applyFont="1" applyBorder="1" applyAlignment="1"/>
    <xf numFmtId="42" fontId="30" fillId="0" borderId="3" xfId="4667" applyNumberFormat="1" applyFont="1" applyBorder="1" applyAlignment="1"/>
    <xf numFmtId="173" fontId="30" fillId="0" borderId="3" xfId="1" applyNumberFormat="1" applyFont="1" applyFill="1" applyBorder="1" applyAlignment="1"/>
    <xf numFmtId="172" fontId="30" fillId="0" borderId="3" xfId="4667" applyNumberFormat="1" applyFont="1" applyBorder="1" applyAlignment="1"/>
    <xf numFmtId="173" fontId="30" fillId="0" borderId="53" xfId="1" applyNumberFormat="1" applyFont="1" applyFill="1" applyBorder="1" applyAlignment="1"/>
    <xf numFmtId="170" fontId="30" fillId="0" borderId="37" xfId="4667" applyNumberFormat="1" applyFont="1" applyBorder="1" applyAlignment="1"/>
    <xf numFmtId="174" fontId="30" fillId="0" borderId="0" xfId="4665" applyNumberFormat="1" applyFont="1" applyBorder="1" applyAlignment="1"/>
    <xf numFmtId="237" fontId="30" fillId="0" borderId="0" xfId="4666" applyNumberFormat="1" applyFont="1" applyBorder="1" applyAlignment="1"/>
    <xf numFmtId="174" fontId="30" fillId="0" borderId="38" xfId="4665" applyNumberFormat="1" applyFont="1" applyBorder="1" applyAlignment="1"/>
    <xf numFmtId="172" fontId="30" fillId="80" borderId="37" xfId="4667" applyNumberFormat="1" applyFont="1" applyFill="1" applyBorder="1" applyAlignment="1"/>
    <xf numFmtId="174" fontId="30" fillId="0" borderId="51" xfId="4665" applyNumberFormat="1" applyFont="1" applyBorder="1" applyAlignment="1"/>
    <xf numFmtId="174" fontId="30" fillId="0" borderId="47" xfId="4665" applyNumberFormat="1" applyFont="1" applyBorder="1" applyAlignment="1"/>
    <xf numFmtId="172" fontId="30" fillId="0" borderId="53" xfId="4667" applyNumberFormat="1" applyFont="1" applyBorder="1" applyAlignment="1"/>
    <xf numFmtId="174" fontId="30" fillId="0" borderId="37" xfId="4665" applyNumberFormat="1" applyFont="1" applyBorder="1" applyAlignment="1"/>
    <xf numFmtId="172" fontId="179" fillId="0" borderId="0" xfId="0" applyFont="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164" fontId="30" fillId="0" borderId="0" xfId="4597" applyNumberFormat="1" applyFont="1" applyAlignment="1">
      <alignment horizontal="left"/>
    </xf>
    <xf numFmtId="0" fontId="122" fillId="0" borderId="0" xfId="0" applyNumberFormat="1" applyFont="1"/>
    <xf numFmtId="44" fontId="30" fillId="0" borderId="3" xfId="4" applyNumberFormat="1" applyFont="1" applyBorder="1" applyAlignment="1">
      <alignment horizontal="center"/>
    </xf>
    <xf numFmtId="43" fontId="30" fillId="0" borderId="0" xfId="4665" applyFont="1" applyFill="1"/>
    <xf numFmtId="43" fontId="30" fillId="0" borderId="0" xfId="4665" applyFont="1" applyFill="1" applyAlignment="1">
      <alignment horizontal="right"/>
    </xf>
    <xf numFmtId="10" fontId="30" fillId="0" borderId="4" xfId="4665" applyNumberFormat="1" applyFont="1" applyFill="1" applyBorder="1" applyAlignment="1">
      <alignment horizontal="center"/>
    </xf>
    <xf numFmtId="10" fontId="30" fillId="0" borderId="0" xfId="4665" applyNumberFormat="1" applyFont="1" applyFill="1" applyBorder="1" applyAlignment="1">
      <alignment horizontal="center"/>
    </xf>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174" fontId="178" fillId="0" borderId="0" xfId="4665" applyNumberFormat="1" applyFont="1" applyFill="1" applyBorder="1" applyAlignment="1">
      <alignment horizontal="center" vertical="center" wrapText="1"/>
    </xf>
    <xf numFmtId="41" fontId="30" fillId="3" borderId="0" xfId="4598" applyNumberFormat="1" applyFont="1" applyFill="1"/>
    <xf numFmtId="174" fontId="30" fillId="3" borderId="0" xfId="4665" applyNumberFormat="1" applyFont="1" applyFill="1" applyAlignment="1"/>
    <xf numFmtId="3" fontId="165" fillId="3" borderId="0" xfId="0" applyNumberFormat="1" applyFont="1" applyFill="1" applyProtection="1">
      <protection locked="0"/>
    </xf>
    <xf numFmtId="311" fontId="30" fillId="0" borderId="0" xfId="4667" applyNumberFormat="1" applyFont="1" applyFill="1" applyAlignment="1">
      <alignment horizontal="center" vertical="center"/>
    </xf>
    <xf numFmtId="311" fontId="30" fillId="0" borderId="0" xfId="4667" applyNumberFormat="1" applyFont="1" applyFill="1" applyBorder="1" applyAlignment="1">
      <alignment horizontal="center"/>
    </xf>
    <xf numFmtId="311" fontId="30" fillId="0" borderId="37" xfId="4667" applyNumberFormat="1" applyFont="1" applyFill="1" applyBorder="1" applyAlignment="1">
      <alignment horizontal="center"/>
    </xf>
    <xf numFmtId="311" fontId="30" fillId="0" borderId="38" xfId="4667" applyNumberFormat="1" applyFont="1" applyFill="1" applyBorder="1" applyAlignment="1">
      <alignment horizontal="center"/>
    </xf>
    <xf numFmtId="0" fontId="30" fillId="0" borderId="0" xfId="4667" applyNumberFormat="1" applyFont="1" applyFill="1" applyBorder="1" applyAlignment="1">
      <alignment horizontal="center"/>
    </xf>
    <xf numFmtId="0" fontId="30" fillId="0" borderId="38" xfId="4667" applyNumberFormat="1" applyFont="1" applyFill="1" applyBorder="1" applyAlignment="1">
      <alignment horizontal="center"/>
    </xf>
    <xf numFmtId="0" fontId="30" fillId="0" borderId="0" xfId="4667" applyNumberFormat="1" applyFont="1" applyFill="1" applyAlignment="1"/>
    <xf numFmtId="0" fontId="178" fillId="3" borderId="0" xfId="4680" applyFont="1" applyFill="1" applyAlignment="1">
      <alignment horizontal="center"/>
    </xf>
    <xf numFmtId="174" fontId="178" fillId="3" borderId="0" xfId="4684" applyNumberFormat="1" applyFont="1" applyFill="1" applyAlignment="1">
      <alignment horizontal="right" vertical="center" wrapText="1"/>
    </xf>
    <xf numFmtId="173" fontId="165" fillId="3" borderId="0" xfId="1" applyNumberFormat="1" applyFont="1" applyFill="1"/>
    <xf numFmtId="192" fontId="186" fillId="3" borderId="0" xfId="0" applyNumberFormat="1" applyFont="1" applyFill="1" applyAlignment="1">
      <alignment horizontal="center"/>
    </xf>
    <xf numFmtId="0" fontId="30" fillId="0" borderId="4" xfId="4671" applyFont="1" applyBorder="1" applyAlignment="1">
      <alignment horizontal="left"/>
    </xf>
    <xf numFmtId="164" fontId="196" fillId="0" borderId="0" xfId="4597" applyNumberFormat="1" applyFont="1" applyAlignment="1">
      <alignment horizontal="left"/>
    </xf>
    <xf numFmtId="174" fontId="122" fillId="0" borderId="0" xfId="4696" applyNumberFormat="1" applyFont="1" applyFill="1" applyBorder="1" applyAlignment="1">
      <alignment horizontal="center"/>
    </xf>
    <xf numFmtId="174" fontId="122" fillId="0" borderId="0" xfId="4696" applyNumberFormat="1" applyFont="1" applyFill="1" applyBorder="1" applyAlignment="1"/>
    <xf numFmtId="3" fontId="122" fillId="0" borderId="0" xfId="4695" applyNumberFormat="1" applyFont="1"/>
    <xf numFmtId="174" fontId="122" fillId="0" borderId="3" xfId="4696" applyNumberFormat="1" applyFont="1" applyFill="1" applyBorder="1" applyAlignment="1"/>
    <xf numFmtId="164" fontId="122" fillId="0" borderId="0" xfId="4697" applyNumberFormat="1" applyFont="1" applyFill="1"/>
    <xf numFmtId="172" fontId="122" fillId="0" borderId="0" xfId="4695" applyNumberFormat="1" applyFont="1"/>
    <xf numFmtId="3" fontId="30" fillId="0" borderId="0" xfId="4695" applyNumberFormat="1" applyFont="1"/>
    <xf numFmtId="174" fontId="30" fillId="3" borderId="0" xfId="4696" applyNumberFormat="1" applyFont="1" applyFill="1" applyBorder="1" applyAlignment="1">
      <alignment horizontal="center"/>
    </xf>
    <xf numFmtId="174" fontId="30" fillId="0" borderId="3" xfId="4696" applyNumberFormat="1" applyFont="1" applyFill="1" applyBorder="1" applyAlignment="1"/>
    <xf numFmtId="174" fontId="30" fillId="3" borderId="3" xfId="4696" applyNumberFormat="1" applyFont="1" applyFill="1" applyBorder="1" applyAlignment="1">
      <alignment horizontal="center"/>
    </xf>
    <xf numFmtId="174" fontId="30" fillId="3" borderId="3" xfId="4696" applyNumberFormat="1" applyFont="1" applyFill="1" applyBorder="1" applyAlignment="1"/>
    <xf numFmtId="3" fontId="30" fillId="3" borderId="3" xfId="4695" applyNumberFormat="1" applyFont="1" applyFill="1" applyBorder="1" applyAlignment="1">
      <alignment horizontal="right"/>
    </xf>
    <xf numFmtId="3" fontId="30" fillId="3" borderId="0" xfId="4695" applyNumberFormat="1" applyFont="1" applyFill="1" applyAlignment="1">
      <alignment horizontal="right"/>
    </xf>
    <xf numFmtId="3" fontId="30" fillId="3" borderId="0" xfId="4695" applyNumberFormat="1" applyFont="1" applyFill="1"/>
    <xf numFmtId="174" fontId="30" fillId="0" borderId="0" xfId="4696" applyNumberFormat="1" applyFont="1" applyFill="1" applyBorder="1" applyAlignment="1"/>
    <xf numFmtId="3" fontId="30" fillId="0" borderId="0" xfId="4695" applyNumberFormat="1" applyFont="1" applyAlignment="1">
      <alignment horizontal="center"/>
    </xf>
    <xf numFmtId="174" fontId="30" fillId="3" borderId="0" xfId="4696" applyNumberFormat="1" applyFont="1" applyFill="1" applyAlignment="1"/>
    <xf numFmtId="3" fontId="30" fillId="3" borderId="0" xfId="4695" quotePrefix="1" applyNumberFormat="1" applyFont="1" applyFill="1" applyAlignment="1">
      <alignment horizontal="right"/>
    </xf>
    <xf numFmtId="174" fontId="122" fillId="0" borderId="4" xfId="4696" applyNumberFormat="1" applyFont="1" applyFill="1" applyBorder="1" applyAlignment="1"/>
    <xf numFmtId="164" fontId="30" fillId="3" borderId="3" xfId="4697" applyNumberFormat="1" applyFont="1" applyFill="1" applyBorder="1" applyAlignment="1">
      <alignment horizontal="center"/>
    </xf>
    <xf numFmtId="3" fontId="30" fillId="0" borderId="0" xfId="4698" applyNumberFormat="1" applyFont="1"/>
    <xf numFmtId="174" fontId="30" fillId="0" borderId="0" xfId="4696" applyNumberFormat="1" applyFont="1" applyFill="1" applyBorder="1" applyAlignment="1">
      <alignment horizontal="center"/>
    </xf>
    <xf numFmtId="172" fontId="122" fillId="0" borderId="0" xfId="4695" applyNumberFormat="1" applyFont="1" applyAlignment="1">
      <alignment horizontal="center" wrapText="1"/>
    </xf>
    <xf numFmtId="172" fontId="122" fillId="0" borderId="0" xfId="4695" applyNumberFormat="1" applyFont="1" applyAlignment="1">
      <alignment horizontal="center"/>
    </xf>
    <xf numFmtId="172" fontId="122" fillId="0" borderId="17" xfId="4695" applyNumberFormat="1" applyFont="1" applyBorder="1" applyAlignment="1">
      <alignment horizontal="center" wrapText="1"/>
    </xf>
    <xf numFmtId="172" fontId="122" fillId="0" borderId="17" xfId="4695" applyNumberFormat="1" applyFont="1" applyBorder="1"/>
    <xf numFmtId="172" fontId="30" fillId="0" borderId="0" xfId="4695" applyNumberFormat="1" applyFont="1"/>
    <xf numFmtId="172" fontId="30" fillId="0" borderId="0" xfId="4695" applyNumberFormat="1" applyFont="1" applyAlignment="1">
      <alignment horizontal="center"/>
    </xf>
    <xf numFmtId="192" fontId="122" fillId="0" borderId="0" xfId="4695" applyNumberFormat="1" applyFont="1" applyAlignment="1">
      <alignment horizontal="center"/>
    </xf>
    <xf numFmtId="192" fontId="122" fillId="0" borderId="0" xfId="4695" quotePrefix="1" applyNumberFormat="1" applyFont="1" applyAlignment="1">
      <alignment horizontal="center"/>
    </xf>
    <xf numFmtId="164" fontId="30" fillId="0" borderId="0" xfId="4697" applyNumberFormat="1" applyFont="1" applyAlignment="1">
      <alignment horizontal="center"/>
    </xf>
    <xf numFmtId="172" fontId="122" fillId="0" borderId="0" xfId="4695" applyNumberFormat="1" applyFont="1" applyAlignment="1">
      <alignment horizontal="right"/>
    </xf>
    <xf numFmtId="192" fontId="122" fillId="3" borderId="0" xfId="4695" applyNumberFormat="1" applyFont="1" applyFill="1" applyAlignment="1">
      <alignment horizontal="center"/>
    </xf>
    <xf numFmtId="192" fontId="122" fillId="3" borderId="0" xfId="4695" quotePrefix="1" applyNumberFormat="1" applyFont="1" applyFill="1" applyAlignment="1">
      <alignment horizontal="center"/>
    </xf>
    <xf numFmtId="164" fontId="122" fillId="0" borderId="0" xfId="4697" applyNumberFormat="1" applyFont="1" applyFill="1" applyAlignment="1">
      <alignment horizontal="center"/>
    </xf>
    <xf numFmtId="43" fontId="198" fillId="0" borderId="0" xfId="4696" applyFont="1" applyAlignment="1">
      <alignment horizontal="left" vertical="top"/>
    </xf>
    <xf numFmtId="44" fontId="30" fillId="0" borderId="0" xfId="1" applyFont="1" applyFill="1" applyAlignment="1" applyProtection="1">
      <protection locked="0"/>
    </xf>
    <xf numFmtId="312" fontId="30" fillId="0" borderId="0" xfId="1" applyNumberFormat="1" applyFont="1" applyFill="1" applyAlignment="1" applyProtection="1">
      <protection locked="0"/>
    </xf>
    <xf numFmtId="192" fontId="30" fillId="3" borderId="0" xfId="4667" quotePrefix="1" applyNumberFormat="1" applyFont="1" applyFill="1" applyAlignment="1">
      <alignment horizontal="left"/>
    </xf>
    <xf numFmtId="10" fontId="30" fillId="0" borderId="3" xfId="4" applyNumberFormat="1" applyFont="1" applyBorder="1"/>
    <xf numFmtId="10" fontId="30" fillId="0" borderId="3" xfId="4665" applyNumberFormat="1" applyFont="1" applyFill="1" applyBorder="1" applyAlignment="1">
      <alignment horizontal="center"/>
    </xf>
    <xf numFmtId="0" fontId="179" fillId="3" borderId="0" xfId="4155" applyNumberFormat="1" applyFont="1" applyFill="1" applyAlignment="1">
      <alignment horizontal="center"/>
    </xf>
    <xf numFmtId="192" fontId="30" fillId="78" borderId="0" xfId="1" applyNumberFormat="1" applyFont="1" applyFill="1" applyAlignment="1" applyProtection="1">
      <alignment horizontal="left"/>
      <protection locked="0"/>
    </xf>
    <xf numFmtId="37" fontId="165" fillId="3" borderId="0" xfId="0" applyNumberFormat="1" applyFont="1" applyFill="1"/>
    <xf numFmtId="0" fontId="30" fillId="0" borderId="1" xfId="0" applyNumberFormat="1" applyFont="1" applyBorder="1" applyAlignment="1" applyProtection="1">
      <alignment wrapText="1"/>
      <protection locked="0"/>
    </xf>
    <xf numFmtId="172" fontId="199" fillId="0" borderId="0" xfId="0" applyFont="1" applyProtection="1">
      <protection locked="0"/>
    </xf>
    <xf numFmtId="0" fontId="199" fillId="0" borderId="0" xfId="4" applyFont="1"/>
    <xf numFmtId="0" fontId="122" fillId="0" borderId="0" xfId="4155" applyNumberFormat="1" applyFont="1" applyProtection="1">
      <protection locked="0"/>
    </xf>
    <xf numFmtId="0" fontId="30" fillId="0" borderId="0" xfId="123" applyFont="1" applyAlignment="1">
      <alignment horizontal="center"/>
    </xf>
    <xf numFmtId="0" fontId="30" fillId="0" borderId="0" xfId="123" applyFont="1"/>
    <xf numFmtId="0" fontId="187" fillId="0" borderId="0" xfId="123" applyFont="1"/>
    <xf numFmtId="41" fontId="178" fillId="0" borderId="0" xfId="4690" applyNumberFormat="1" applyFont="1"/>
    <xf numFmtId="171" fontId="30" fillId="3" borderId="0" xfId="4695" quotePrefix="1" applyNumberFormat="1" applyFont="1" applyFill="1" applyAlignment="1">
      <alignment horizontal="right"/>
    </xf>
    <xf numFmtId="173" fontId="200" fillId="3" borderId="0" xfId="1" applyNumberFormat="1" applyFont="1" applyFill="1" applyBorder="1" applyAlignment="1" applyProtection="1">
      <protection locked="0"/>
    </xf>
    <xf numFmtId="173" fontId="200" fillId="3" borderId="38" xfId="1" applyNumberFormat="1" applyFont="1" applyFill="1" applyBorder="1" applyAlignment="1" applyProtection="1">
      <protection locked="0"/>
    </xf>
    <xf numFmtId="173" fontId="30" fillId="78" borderId="0" xfId="1" applyNumberFormat="1" applyFont="1" applyFill="1" applyBorder="1" applyAlignment="1" applyProtection="1">
      <protection locked="0"/>
    </xf>
    <xf numFmtId="173" fontId="30" fillId="78" borderId="38" xfId="1" applyNumberFormat="1" applyFont="1" applyFill="1" applyBorder="1" applyAlignment="1" applyProtection="1">
      <protection locked="0"/>
    </xf>
    <xf numFmtId="271" fontId="30" fillId="75" borderId="0" xfId="4665" applyNumberFormat="1" applyFont="1" applyFill="1" applyAlignment="1"/>
    <xf numFmtId="3" fontId="122" fillId="0" borderId="0" xfId="4695" applyNumberFormat="1" applyFont="1" applyAlignment="1">
      <alignment wrapText="1"/>
    </xf>
    <xf numFmtId="0" fontId="30" fillId="0" borderId="0" xfId="4" applyFont="1" applyAlignment="1">
      <alignment vertical="top" wrapText="1"/>
    </xf>
    <xf numFmtId="3" fontId="30" fillId="0" borderId="1" xfId="4695" applyNumberFormat="1" applyFont="1" applyBorder="1" applyAlignment="1">
      <alignment horizontal="center"/>
    </xf>
    <xf numFmtId="0" fontId="200" fillId="0" borderId="0" xfId="4690" applyFont="1"/>
    <xf numFmtId="0" fontId="197" fillId="0" borderId="0" xfId="4695" applyFont="1"/>
    <xf numFmtId="0" fontId="178" fillId="0" borderId="0" xfId="4695" applyFont="1"/>
    <xf numFmtId="43" fontId="201" fillId="0" borderId="0" xfId="4696" applyFont="1" applyFill="1" applyBorder="1" applyAlignment="1">
      <alignment horizontal="left"/>
    </xf>
    <xf numFmtId="43" fontId="201" fillId="0" borderId="3" xfId="4696" applyFont="1" applyFill="1" applyBorder="1" applyAlignment="1">
      <alignment horizontal="left"/>
    </xf>
    <xf numFmtId="0" fontId="38" fillId="0" borderId="0" xfId="4695" applyFont="1" applyAlignment="1">
      <alignment wrapText="1"/>
    </xf>
    <xf numFmtId="0" fontId="197" fillId="0" borderId="0" xfId="4695" applyFont="1" applyAlignment="1">
      <alignment wrapText="1"/>
    </xf>
    <xf numFmtId="0" fontId="197" fillId="0" borderId="0" xfId="4695" applyFont="1" applyAlignment="1">
      <alignment vertical="top" wrapText="1"/>
    </xf>
    <xf numFmtId="0" fontId="198" fillId="0" borderId="0" xfId="4698" applyAlignment="1">
      <alignment horizontal="left" vertical="top"/>
    </xf>
    <xf numFmtId="0" fontId="198" fillId="0" borderId="0" xfId="4698" applyAlignment="1">
      <alignment horizontal="center" vertical="top"/>
    </xf>
    <xf numFmtId="0" fontId="198" fillId="0" borderId="0" xfId="4698" applyAlignment="1">
      <alignment vertical="top" wrapText="1"/>
    </xf>
    <xf numFmtId="0" fontId="198" fillId="0" borderId="0" xfId="4698" applyAlignment="1">
      <alignment horizontal="center" wrapText="1"/>
    </xf>
    <xf numFmtId="0" fontId="198" fillId="0" borderId="0" xfId="4698" applyAlignment="1">
      <alignment wrapText="1"/>
    </xf>
    <xf numFmtId="0" fontId="198" fillId="0" borderId="0" xfId="4698" applyAlignment="1">
      <alignment horizontal="left" wrapText="1"/>
    </xf>
    <xf numFmtId="0" fontId="198" fillId="0" borderId="0" xfId="4698" applyAlignment="1">
      <alignment vertical="center" wrapText="1"/>
    </xf>
    <xf numFmtId="0" fontId="198" fillId="0" borderId="60" xfId="4698" applyBorder="1" applyAlignment="1">
      <alignment vertical="center" wrapText="1"/>
    </xf>
    <xf numFmtId="0" fontId="198" fillId="0" borderId="0" xfId="4698" applyAlignment="1">
      <alignment horizontal="left" vertical="center"/>
    </xf>
    <xf numFmtId="0" fontId="198" fillId="0" borderId="61" xfId="4698" applyBorder="1" applyAlignment="1">
      <alignment horizontal="left" wrapText="1"/>
    </xf>
    <xf numFmtId="0" fontId="198" fillId="0" borderId="0" xfId="4698" applyAlignment="1">
      <alignment horizontal="left" vertical="center" wrapText="1"/>
    </xf>
    <xf numFmtId="174" fontId="198" fillId="0" borderId="0" xfId="4696" applyNumberFormat="1" applyFont="1" applyAlignment="1">
      <alignment vertical="center" wrapText="1"/>
    </xf>
    <xf numFmtId="174" fontId="198" fillId="0" borderId="0" xfId="4698" applyNumberFormat="1" applyAlignment="1">
      <alignment horizontal="left" vertical="top"/>
    </xf>
    <xf numFmtId="174" fontId="198" fillId="0" borderId="0" xfId="4696" applyNumberFormat="1" applyFont="1" applyBorder="1" applyAlignment="1">
      <alignment horizontal="left" vertical="top"/>
    </xf>
    <xf numFmtId="174" fontId="198" fillId="0" borderId="0" xfId="4696" applyNumberFormat="1" applyFont="1" applyBorder="1" applyAlignment="1">
      <alignment vertical="center" wrapText="1"/>
    </xf>
    <xf numFmtId="174" fontId="198" fillId="0" borderId="59" xfId="4696" applyNumberFormat="1" applyFont="1" applyBorder="1" applyAlignment="1">
      <alignment wrapText="1"/>
    </xf>
    <xf numFmtId="0" fontId="122" fillId="0" borderId="0" xfId="4698" applyFont="1" applyAlignment="1">
      <alignment vertical="top" wrapText="1"/>
    </xf>
    <xf numFmtId="0" fontId="122" fillId="0" borderId="0" xfId="4698" applyFont="1" applyAlignment="1">
      <alignment horizontal="center" vertical="center" wrapText="1"/>
    </xf>
    <xf numFmtId="0" fontId="122" fillId="0" borderId="63" xfId="4698" applyFont="1" applyBorder="1" applyAlignment="1">
      <alignment horizontal="center" vertical="center" wrapText="1"/>
    </xf>
    <xf numFmtId="0" fontId="202" fillId="0" borderId="35" xfId="4698" quotePrefix="1" applyFont="1" applyBorder="1" applyAlignment="1">
      <alignment horizontal="center" vertical="center" wrapText="1"/>
    </xf>
    <xf numFmtId="0" fontId="122" fillId="0" borderId="35" xfId="4698" quotePrefix="1" applyFont="1" applyBorder="1" applyAlignment="1">
      <alignment horizontal="center" vertical="center"/>
    </xf>
    <xf numFmtId="1" fontId="202" fillId="0" borderId="0" xfId="4698" applyNumberFormat="1" applyFont="1" applyAlignment="1">
      <alignment horizontal="center" vertical="top" shrinkToFit="1"/>
    </xf>
    <xf numFmtId="0" fontId="184" fillId="0" borderId="0" xfId="4698" applyFont="1" applyAlignment="1">
      <alignment vertical="top" wrapText="1"/>
    </xf>
    <xf numFmtId="0" fontId="30" fillId="0" borderId="0" xfId="4698" applyFont="1" applyAlignment="1">
      <alignment vertical="center" wrapText="1"/>
    </xf>
    <xf numFmtId="174" fontId="198" fillId="0" borderId="0" xfId="4696" applyNumberFormat="1" applyFont="1" applyAlignment="1">
      <alignment vertical="top" shrinkToFit="1"/>
    </xf>
    <xf numFmtId="174" fontId="198" fillId="0" borderId="0" xfId="4696" applyNumberFormat="1" applyFont="1" applyAlignment="1">
      <alignment horizontal="left" vertical="top"/>
    </xf>
    <xf numFmtId="174" fontId="198" fillId="0" borderId="0" xfId="4696" applyNumberFormat="1" applyFont="1" applyBorder="1" applyAlignment="1">
      <alignment vertical="top" shrinkToFit="1"/>
    </xf>
    <xf numFmtId="174" fontId="198" fillId="0" borderId="3" xfId="4696" applyNumberFormat="1" applyFont="1" applyBorder="1" applyAlignment="1">
      <alignment vertical="top" shrinkToFit="1"/>
    </xf>
    <xf numFmtId="174" fontId="198" fillId="0" borderId="3" xfId="4696" applyNumberFormat="1" applyFont="1" applyBorder="1" applyAlignment="1">
      <alignment horizontal="left" vertical="top"/>
    </xf>
    <xf numFmtId="174" fontId="198" fillId="0" borderId="3" xfId="4698" applyNumberFormat="1" applyBorder="1" applyAlignment="1">
      <alignment horizontal="left" vertical="top"/>
    </xf>
    <xf numFmtId="174" fontId="198" fillId="0" borderId="2" xfId="4696" applyNumberFormat="1" applyFont="1" applyBorder="1" applyAlignment="1">
      <alignment vertical="top" shrinkToFit="1"/>
    </xf>
    <xf numFmtId="0" fontId="122" fillId="0" borderId="0" xfId="4698" applyFont="1" applyAlignment="1">
      <alignment horizontal="left" vertical="top" wrapText="1"/>
    </xf>
    <xf numFmtId="1" fontId="202" fillId="0" borderId="0" xfId="4698" applyNumberFormat="1" applyFont="1" applyAlignment="1">
      <alignment horizontal="center" vertical="center" shrinkToFit="1"/>
    </xf>
    <xf numFmtId="0" fontId="184" fillId="0" borderId="0" xfId="4698" applyFont="1" applyAlignment="1">
      <alignment vertical="center" wrapText="1"/>
    </xf>
    <xf numFmtId="0" fontId="122" fillId="0" borderId="0" xfId="4698" applyFont="1" applyAlignment="1">
      <alignment vertical="center" wrapText="1"/>
    </xf>
    <xf numFmtId="174" fontId="198" fillId="0" borderId="0" xfId="4696" applyNumberFormat="1" applyFont="1" applyFill="1" applyAlignment="1">
      <alignment horizontal="left" vertical="top"/>
    </xf>
    <xf numFmtId="174" fontId="198" fillId="0" borderId="59" xfId="4696" applyNumberFormat="1" applyFont="1" applyBorder="1" applyAlignment="1">
      <alignment vertical="top" shrinkToFit="1"/>
    </xf>
    <xf numFmtId="174" fontId="198" fillId="0" borderId="60" xfId="4696" applyNumberFormat="1" applyFont="1" applyBorder="1" applyAlignment="1">
      <alignment vertical="top" shrinkToFit="1"/>
    </xf>
    <xf numFmtId="174" fontId="198" fillId="0" borderId="59" xfId="4696" applyNumberFormat="1" applyFont="1" applyFill="1" applyBorder="1" applyAlignment="1">
      <alignment vertical="top" shrinkToFit="1"/>
    </xf>
    <xf numFmtId="174" fontId="187" fillId="0" borderId="0" xfId="4698" applyNumberFormat="1" applyFont="1" applyAlignment="1">
      <alignment horizontal="left" vertical="top"/>
    </xf>
    <xf numFmtId="39" fontId="178" fillId="0" borderId="0" xfId="4695" applyNumberFormat="1" applyFont="1"/>
    <xf numFmtId="0" fontId="30" fillId="0" borderId="0" xfId="4698" applyFont="1" applyAlignment="1">
      <alignment horizontal="center" vertical="top" wrapText="1"/>
    </xf>
    <xf numFmtId="0" fontId="197" fillId="0" borderId="0" xfId="4695" applyFont="1" applyAlignment="1">
      <alignment vertical="top"/>
    </xf>
    <xf numFmtId="14" fontId="30" fillId="0" borderId="0" xfId="0" applyNumberFormat="1" applyFont="1" applyAlignment="1" applyProtection="1">
      <alignment vertical="top" wrapText="1"/>
      <protection locked="0"/>
    </xf>
    <xf numFmtId="14" fontId="30" fillId="0" borderId="0" xfId="0" applyNumberFormat="1" applyFont="1" applyAlignment="1" applyProtection="1">
      <alignment horizontal="center" vertical="top"/>
      <protection locked="0"/>
    </xf>
    <xf numFmtId="271" fontId="30" fillId="0" borderId="0" xfId="4665" applyNumberFormat="1" applyFont="1" applyFill="1" applyAlignment="1" applyProtection="1">
      <alignment vertical="top"/>
      <protection locked="0"/>
    </xf>
    <xf numFmtId="173" fontId="30" fillId="0" borderId="0" xfId="1" applyNumberFormat="1" applyFont="1" applyFill="1" applyAlignment="1" applyProtection="1">
      <alignment vertical="top"/>
      <protection locked="0"/>
    </xf>
    <xf numFmtId="174" fontId="30" fillId="0" borderId="0" xfId="4665" applyNumberFormat="1" applyFont="1" applyFill="1" applyAlignment="1" applyProtection="1">
      <alignment vertical="top"/>
      <protection locked="0"/>
    </xf>
    <xf numFmtId="41" fontId="165" fillId="3" borderId="0" xfId="0" applyNumberFormat="1" applyFont="1" applyFill="1" applyProtection="1">
      <protection locked="0"/>
    </xf>
    <xf numFmtId="172" fontId="30" fillId="0" borderId="0" xfId="4667" applyNumberFormat="1" applyFont="1" applyAlignment="1">
      <alignment horizontal="center"/>
    </xf>
    <xf numFmtId="164" fontId="178" fillId="0" borderId="0" xfId="4697" applyNumberFormat="1" applyFont="1" applyFill="1" applyBorder="1" applyAlignment="1">
      <alignment horizontal="center"/>
    </xf>
    <xf numFmtId="0" fontId="30" fillId="0" borderId="0" xfId="0" applyNumberFormat="1" applyFont="1" applyAlignment="1" applyProtection="1">
      <alignment vertical="top"/>
      <protection locked="0"/>
    </xf>
    <xf numFmtId="9" fontId="30" fillId="0" borderId="0" xfId="0" applyNumberFormat="1" applyFont="1" applyAlignment="1" applyProtection="1">
      <alignment vertical="top"/>
    </xf>
    <xf numFmtId="169" fontId="30" fillId="0" borderId="0" xfId="0" applyNumberFormat="1" applyFont="1" applyAlignment="1" applyProtection="1">
      <alignment vertical="top"/>
      <protection locked="0"/>
    </xf>
    <xf numFmtId="169" fontId="30" fillId="0" borderId="0" xfId="0" applyNumberFormat="1" applyFont="1" applyAlignment="1" applyProtection="1">
      <alignment vertical="top"/>
    </xf>
    <xf numFmtId="172" fontId="30" fillId="0" borderId="0" xfId="0" applyFont="1" applyAlignment="1" applyProtection="1">
      <alignment vertical="top"/>
      <protection locked="0"/>
    </xf>
    <xf numFmtId="3" fontId="30" fillId="0" borderId="0" xfId="0" quotePrefix="1" applyNumberFormat="1" applyFont="1" applyAlignment="1" applyProtection="1">
      <alignment vertical="top"/>
      <protection locked="0"/>
    </xf>
    <xf numFmtId="172" fontId="204" fillId="0" borderId="0" xfId="0" applyFont="1" applyProtection="1"/>
    <xf numFmtId="172" fontId="204" fillId="0" borderId="0" xfId="0" applyFont="1"/>
    <xf numFmtId="172" fontId="204" fillId="0" borderId="0" xfId="0" quotePrefix="1" applyFont="1" applyAlignment="1">
      <alignment horizontal="center"/>
    </xf>
    <xf numFmtId="3" fontId="178" fillId="0" borderId="0" xfId="4597" applyNumberFormat="1" applyFont="1" applyAlignment="1">
      <alignment horizontal="left"/>
    </xf>
    <xf numFmtId="0" fontId="30" fillId="0" borderId="0" xfId="4698" applyFont="1" applyAlignment="1">
      <alignment horizontal="left" vertical="top" wrapText="1"/>
    </xf>
    <xf numFmtId="174" fontId="30" fillId="75" borderId="1" xfId="4665" applyNumberFormat="1" applyFont="1" applyFill="1" applyBorder="1" applyAlignment="1"/>
    <xf numFmtId="174" fontId="30" fillId="3" borderId="0" xfId="190" applyNumberFormat="1" applyFont="1" applyFill="1" applyAlignment="1"/>
    <xf numFmtId="0" fontId="30" fillId="0" borderId="0" xfId="4597" applyNumberFormat="1" applyFont="1" applyAlignment="1">
      <alignment wrapText="1"/>
    </xf>
    <xf numFmtId="0" fontId="38" fillId="0" borderId="0" xfId="4695" applyFont="1"/>
    <xf numFmtId="164" fontId="122" fillId="0" borderId="0" xfId="3" applyNumberFormat="1" applyFont="1" applyFill="1" applyBorder="1" applyAlignment="1">
      <alignment horizontal="center"/>
    </xf>
    <xf numFmtId="0" fontId="122" fillId="3" borderId="0" xfId="4698" applyFont="1" applyFill="1" applyAlignment="1">
      <alignment horizontal="center" vertical="top" wrapText="1"/>
    </xf>
    <xf numFmtId="10" fontId="198" fillId="3" borderId="0" xfId="4698" applyNumberFormat="1" applyFill="1" applyAlignment="1">
      <alignment horizontal="center" vertical="top" shrinkToFit="1"/>
    </xf>
    <xf numFmtId="10" fontId="198" fillId="3" borderId="0" xfId="4697" applyNumberFormat="1" applyFont="1" applyFill="1" applyAlignment="1">
      <alignment horizontal="center" vertical="top"/>
    </xf>
    <xf numFmtId="0" fontId="122" fillId="0" borderId="62" xfId="4698" applyFont="1" applyBorder="1" applyAlignment="1">
      <alignment horizontal="center" vertical="center" wrapText="1"/>
    </xf>
    <xf numFmtId="0" fontId="202" fillId="0" borderId="35" xfId="4698" applyFont="1" applyBorder="1" applyAlignment="1">
      <alignment horizontal="center" vertical="center" wrapText="1"/>
    </xf>
    <xf numFmtId="1" fontId="198" fillId="3" borderId="0" xfId="4698" applyNumberFormat="1" applyFill="1" applyAlignment="1">
      <alignment vertical="top" shrinkToFit="1"/>
    </xf>
    <xf numFmtId="174" fontId="198" fillId="3" borderId="0" xfId="4696" applyNumberFormat="1" applyFont="1" applyFill="1" applyAlignment="1">
      <alignment vertical="top" shrinkToFit="1"/>
    </xf>
    <xf numFmtId="174" fontId="198" fillId="3" borderId="0" xfId="4696" applyNumberFormat="1" applyFont="1" applyFill="1" applyBorder="1" applyAlignment="1">
      <alignment vertical="top" shrinkToFit="1"/>
    </xf>
    <xf numFmtId="0" fontId="198" fillId="3" borderId="0" xfId="4698" applyFill="1" applyAlignment="1">
      <alignment wrapText="1"/>
    </xf>
    <xf numFmtId="174" fontId="198" fillId="3" borderId="3" xfId="4696" applyNumberFormat="1" applyFont="1" applyFill="1" applyBorder="1" applyAlignment="1">
      <alignment wrapText="1"/>
    </xf>
    <xf numFmtId="174" fontId="198" fillId="3" borderId="3" xfId="4696" applyNumberFormat="1" applyFont="1" applyFill="1" applyBorder="1" applyAlignment="1">
      <alignment vertical="top" shrinkToFit="1"/>
    </xf>
    <xf numFmtId="0" fontId="30" fillId="3" borderId="0" xfId="4698" applyFont="1" applyFill="1" applyAlignment="1">
      <alignment vertical="top" wrapText="1"/>
    </xf>
    <xf numFmtId="174" fontId="30" fillId="3" borderId="0" xfId="4696" applyNumberFormat="1" applyFont="1" applyFill="1" applyAlignment="1">
      <alignment vertical="top" wrapText="1"/>
    </xf>
    <xf numFmtId="173" fontId="30" fillId="81" borderId="0" xfId="1" applyNumberFormat="1" applyFont="1" applyFill="1" applyAlignment="1" applyProtection="1">
      <alignment vertical="top"/>
      <protection locked="0"/>
    </xf>
    <xf numFmtId="174" fontId="30" fillId="81" borderId="0" xfId="4665" applyNumberFormat="1" applyFont="1" applyFill="1" applyAlignment="1" applyProtection="1">
      <alignment vertical="top"/>
      <protection locked="0"/>
    </xf>
    <xf numFmtId="0" fontId="132" fillId="0" borderId="0" xfId="4698" applyFont="1" applyAlignment="1">
      <alignment vertical="top" wrapText="1"/>
    </xf>
    <xf numFmtId="0" fontId="72" fillId="0" borderId="0" xfId="4698" applyFont="1" applyAlignment="1">
      <alignment vertical="center" wrapText="1"/>
    </xf>
    <xf numFmtId="0" fontId="194" fillId="0" borderId="0" xfId="4598" applyFont="1" applyAlignment="1">
      <alignment horizontal="center" wrapText="1"/>
    </xf>
    <xf numFmtId="0" fontId="178" fillId="0" borderId="0" xfId="123" applyFont="1" applyAlignment="1">
      <alignment horizontal="center"/>
    </xf>
    <xf numFmtId="0" fontId="178" fillId="0" borderId="0" xfId="123" applyFont="1"/>
    <xf numFmtId="172" fontId="178" fillId="0" borderId="0" xfId="0" applyFont="1"/>
    <xf numFmtId="0" fontId="194" fillId="0" borderId="0" xfId="4598" applyFont="1" applyAlignment="1">
      <alignment horizontal="center"/>
    </xf>
    <xf numFmtId="0" fontId="178" fillId="0" borderId="0" xfId="4598" applyFont="1" applyAlignment="1">
      <alignment horizontal="left"/>
    </xf>
    <xf numFmtId="0" fontId="178" fillId="0" borderId="0" xfId="4598" applyFont="1"/>
    <xf numFmtId="41" fontId="178" fillId="2" borderId="0" xfId="4598" applyNumberFormat="1" applyFont="1" applyFill="1"/>
    <xf numFmtId="174" fontId="178" fillId="0" borderId="14" xfId="190" applyNumberFormat="1" applyFont="1" applyBorder="1"/>
    <xf numFmtId="0" fontId="203" fillId="0" borderId="0" xfId="4690" applyFont="1"/>
    <xf numFmtId="0" fontId="205" fillId="0" borderId="0" xfId="4690" applyFont="1"/>
    <xf numFmtId="164" fontId="30" fillId="75" borderId="0" xfId="4666" applyNumberFormat="1" applyFont="1" applyFill="1" applyAlignment="1"/>
    <xf numFmtId="305" fontId="30" fillId="75" borderId="0" xfId="4665" applyNumberFormat="1" applyFont="1" applyFill="1" applyAlignment="1"/>
    <xf numFmtId="0" fontId="178" fillId="0" borderId="0" xfId="0" applyNumberFormat="1" applyFont="1" applyAlignment="1" applyProtection="1">
      <alignment horizontal="center"/>
      <protection locked="0"/>
    </xf>
    <xf numFmtId="0" fontId="178" fillId="0" borderId="0" xfId="0" applyNumberFormat="1" applyFont="1" applyProtection="1">
      <protection locked="0"/>
    </xf>
    <xf numFmtId="3" fontId="178" fillId="0" borderId="0" xfId="4228" applyNumberFormat="1" applyFont="1"/>
    <xf numFmtId="3" fontId="178" fillId="0" borderId="4" xfId="4597" applyNumberFormat="1" applyFont="1" applyBorder="1"/>
    <xf numFmtId="41" fontId="178" fillId="78" borderId="0" xfId="1" applyNumberFormat="1" applyFont="1" applyFill="1" applyAlignment="1" applyProtection="1">
      <protection locked="0"/>
    </xf>
    <xf numFmtId="3" fontId="178" fillId="0" borderId="0" xfId="0" applyNumberFormat="1" applyFont="1" applyProtection="1">
      <protection locked="0"/>
    </xf>
    <xf numFmtId="165" fontId="178" fillId="0" borderId="0" xfId="0" applyNumberFormat="1" applyFont="1" applyProtection="1"/>
    <xf numFmtId="174" fontId="178" fillId="0" borderId="0" xfId="190" applyNumberFormat="1" applyFont="1" applyFill="1" applyAlignment="1"/>
    <xf numFmtId="174" fontId="178" fillId="0" borderId="4" xfId="190" applyNumberFormat="1" applyFont="1" applyFill="1" applyBorder="1" applyAlignment="1"/>
    <xf numFmtId="0" fontId="178" fillId="0" borderId="0" xfId="0" applyNumberFormat="1" applyFont="1" applyProtection="1"/>
    <xf numFmtId="3" fontId="178" fillId="0" borderId="0" xfId="0" applyNumberFormat="1" applyFont="1" applyProtection="1"/>
    <xf numFmtId="41" fontId="178" fillId="78" borderId="4" xfId="1" applyNumberFormat="1" applyFont="1" applyFill="1" applyBorder="1" applyAlignment="1" applyProtection="1">
      <protection locked="0"/>
    </xf>
    <xf numFmtId="3" fontId="178" fillId="0" borderId="0" xfId="4597" applyNumberFormat="1" applyFont="1"/>
    <xf numFmtId="41" fontId="178" fillId="0" borderId="0" xfId="1" applyNumberFormat="1" applyFont="1" applyFill="1" applyAlignment="1" applyProtection="1">
      <protection locked="0"/>
    </xf>
    <xf numFmtId="41" fontId="178" fillId="0" borderId="4" xfId="1" applyNumberFormat="1" applyFont="1" applyFill="1" applyBorder="1" applyAlignment="1" applyProtection="1">
      <protection locked="0"/>
    </xf>
    <xf numFmtId="172" fontId="178" fillId="0" borderId="0" xfId="0" applyFont="1" applyProtection="1">
      <protection locked="0"/>
    </xf>
    <xf numFmtId="271" fontId="30" fillId="75" borderId="38" xfId="4665" applyNumberFormat="1" applyFont="1" applyFill="1" applyBorder="1" applyAlignment="1"/>
    <xf numFmtId="173" fontId="30" fillId="0" borderId="38" xfId="1" applyNumberFormat="1" applyFont="1" applyFill="1" applyBorder="1" applyAlignment="1" applyProtection="1">
      <protection locked="0"/>
    </xf>
    <xf numFmtId="172" fontId="30" fillId="0" borderId="27" xfId="0" applyFont="1" applyBorder="1"/>
    <xf numFmtId="0" fontId="30" fillId="0" borderId="27" xfId="4471" applyFont="1" applyBorder="1"/>
    <xf numFmtId="0" fontId="30" fillId="0" borderId="4" xfId="4157" applyFont="1" applyBorder="1"/>
    <xf numFmtId="174" fontId="30" fillId="0" borderId="4" xfId="190" applyNumberFormat="1" applyFont="1" applyFill="1" applyBorder="1" applyAlignment="1">
      <alignment horizontal="center" wrapText="1"/>
    </xf>
    <xf numFmtId="172" fontId="30" fillId="0" borderId="0" xfId="4667" applyNumberFormat="1" applyFont="1" applyBorder="1" applyAlignment="1">
      <alignment wrapText="1"/>
    </xf>
    <xf numFmtId="172" fontId="30" fillId="0" borderId="38" xfId="4667" applyNumberFormat="1" applyFont="1" applyBorder="1" applyAlignment="1">
      <alignment horizontal="center" vertical="top"/>
    </xf>
    <xf numFmtId="172" fontId="30" fillId="0" borderId="0" xfId="4667" applyNumberFormat="1" applyFont="1" applyBorder="1" applyAlignment="1">
      <alignment horizontal="center" vertical="top"/>
    </xf>
    <xf numFmtId="164" fontId="30" fillId="0" borderId="0" xfId="4667" applyNumberFormat="1" applyFont="1" applyBorder="1" applyAlignment="1">
      <alignment horizontal="center" vertical="top" wrapText="1"/>
    </xf>
    <xf numFmtId="10" fontId="30" fillId="0" borderId="38" xfId="4352" quotePrefix="1" applyNumberFormat="1" applyFont="1" applyBorder="1" applyAlignment="1">
      <alignment horizontal="center" vertical="top" wrapText="1"/>
    </xf>
    <xf numFmtId="172" fontId="30" fillId="0" borderId="37" xfId="4667" applyNumberFormat="1" applyFont="1" applyBorder="1" applyAlignment="1">
      <alignment horizontal="center" vertical="top" wrapText="1"/>
    </xf>
    <xf numFmtId="172" fontId="30" fillId="0" borderId="0" xfId="4667" applyNumberFormat="1" applyFont="1" applyBorder="1" applyAlignment="1">
      <alignment horizontal="center" vertical="top" wrapText="1"/>
    </xf>
    <xf numFmtId="172" fontId="30" fillId="0" borderId="47" xfId="4667" applyNumberFormat="1" applyFont="1" applyBorder="1" applyAlignment="1">
      <alignment horizontal="center" vertical="top"/>
    </xf>
    <xf numFmtId="172" fontId="30" fillId="0" borderId="51" xfId="4667" applyNumberFormat="1" applyFont="1" applyBorder="1" applyAlignment="1">
      <alignment horizontal="center" vertical="top" wrapText="1"/>
    </xf>
    <xf numFmtId="174" fontId="179" fillId="0" borderId="53" xfId="190" applyNumberFormat="1" applyFont="1" applyBorder="1" applyAlignment="1">
      <alignment horizontal="center" vertical="center"/>
    </xf>
    <xf numFmtId="44" fontId="179" fillId="0" borderId="52" xfId="1" applyFont="1" applyBorder="1" applyAlignment="1">
      <alignment horizontal="center" vertical="center"/>
    </xf>
    <xf numFmtId="173" fontId="179" fillId="0" borderId="53" xfId="1" applyNumberFormat="1" applyFont="1" applyBorder="1" applyAlignment="1">
      <alignment horizontal="center" vertical="center"/>
    </xf>
    <xf numFmtId="174" fontId="179" fillId="0" borderId="3" xfId="190" applyNumberFormat="1" applyFont="1" applyBorder="1" applyAlignment="1">
      <alignment horizontal="center" vertical="center" wrapText="1"/>
    </xf>
    <xf numFmtId="0" fontId="30" fillId="0" borderId="0" xfId="4690" applyFont="1" applyAlignment="1">
      <alignment horizontal="center" vertical="center" wrapText="1"/>
    </xf>
    <xf numFmtId="0" fontId="30" fillId="0" borderId="0" xfId="4690" applyFont="1"/>
    <xf numFmtId="3" fontId="30" fillId="0" borderId="0" xfId="122" applyNumberFormat="1" applyFont="1" applyAlignment="1">
      <alignment horizontal="center"/>
    </xf>
    <xf numFmtId="37" fontId="165" fillId="3" borderId="0" xfId="122" applyNumberFormat="1" applyFont="1" applyFill="1"/>
    <xf numFmtId="3" fontId="30" fillId="0" borderId="0" xfId="122" applyNumberFormat="1" applyFont="1"/>
    <xf numFmtId="0" fontId="30" fillId="0" borderId="0" xfId="122" applyFont="1"/>
    <xf numFmtId="14" fontId="30" fillId="0" borderId="0" xfId="122" applyNumberFormat="1" applyFont="1"/>
    <xf numFmtId="3" fontId="30" fillId="0" borderId="3" xfId="0" applyNumberFormat="1" applyFont="1" applyBorder="1" applyProtection="1">
      <protection locked="0"/>
    </xf>
    <xf numFmtId="0" fontId="165" fillId="0" borderId="0" xfId="4671" applyFont="1" applyAlignment="1">
      <alignment horizontal="left"/>
    </xf>
    <xf numFmtId="37" fontId="165" fillId="0" borderId="0" xfId="4671" applyNumberFormat="1" applyFont="1" applyAlignment="1">
      <alignment horizontal="left"/>
    </xf>
    <xf numFmtId="0" fontId="165" fillId="0" borderId="0" xfId="4671" applyFont="1" applyAlignment="1">
      <alignment horizontal="left" indent="1"/>
    </xf>
    <xf numFmtId="0" fontId="165" fillId="0" borderId="0" xfId="4671" applyFont="1"/>
    <xf numFmtId="172" fontId="30" fillId="0" borderId="48" xfId="4667" applyNumberFormat="1" applyFont="1" applyBorder="1" applyAlignment="1"/>
    <xf numFmtId="172" fontId="30" fillId="0" borderId="4" xfId="4667" applyNumberFormat="1" applyFont="1" applyBorder="1" applyAlignment="1">
      <alignment horizontal="center"/>
    </xf>
    <xf numFmtId="172" fontId="30" fillId="0" borderId="65" xfId="4667" applyNumberFormat="1" applyFont="1" applyBorder="1" applyAlignment="1">
      <alignment horizontal="center"/>
    </xf>
    <xf numFmtId="174" fontId="198" fillId="3" borderId="0" xfId="4665" applyNumberFormat="1" applyFont="1" applyFill="1" applyAlignment="1">
      <alignment vertical="top" shrinkToFit="1"/>
    </xf>
    <xf numFmtId="271" fontId="30" fillId="0" borderId="0" xfId="190" applyNumberFormat="1" applyFont="1" applyFill="1" applyBorder="1" applyAlignment="1">
      <alignment horizontal="center"/>
    </xf>
    <xf numFmtId="167" fontId="165" fillId="3" borderId="0" xfId="0" applyNumberFormat="1" applyFont="1" applyFill="1" applyProtection="1">
      <protection locked="0"/>
    </xf>
    <xf numFmtId="44" fontId="30" fillId="0" borderId="0" xfId="4476" applyNumberFormat="1" applyFont="1" applyAlignment="1">
      <alignment wrapText="1"/>
    </xf>
    <xf numFmtId="173" fontId="115" fillId="3" borderId="37" xfId="86" applyNumberFormat="1" applyFont="1" applyFill="1" applyBorder="1" applyAlignment="1" applyProtection="1">
      <alignment vertical="center"/>
      <protection locked="0"/>
    </xf>
    <xf numFmtId="172" fontId="9" fillId="0" borderId="0" xfId="0" applyFont="1" applyAlignment="1">
      <alignment vertical="top" wrapText="1"/>
    </xf>
    <xf numFmtId="172" fontId="9" fillId="0" borderId="0" xfId="0" applyFont="1" applyAlignment="1">
      <alignment horizontal="left" vertical="top" wrapText="1"/>
    </xf>
    <xf numFmtId="172" fontId="173" fillId="0" borderId="0" xfId="0" applyFont="1" applyAlignment="1">
      <alignment horizontal="center"/>
    </xf>
    <xf numFmtId="172" fontId="166" fillId="0" borderId="0" xfId="4597" applyFont="1" applyAlignment="1">
      <alignment horizontal="left" vertical="top" wrapText="1"/>
    </xf>
    <xf numFmtId="0" fontId="30" fillId="0" borderId="0" xfId="0" applyNumberFormat="1" applyFont="1" applyAlignment="1" applyProtection="1">
      <alignment horizontal="left" vertical="top" wrapText="1"/>
      <protection locked="0"/>
    </xf>
    <xf numFmtId="0" fontId="30" fillId="0" borderId="0" xfId="0" applyNumberFormat="1" applyFont="1" applyAlignment="1" applyProtection="1">
      <alignment vertical="top" wrapText="1"/>
      <protection locked="0"/>
    </xf>
    <xf numFmtId="172" fontId="30" fillId="0" borderId="0" xfId="0" applyFont="1" applyAlignment="1">
      <alignment horizontal="left" vertical="top" wrapText="1"/>
    </xf>
    <xf numFmtId="0" fontId="30" fillId="0" borderId="0" xfId="0" applyNumberFormat="1" applyFont="1" applyAlignment="1">
      <alignment horizontal="left" vertical="top" wrapText="1"/>
    </xf>
    <xf numFmtId="172" fontId="166" fillId="0" borderId="0" xfId="0" applyFont="1" applyAlignment="1">
      <alignment horizontal="left" vertical="top" wrapText="1"/>
    </xf>
    <xf numFmtId="0" fontId="30" fillId="0" borderId="0" xfId="4595" applyFont="1" applyAlignment="1">
      <alignment vertical="top" wrapText="1"/>
    </xf>
    <xf numFmtId="0" fontId="30" fillId="0" borderId="0" xfId="4597" quotePrefix="1" applyNumberFormat="1" applyFont="1" applyAlignment="1">
      <alignment horizontal="left" vertical="top" wrapText="1"/>
    </xf>
    <xf numFmtId="0" fontId="30" fillId="0" borderId="0" xfId="4597" applyNumberFormat="1" applyFont="1" applyAlignment="1" applyProtection="1">
      <alignment horizontal="left" vertical="top" wrapText="1"/>
      <protection locked="0"/>
    </xf>
    <xf numFmtId="0" fontId="30" fillId="0" borderId="0" xfId="2138" applyFont="1" applyFill="1" applyAlignment="1">
      <alignment horizontal="left" vertical="top" wrapText="1"/>
    </xf>
    <xf numFmtId="0" fontId="30" fillId="0" borderId="0" xfId="0" applyNumberFormat="1" applyFont="1" applyAlignment="1" applyProtection="1">
      <alignment horizontal="right"/>
      <protection locked="0"/>
    </xf>
    <xf numFmtId="0" fontId="122" fillId="0" borderId="0" xfId="0" applyNumberFormat="1" applyFont="1" applyAlignment="1" applyProtection="1">
      <alignment horizontal="right"/>
      <protection locked="0"/>
    </xf>
    <xf numFmtId="0" fontId="30" fillId="0" borderId="1" xfId="0" applyNumberFormat="1" applyFont="1" applyBorder="1" applyAlignment="1" applyProtection="1">
      <alignment horizontal="center"/>
      <protection locked="0"/>
    </xf>
    <xf numFmtId="0" fontId="30" fillId="0" borderId="0" xfId="0" applyNumberFormat="1" applyFont="1" applyAlignment="1" applyProtection="1">
      <alignment horizontal="right" vertical="top"/>
    </xf>
    <xf numFmtId="0" fontId="30" fillId="0" borderId="0" xfId="0" applyNumberFormat="1" applyFont="1" applyAlignment="1" applyProtection="1">
      <alignment horizontal="center"/>
      <protection locked="0"/>
    </xf>
    <xf numFmtId="0" fontId="30" fillId="0" borderId="0" xfId="0" applyNumberFormat="1" applyFont="1" applyProtection="1">
      <protection locked="0"/>
    </xf>
    <xf numFmtId="3" fontId="30" fillId="0" borderId="0" xfId="0" applyNumberFormat="1" applyFont="1" applyAlignment="1" applyProtection="1">
      <alignment horizontal="right"/>
      <protection locked="0"/>
    </xf>
    <xf numFmtId="0" fontId="30" fillId="0" borderId="0" xfId="4664" applyNumberFormat="1" applyFont="1" applyAlignment="1">
      <alignment horizontal="left" vertical="top" wrapText="1"/>
    </xf>
    <xf numFmtId="172" fontId="30" fillId="0" borderId="0" xfId="0" applyFont="1" applyAlignment="1" applyProtection="1">
      <alignment horizontal="left" vertical="top" wrapText="1"/>
      <protection locked="0"/>
    </xf>
    <xf numFmtId="0" fontId="131" fillId="0" borderId="4" xfId="4473" applyFont="1" applyBorder="1" applyAlignment="1">
      <alignment horizontal="center"/>
    </xf>
    <xf numFmtId="172" fontId="122" fillId="0" borderId="3" xfId="0" applyFont="1" applyBorder="1" applyAlignment="1">
      <alignment horizontal="center"/>
    </xf>
    <xf numFmtId="0" fontId="122" fillId="0" borderId="0" xfId="4155" applyNumberFormat="1" applyFont="1" applyAlignment="1" applyProtection="1">
      <alignment horizontal="center"/>
      <protection locked="0"/>
    </xf>
    <xf numFmtId="172" fontId="122" fillId="0" borderId="0" xfId="0" applyFont="1" applyAlignment="1">
      <alignment horizontal="center"/>
    </xf>
    <xf numFmtId="0" fontId="30" fillId="0" borderId="0" xfId="4" applyFont="1" applyAlignment="1">
      <alignment vertical="top" wrapText="1"/>
    </xf>
    <xf numFmtId="0" fontId="122" fillId="0" borderId="0" xfId="4" applyFont="1" applyAlignment="1">
      <alignment horizontal="center"/>
    </xf>
    <xf numFmtId="49" fontId="122" fillId="0" borderId="0" xfId="4" applyNumberFormat="1" applyFont="1" applyAlignment="1">
      <alignment horizontal="center"/>
    </xf>
    <xf numFmtId="172" fontId="30" fillId="0" borderId="0" xfId="0" applyFont="1" applyAlignment="1">
      <alignment horizontal="left" vertical="center"/>
    </xf>
    <xf numFmtId="172" fontId="30" fillId="0" borderId="0" xfId="0" applyFont="1" applyAlignment="1">
      <alignment horizontal="left" vertical="top"/>
    </xf>
    <xf numFmtId="0" fontId="38" fillId="0" borderId="0" xfId="4695" applyFont="1" applyAlignment="1">
      <alignment horizontal="left" vertical="top" wrapText="1"/>
    </xf>
    <xf numFmtId="0" fontId="197" fillId="0" borderId="0" xfId="4695" applyFont="1" applyAlignment="1">
      <alignment horizontal="left" vertical="top" wrapText="1"/>
    </xf>
    <xf numFmtId="3" fontId="30" fillId="0" borderId="1" xfId="4695" applyNumberFormat="1" applyFont="1" applyBorder="1" applyAlignment="1">
      <alignment horizontal="center"/>
    </xf>
    <xf numFmtId="3" fontId="122" fillId="0" borderId="48" xfId="4695" applyNumberFormat="1" applyFont="1" applyBorder="1" applyAlignment="1">
      <alignment horizontal="center"/>
    </xf>
    <xf numFmtId="3" fontId="122" fillId="0" borderId="15" xfId="4695" applyNumberFormat="1" applyFont="1" applyBorder="1" applyAlignment="1">
      <alignment horizontal="center"/>
    </xf>
    <xf numFmtId="0" fontId="194" fillId="0" borderId="0" xfId="4695" applyFont="1" applyAlignment="1">
      <alignment horizontal="center"/>
    </xf>
    <xf numFmtId="172" fontId="122" fillId="0" borderId="17" xfId="4695" applyNumberFormat="1" applyFont="1" applyBorder="1" applyAlignment="1">
      <alignment horizontal="center"/>
    </xf>
    <xf numFmtId="0" fontId="122" fillId="0" borderId="0" xfId="4" applyFont="1" applyAlignment="1">
      <alignment horizontal="center" vertical="center"/>
    </xf>
    <xf numFmtId="0" fontId="122" fillId="0" borderId="0" xfId="4698" applyFont="1" applyAlignment="1">
      <alignment horizontal="center" vertical="center"/>
    </xf>
    <xf numFmtId="0" fontId="30" fillId="0" borderId="0" xfId="4698" applyFont="1" applyAlignment="1">
      <alignment horizontal="left" vertical="top" wrapText="1"/>
    </xf>
    <xf numFmtId="0" fontId="122" fillId="0" borderId="63" xfId="4698" applyFont="1" applyBorder="1" applyAlignment="1">
      <alignment horizontal="center" vertical="center" wrapText="1"/>
    </xf>
    <xf numFmtId="0" fontId="122" fillId="0" borderId="21" xfId="4698" applyFont="1" applyBorder="1" applyAlignment="1">
      <alignment horizontal="center" vertical="center" wrapText="1"/>
    </xf>
    <xf numFmtId="0" fontId="122" fillId="0" borderId="64" xfId="4698" applyFont="1" applyBorder="1" applyAlignment="1">
      <alignment horizontal="center" vertical="center" wrapText="1"/>
    </xf>
    <xf numFmtId="49" fontId="122" fillId="0" borderId="0" xfId="4" applyNumberFormat="1" applyFont="1" applyAlignment="1">
      <alignment horizontal="center" vertical="center"/>
    </xf>
    <xf numFmtId="0" fontId="30" fillId="0" borderId="0" xfId="4228" applyFont="1" applyAlignment="1">
      <alignment horizontal="left" vertical="top" wrapText="1"/>
    </xf>
    <xf numFmtId="0" fontId="122" fillId="0" borderId="48" xfId="4598" applyFont="1" applyBorder="1" applyAlignment="1">
      <alignment horizontal="center"/>
    </xf>
    <xf numFmtId="0" fontId="122" fillId="0" borderId="15" xfId="4598" applyFont="1" applyBorder="1" applyAlignment="1">
      <alignment horizontal="center"/>
    </xf>
    <xf numFmtId="0" fontId="122" fillId="0" borderId="49" xfId="4598" applyFont="1" applyBorder="1" applyAlignment="1">
      <alignment horizontal="center"/>
    </xf>
    <xf numFmtId="172" fontId="122" fillId="0" borderId="48" xfId="0" applyFont="1" applyBorder="1" applyAlignment="1">
      <alignment horizontal="center"/>
    </xf>
    <xf numFmtId="172" fontId="122" fillId="0" borderId="15" xfId="0" applyFont="1" applyBorder="1" applyAlignment="1">
      <alignment horizontal="center"/>
    </xf>
    <xf numFmtId="172" fontId="122" fillId="0" borderId="49" xfId="0" applyFont="1" applyBorder="1" applyAlignment="1">
      <alignment horizontal="center"/>
    </xf>
    <xf numFmtId="0" fontId="30" fillId="0" borderId="0" xfId="4" applyFont="1" applyAlignment="1">
      <alignment horizontal="left" vertical="top" wrapText="1"/>
    </xf>
    <xf numFmtId="172" fontId="180" fillId="0" borderId="3" xfId="0" applyFont="1" applyBorder="1" applyAlignment="1">
      <alignment horizontal="center"/>
    </xf>
    <xf numFmtId="0" fontId="122" fillId="0" borderId="0" xfId="4598" applyFont="1" applyAlignment="1">
      <alignment horizontal="center"/>
    </xf>
    <xf numFmtId="49" fontId="122" fillId="0" borderId="0" xfId="4597" applyNumberFormat="1" applyFont="1" applyAlignment="1">
      <alignment horizontal="center"/>
    </xf>
    <xf numFmtId="172" fontId="179" fillId="0" borderId="0" xfId="0" applyFont="1" applyAlignment="1">
      <alignment horizontal="left" wrapText="1"/>
    </xf>
    <xf numFmtId="0" fontId="30" fillId="0" borderId="0" xfId="4476" applyFont="1" applyAlignment="1">
      <alignment horizontal="left" vertical="top" wrapText="1"/>
    </xf>
    <xf numFmtId="0" fontId="30" fillId="0" borderId="0" xfId="4476" applyFont="1" applyAlignment="1">
      <alignment horizontal="left" vertical="top"/>
    </xf>
    <xf numFmtId="0" fontId="166" fillId="0" borderId="0" xfId="0" applyNumberFormat="1" applyFont="1" applyAlignment="1">
      <alignment horizontal="left" vertical="top" wrapText="1"/>
    </xf>
    <xf numFmtId="0" fontId="30" fillId="0" borderId="0" xfId="0" applyNumberFormat="1" applyFont="1" applyAlignment="1">
      <alignment horizontal="left"/>
    </xf>
    <xf numFmtId="172" fontId="30" fillId="0" borderId="0" xfId="0" applyFont="1" applyAlignment="1" applyProtection="1">
      <alignment horizontal="left"/>
      <protection locked="0"/>
    </xf>
    <xf numFmtId="0" fontId="30" fillId="0" borderId="0" xfId="0" applyNumberFormat="1" applyFont="1" applyAlignment="1" applyProtection="1">
      <alignment horizontal="right"/>
    </xf>
    <xf numFmtId="172" fontId="30" fillId="0" borderId="0" xfId="4667" applyNumberFormat="1" applyFont="1" applyBorder="1" applyAlignment="1">
      <alignment horizontal="center"/>
    </xf>
    <xf numFmtId="172" fontId="30" fillId="0" borderId="0" xfId="4667" quotePrefix="1" applyNumberFormat="1" applyFont="1" applyFill="1" applyAlignment="1">
      <alignment horizontal="left" vertical="top" wrapText="1"/>
    </xf>
    <xf numFmtId="172" fontId="30" fillId="0" borderId="0" xfId="4667" applyNumberFormat="1" applyFont="1" applyFill="1" applyBorder="1" applyAlignment="1">
      <alignment horizontal="center"/>
    </xf>
    <xf numFmtId="172" fontId="30" fillId="0" borderId="38" xfId="4667" applyNumberFormat="1" applyFont="1" applyFill="1" applyBorder="1" applyAlignment="1">
      <alignment horizontal="center"/>
    </xf>
    <xf numFmtId="0" fontId="30" fillId="0" borderId="15" xfId="4352" quotePrefix="1" applyNumberFormat="1" applyFont="1" applyBorder="1" applyAlignment="1">
      <alignment horizontal="center"/>
    </xf>
    <xf numFmtId="0" fontId="30" fillId="0" borderId="49" xfId="4352" quotePrefix="1" applyNumberFormat="1" applyFont="1" applyBorder="1" applyAlignment="1">
      <alignment horizontal="center"/>
    </xf>
    <xf numFmtId="172" fontId="122" fillId="0" borderId="0" xfId="4667" applyNumberFormat="1" applyFont="1" applyAlignment="1">
      <alignment horizontal="center"/>
    </xf>
    <xf numFmtId="172" fontId="122" fillId="0" borderId="0" xfId="4667" applyNumberFormat="1" applyFont="1" applyBorder="1" applyAlignment="1">
      <alignment horizontal="center"/>
    </xf>
    <xf numFmtId="172" fontId="122" fillId="0" borderId="3" xfId="4667" applyNumberFormat="1" applyFont="1" applyBorder="1" applyAlignment="1">
      <alignment horizontal="center"/>
    </xf>
    <xf numFmtId="172" fontId="122" fillId="0" borderId="52" xfId="4667" applyNumberFormat="1" applyFont="1" applyFill="1" applyBorder="1" applyAlignment="1">
      <alignment horizontal="center"/>
    </xf>
    <xf numFmtId="172" fontId="122" fillId="0" borderId="3" xfId="4667" applyNumberFormat="1" applyFont="1" applyFill="1" applyBorder="1" applyAlignment="1">
      <alignment horizontal="center"/>
    </xf>
    <xf numFmtId="172" fontId="122" fillId="0" borderId="53" xfId="4667" applyNumberFormat="1" applyFont="1" applyFill="1" applyBorder="1" applyAlignment="1">
      <alignment horizontal="center"/>
    </xf>
    <xf numFmtId="172" fontId="191" fillId="0" borderId="0" xfId="4667" applyNumberFormat="1" applyFont="1" applyAlignment="1">
      <alignment horizontal="center"/>
    </xf>
    <xf numFmtId="0" fontId="30" fillId="0" borderId="48" xfId="4352" quotePrefix="1" applyNumberFormat="1" applyFont="1" applyBorder="1" applyAlignment="1">
      <alignment horizontal="center"/>
    </xf>
    <xf numFmtId="172" fontId="122" fillId="0" borderId="0" xfId="4667" applyNumberFormat="1" applyFont="1" applyFill="1" applyAlignment="1">
      <alignment horizontal="center"/>
    </xf>
    <xf numFmtId="172" fontId="122" fillId="0" borderId="0" xfId="4667" applyNumberFormat="1" applyFont="1" applyFill="1" applyAlignment="1">
      <alignment horizontal="left" vertical="top" wrapText="1"/>
    </xf>
    <xf numFmtId="172" fontId="30" fillId="0" borderId="0" xfId="4667" applyNumberFormat="1" applyFont="1" applyFill="1" applyAlignment="1">
      <alignment horizontal="left" vertical="top" wrapText="1"/>
    </xf>
    <xf numFmtId="172" fontId="122" fillId="0" borderId="0" xfId="4667" applyNumberFormat="1" applyFont="1" applyFill="1" applyAlignment="1">
      <alignment wrapText="1"/>
    </xf>
    <xf numFmtId="172" fontId="30" fillId="0" borderId="0" xfId="4667" applyNumberFormat="1" applyFont="1" applyFill="1" applyAlignment="1">
      <alignment wrapText="1"/>
    </xf>
    <xf numFmtId="172" fontId="180" fillId="0" borderId="0" xfId="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0" fontId="194" fillId="0" borderId="0" xfId="4690"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49" fontId="194" fillId="0" borderId="0" xfId="4690" applyNumberFormat="1" applyFont="1" applyAlignment="1">
      <alignment horizontal="center"/>
    </xf>
    <xf numFmtId="44" fontId="30" fillId="0" borderId="0" xfId="1" applyNumberFormat="1" applyFont="1" applyAlignment="1" applyProtection="1">
      <protection locked="0"/>
    </xf>
  </cellXfs>
  <cellStyles count="4699">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96" xfId="4696" xr:uid="{B2BEB86B-46E3-411E-8261-E06CDF5055CF}"/>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23" xfId="4698" xr:uid="{6D9FFB6E-ADA0-49EE-ADE4-D5FCF1067DFF}"/>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8" xfId="4695" xr:uid="{930C09BD-5977-4784-89E7-46D7EC3F37FF}"/>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63" xfId="4697" xr:uid="{63099E72-3016-40D8-835C-DB8915A59847}"/>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99FF"/>
      <color rgb="FFFFFF99"/>
      <color rgb="FF0000FF"/>
      <color rgb="FFFF99FF"/>
      <color rgb="FF99FFCC"/>
      <color rgb="FF0000CC"/>
      <color rgb="FF66FFCC"/>
      <color rgb="FF000099"/>
      <color rgb="FFFFFFCC"/>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6"/>
  <sheetViews>
    <sheetView zoomScale="75" zoomScaleNormal="75" workbookViewId="0">
      <selection activeCell="G41" sqref="G41"/>
    </sheetView>
  </sheetViews>
  <sheetFormatPr defaultColWidth="8.6328125" defaultRowHeight="15.6"/>
  <cols>
    <col min="1" max="1" width="23.6328125" style="175" customWidth="1"/>
    <col min="2" max="2" width="36.6328125" style="175" customWidth="1"/>
    <col min="3" max="3" width="67" style="175" bestFit="1" customWidth="1"/>
    <col min="4" max="4" width="18.6328125" style="175" customWidth="1"/>
    <col min="5" max="16384" width="8.6328125" style="175"/>
  </cols>
  <sheetData>
    <row r="1" spans="1:5" ht="20.399999999999999">
      <c r="A1" s="900" t="s">
        <v>912</v>
      </c>
      <c r="B1" s="900"/>
      <c r="C1" s="900"/>
      <c r="D1" s="900"/>
      <c r="E1" s="900"/>
    </row>
    <row r="2" spans="1:5" ht="20.399999999999999">
      <c r="A2" s="900" t="s">
        <v>427</v>
      </c>
      <c r="B2" s="900"/>
      <c r="C2" s="900"/>
      <c r="D2" s="900"/>
      <c r="E2" s="900"/>
    </row>
    <row r="3" spans="1:5">
      <c r="A3" s="176"/>
    </row>
    <row r="4" spans="1:5" ht="20.399999999999999">
      <c r="A4" s="900" t="s">
        <v>237</v>
      </c>
      <c r="B4" s="900"/>
      <c r="C4" s="900"/>
      <c r="D4" s="900"/>
      <c r="E4" s="900"/>
    </row>
    <row r="5" spans="1:5">
      <c r="A5" s="176"/>
      <c r="E5" s="177" t="s">
        <v>515</v>
      </c>
    </row>
    <row r="6" spans="1:5">
      <c r="A6" s="176" t="s">
        <v>238</v>
      </c>
    </row>
    <row r="7" spans="1:5" ht="47.25" customHeight="1">
      <c r="A7" s="898" t="s">
        <v>1081</v>
      </c>
      <c r="B7" s="898"/>
      <c r="C7" s="898"/>
      <c r="D7" s="898"/>
      <c r="E7" s="898"/>
    </row>
    <row r="8" spans="1:5">
      <c r="A8" s="178"/>
      <c r="B8" s="178"/>
      <c r="C8" s="178"/>
      <c r="D8" s="178"/>
      <c r="E8" s="178"/>
    </row>
    <row r="9" spans="1:5" ht="36.75" customHeight="1">
      <c r="A9" s="898" t="s">
        <v>1237</v>
      </c>
      <c r="B9" s="898"/>
      <c r="C9" s="898"/>
      <c r="D9" s="898"/>
      <c r="E9" s="898"/>
    </row>
    <row r="10" spans="1:5">
      <c r="A10" s="176"/>
    </row>
    <row r="11" spans="1:5" ht="51.75" customHeight="1">
      <c r="A11" s="898" t="s">
        <v>913</v>
      </c>
      <c r="B11" s="898"/>
      <c r="C11" s="898"/>
      <c r="D11" s="898"/>
      <c r="E11" s="898"/>
    </row>
    <row r="12" spans="1:5" ht="32.25" customHeight="1">
      <c r="A12" s="179"/>
      <c r="B12" s="899" t="s">
        <v>239</v>
      </c>
      <c r="C12" s="899"/>
      <c r="D12" s="899"/>
      <c r="E12" s="899"/>
    </row>
    <row r="13" spans="1:5" ht="19.5" customHeight="1">
      <c r="A13" s="180"/>
      <c r="B13" s="181" t="s">
        <v>516</v>
      </c>
      <c r="C13" s="181"/>
      <c r="D13" s="181"/>
      <c r="E13" s="181"/>
    </row>
    <row r="14" spans="1:5">
      <c r="A14" s="176"/>
      <c r="C14" s="175" t="s">
        <v>240</v>
      </c>
    </row>
    <row r="16" spans="1:5" ht="16.2" thickBot="1">
      <c r="A16" s="182" t="s">
        <v>241</v>
      </c>
      <c r="B16" s="182" t="s">
        <v>242</v>
      </c>
      <c r="C16" s="182" t="s">
        <v>159</v>
      </c>
      <c r="D16" s="183" t="s">
        <v>243</v>
      </c>
      <c r="E16" s="182"/>
    </row>
    <row r="17" spans="1:4">
      <c r="D17" s="184"/>
    </row>
    <row r="18" spans="1:4">
      <c r="A18" s="185"/>
      <c r="D18" s="186"/>
    </row>
    <row r="19" spans="1:4">
      <c r="D19" s="184"/>
    </row>
    <row r="20" spans="1:4">
      <c r="A20" s="187" t="s">
        <v>401</v>
      </c>
      <c r="B20" s="175" t="s">
        <v>369</v>
      </c>
      <c r="C20" s="175" t="s">
        <v>420</v>
      </c>
      <c r="D20" s="186" t="s">
        <v>150</v>
      </c>
    </row>
    <row r="21" spans="1:4" ht="17.25" customHeight="1">
      <c r="D21" s="184"/>
    </row>
    <row r="22" spans="1:4">
      <c r="A22" s="187" t="s">
        <v>402</v>
      </c>
      <c r="B22" s="175" t="s">
        <v>411</v>
      </c>
      <c r="C22" s="175" t="s">
        <v>244</v>
      </c>
      <c r="D22" s="186" t="s">
        <v>150</v>
      </c>
    </row>
    <row r="23" spans="1:4">
      <c r="D23" s="186"/>
    </row>
    <row r="24" spans="1:4">
      <c r="A24" s="187" t="s">
        <v>403</v>
      </c>
      <c r="B24" s="175" t="s">
        <v>412</v>
      </c>
      <c r="C24" s="175" t="s">
        <v>421</v>
      </c>
      <c r="D24" s="186" t="s">
        <v>150</v>
      </c>
    </row>
    <row r="25" spans="1:4">
      <c r="D25" s="186"/>
    </row>
    <row r="26" spans="1:4">
      <c r="A26" s="187" t="s">
        <v>404</v>
      </c>
      <c r="B26" s="175" t="s">
        <v>413</v>
      </c>
      <c r="C26" s="175" t="s">
        <v>425</v>
      </c>
      <c r="D26" s="186" t="s">
        <v>150</v>
      </c>
    </row>
    <row r="27" spans="1:4">
      <c r="A27" s="187"/>
      <c r="D27" s="186"/>
    </row>
    <row r="28" spans="1:4">
      <c r="A28" s="803" t="s">
        <v>1026</v>
      </c>
      <c r="B28" s="804" t="s">
        <v>1009</v>
      </c>
      <c r="C28" s="804" t="s">
        <v>1027</v>
      </c>
      <c r="D28" s="805" t="s">
        <v>150</v>
      </c>
    </row>
    <row r="29" spans="1:4">
      <c r="A29" s="803"/>
      <c r="B29" s="804"/>
      <c r="C29" s="804"/>
      <c r="D29" s="805"/>
    </row>
    <row r="30" spans="1:4">
      <c r="A30" s="803" t="s">
        <v>1028</v>
      </c>
      <c r="B30" s="804" t="s">
        <v>1024</v>
      </c>
      <c r="C30" s="804" t="s">
        <v>1029</v>
      </c>
      <c r="D30" s="805" t="s">
        <v>586</v>
      </c>
    </row>
    <row r="31" spans="1:4">
      <c r="D31" s="186"/>
    </row>
    <row r="32" spans="1:4">
      <c r="A32" s="187" t="s">
        <v>405</v>
      </c>
      <c r="B32" s="175" t="s">
        <v>414</v>
      </c>
      <c r="C32" s="175" t="s">
        <v>426</v>
      </c>
      <c r="D32" s="186" t="s">
        <v>150</v>
      </c>
    </row>
    <row r="33" spans="1:4">
      <c r="D33" s="186"/>
    </row>
    <row r="34" spans="1:4">
      <c r="A34" s="187" t="s">
        <v>406</v>
      </c>
      <c r="B34" s="175" t="s">
        <v>415</v>
      </c>
      <c r="C34" s="175" t="s">
        <v>422</v>
      </c>
      <c r="D34" s="186" t="s">
        <v>150</v>
      </c>
    </row>
    <row r="35" spans="1:4">
      <c r="D35" s="186"/>
    </row>
    <row r="36" spans="1:4">
      <c r="A36" s="187" t="s">
        <v>407</v>
      </c>
      <c r="B36" s="175" t="s">
        <v>416</v>
      </c>
      <c r="C36" s="175" t="s">
        <v>423</v>
      </c>
      <c r="D36" s="186" t="s">
        <v>150</v>
      </c>
    </row>
    <row r="37" spans="1:4">
      <c r="D37" s="186"/>
    </row>
    <row r="38" spans="1:4">
      <c r="A38" s="175" t="s">
        <v>553</v>
      </c>
      <c r="B38" s="175" t="s">
        <v>524</v>
      </c>
      <c r="C38" s="175" t="s">
        <v>554</v>
      </c>
      <c r="D38" s="186" t="s">
        <v>150</v>
      </c>
    </row>
    <row r="39" spans="1:4">
      <c r="D39" s="186"/>
    </row>
    <row r="40" spans="1:4">
      <c r="A40" s="175" t="s">
        <v>758</v>
      </c>
      <c r="B40" s="175" t="s">
        <v>757</v>
      </c>
      <c r="C40" s="175" t="s">
        <v>722</v>
      </c>
      <c r="D40" s="186" t="s">
        <v>150</v>
      </c>
    </row>
    <row r="41" spans="1:4">
      <c r="D41" s="186"/>
    </row>
    <row r="42" spans="1:4">
      <c r="A42" s="187" t="s">
        <v>245</v>
      </c>
      <c r="B42" s="175" t="s">
        <v>246</v>
      </c>
      <c r="C42" s="175" t="s">
        <v>1238</v>
      </c>
      <c r="D42" s="186" t="s">
        <v>586</v>
      </c>
    </row>
    <row r="43" spans="1:4">
      <c r="D43" s="186"/>
    </row>
    <row r="44" spans="1:4">
      <c r="A44" s="187" t="s">
        <v>408</v>
      </c>
      <c r="B44" s="175" t="s">
        <v>370</v>
      </c>
      <c r="C44" s="175" t="s">
        <v>424</v>
      </c>
      <c r="D44" s="186" t="s">
        <v>587</v>
      </c>
    </row>
    <row r="45" spans="1:4">
      <c r="D45" s="186"/>
    </row>
    <row r="46" spans="1:4">
      <c r="A46" s="187" t="s">
        <v>409</v>
      </c>
      <c r="B46" s="175" t="s">
        <v>417</v>
      </c>
      <c r="C46" s="175" t="s">
        <v>247</v>
      </c>
      <c r="D46" s="186" t="s">
        <v>587</v>
      </c>
    </row>
    <row r="47" spans="1:4">
      <c r="D47" s="186"/>
    </row>
    <row r="48" spans="1:4">
      <c r="A48" s="187" t="s">
        <v>410</v>
      </c>
      <c r="B48" s="175" t="s">
        <v>418</v>
      </c>
      <c r="C48" s="175" t="s">
        <v>248</v>
      </c>
      <c r="D48" s="186" t="s">
        <v>587</v>
      </c>
    </row>
    <row r="49" spans="1:4">
      <c r="D49" s="186"/>
    </row>
    <row r="50" spans="1:4">
      <c r="A50" s="187" t="s">
        <v>1231</v>
      </c>
      <c r="B50" s="175" t="s">
        <v>419</v>
      </c>
      <c r="C50" s="175" t="s">
        <v>249</v>
      </c>
      <c r="D50" s="186" t="s">
        <v>587</v>
      </c>
    </row>
    <row r="51" spans="1:4">
      <c r="A51" s="188"/>
      <c r="B51" s="188"/>
      <c r="C51" s="188"/>
      <c r="D51" s="189"/>
    </row>
    <row r="52" spans="1:4">
      <c r="A52" s="187" t="s">
        <v>555</v>
      </c>
      <c r="B52" s="175" t="s">
        <v>556</v>
      </c>
      <c r="C52" s="175" t="s">
        <v>546</v>
      </c>
      <c r="D52" s="186" t="s">
        <v>587</v>
      </c>
    </row>
    <row r="53" spans="1:4">
      <c r="A53" s="188"/>
      <c r="B53" s="188"/>
      <c r="C53" s="188"/>
      <c r="D53" s="189"/>
    </row>
    <row r="54" spans="1:4">
      <c r="A54" s="187" t="s">
        <v>661</v>
      </c>
      <c r="B54" s="175" t="s">
        <v>649</v>
      </c>
      <c r="C54" s="175" t="s">
        <v>662</v>
      </c>
      <c r="D54" s="186" t="s">
        <v>587</v>
      </c>
    </row>
    <row r="55" spans="1:4">
      <c r="A55" s="188"/>
      <c r="B55" s="188"/>
      <c r="C55" s="188"/>
      <c r="D55" s="189"/>
    </row>
    <row r="56" spans="1:4">
      <c r="A56" s="187" t="s">
        <v>564</v>
      </c>
      <c r="B56" s="175" t="s">
        <v>564</v>
      </c>
      <c r="C56" s="175" t="s">
        <v>565</v>
      </c>
      <c r="D56" s="186" t="s">
        <v>586</v>
      </c>
    </row>
  </sheetData>
  <mergeCells count="7">
    <mergeCell ref="A7:E7"/>
    <mergeCell ref="A9:E9"/>
    <mergeCell ref="A11:E11"/>
    <mergeCell ref="B12:E12"/>
    <mergeCell ref="A1:E1"/>
    <mergeCell ref="A2:E2"/>
    <mergeCell ref="A4:E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I34"/>
  <sheetViews>
    <sheetView zoomScale="80" zoomScaleNormal="80" workbookViewId="0">
      <selection activeCell="E21" sqref="E21"/>
    </sheetView>
  </sheetViews>
  <sheetFormatPr defaultColWidth="7.08984375" defaultRowHeight="13.2"/>
  <cols>
    <col min="1" max="1" width="2.08984375" style="190" customWidth="1"/>
    <col min="2" max="2" width="4.6328125" style="190" customWidth="1"/>
    <col min="3" max="3" width="11.1796875" style="190" customWidth="1"/>
    <col min="4" max="4" width="9.453125" style="190" bestFit="1" customWidth="1"/>
    <col min="5" max="5" width="13.08984375" style="190" customWidth="1"/>
    <col min="6" max="6" width="14.26953125" style="190" customWidth="1"/>
    <col min="7" max="7" width="15.1796875" style="190" customWidth="1"/>
    <col min="8" max="8" width="8.1796875" style="205" customWidth="1"/>
    <col min="9" max="9" width="8.1796875" style="190" customWidth="1"/>
    <col min="10" max="256" width="7.08984375" style="190"/>
    <col min="257" max="257" width="10.1796875" style="190" customWidth="1"/>
    <col min="258" max="258" width="3.54296875" style="190" customWidth="1"/>
    <col min="259" max="260" width="1.6328125" style="190" customWidth="1"/>
    <col min="261" max="261" width="4" style="190" customWidth="1"/>
    <col min="262" max="262" width="24.1796875" style="190" customWidth="1"/>
    <col min="263" max="263" width="1.6328125" style="190" customWidth="1"/>
    <col min="264" max="265" width="8.1796875" style="190" customWidth="1"/>
    <col min="266" max="512" width="7.08984375" style="190"/>
    <col min="513" max="513" width="10.1796875" style="190" customWidth="1"/>
    <col min="514" max="514" width="3.54296875" style="190" customWidth="1"/>
    <col min="515" max="516" width="1.6328125" style="190" customWidth="1"/>
    <col min="517" max="517" width="4" style="190" customWidth="1"/>
    <col min="518" max="518" width="24.1796875" style="190" customWidth="1"/>
    <col min="519" max="519" width="1.6328125" style="190" customWidth="1"/>
    <col min="520" max="521" width="8.1796875" style="190" customWidth="1"/>
    <col min="522" max="768" width="7.08984375" style="190"/>
    <col min="769" max="769" width="10.1796875" style="190" customWidth="1"/>
    <col min="770" max="770" width="3.54296875" style="190" customWidth="1"/>
    <col min="771" max="772" width="1.6328125" style="190" customWidth="1"/>
    <col min="773" max="773" width="4" style="190" customWidth="1"/>
    <col min="774" max="774" width="24.1796875" style="190" customWidth="1"/>
    <col min="775" max="775" width="1.6328125" style="190" customWidth="1"/>
    <col min="776" max="777" width="8.1796875" style="190" customWidth="1"/>
    <col min="778" max="1024" width="7.08984375" style="190"/>
    <col min="1025" max="1025" width="10.1796875" style="190" customWidth="1"/>
    <col min="1026" max="1026" width="3.54296875" style="190" customWidth="1"/>
    <col min="1027" max="1028" width="1.6328125" style="190" customWidth="1"/>
    <col min="1029" max="1029" width="4" style="190" customWidth="1"/>
    <col min="1030" max="1030" width="24.1796875" style="190" customWidth="1"/>
    <col min="1031" max="1031" width="1.6328125" style="190" customWidth="1"/>
    <col min="1032" max="1033" width="8.1796875" style="190" customWidth="1"/>
    <col min="1034" max="1280" width="7.08984375" style="190"/>
    <col min="1281" max="1281" width="10.1796875" style="190" customWidth="1"/>
    <col min="1282" max="1282" width="3.54296875" style="190" customWidth="1"/>
    <col min="1283" max="1284" width="1.6328125" style="190" customWidth="1"/>
    <col min="1285" max="1285" width="4" style="190" customWidth="1"/>
    <col min="1286" max="1286" width="24.1796875" style="190" customWidth="1"/>
    <col min="1287" max="1287" width="1.6328125" style="190" customWidth="1"/>
    <col min="1288" max="1289" width="8.1796875" style="190" customWidth="1"/>
    <col min="1290" max="1536" width="7.08984375" style="190"/>
    <col min="1537" max="1537" width="10.1796875" style="190" customWidth="1"/>
    <col min="1538" max="1538" width="3.54296875" style="190" customWidth="1"/>
    <col min="1539" max="1540" width="1.6328125" style="190" customWidth="1"/>
    <col min="1541" max="1541" width="4" style="190" customWidth="1"/>
    <col min="1542" max="1542" width="24.1796875" style="190" customWidth="1"/>
    <col min="1543" max="1543" width="1.6328125" style="190" customWidth="1"/>
    <col min="1544" max="1545" width="8.1796875" style="190" customWidth="1"/>
    <col min="1546" max="1792" width="7.08984375" style="190"/>
    <col min="1793" max="1793" width="10.1796875" style="190" customWidth="1"/>
    <col min="1794" max="1794" width="3.54296875" style="190" customWidth="1"/>
    <col min="1795" max="1796" width="1.6328125" style="190" customWidth="1"/>
    <col min="1797" max="1797" width="4" style="190" customWidth="1"/>
    <col min="1798" max="1798" width="24.1796875" style="190" customWidth="1"/>
    <col min="1799" max="1799" width="1.6328125" style="190" customWidth="1"/>
    <col min="1800" max="1801" width="8.1796875" style="190" customWidth="1"/>
    <col min="1802" max="2048" width="7.08984375" style="190"/>
    <col min="2049" max="2049" width="10.1796875" style="190" customWidth="1"/>
    <col min="2050" max="2050" width="3.54296875" style="190" customWidth="1"/>
    <col min="2051" max="2052" width="1.6328125" style="190" customWidth="1"/>
    <col min="2053" max="2053" width="4" style="190" customWidth="1"/>
    <col min="2054" max="2054" width="24.1796875" style="190" customWidth="1"/>
    <col min="2055" max="2055" width="1.6328125" style="190" customWidth="1"/>
    <col min="2056" max="2057" width="8.1796875" style="190" customWidth="1"/>
    <col min="2058" max="2304" width="7.08984375" style="190"/>
    <col min="2305" max="2305" width="10.1796875" style="190" customWidth="1"/>
    <col min="2306" max="2306" width="3.54296875" style="190" customWidth="1"/>
    <col min="2307" max="2308" width="1.6328125" style="190" customWidth="1"/>
    <col min="2309" max="2309" width="4" style="190" customWidth="1"/>
    <col min="2310" max="2310" width="24.1796875" style="190" customWidth="1"/>
    <col min="2311" max="2311" width="1.6328125" style="190" customWidth="1"/>
    <col min="2312" max="2313" width="8.1796875" style="190" customWidth="1"/>
    <col min="2314" max="2560" width="7.08984375" style="190"/>
    <col min="2561" max="2561" width="10.1796875" style="190" customWidth="1"/>
    <col min="2562" max="2562" width="3.54296875" style="190" customWidth="1"/>
    <col min="2563" max="2564" width="1.6328125" style="190" customWidth="1"/>
    <col min="2565" max="2565" width="4" style="190" customWidth="1"/>
    <col min="2566" max="2566" width="24.1796875" style="190" customWidth="1"/>
    <col min="2567" max="2567" width="1.6328125" style="190" customWidth="1"/>
    <col min="2568" max="2569" width="8.1796875" style="190" customWidth="1"/>
    <col min="2570" max="2816" width="7.08984375" style="190"/>
    <col min="2817" max="2817" width="10.1796875" style="190" customWidth="1"/>
    <col min="2818" max="2818" width="3.54296875" style="190" customWidth="1"/>
    <col min="2819" max="2820" width="1.6328125" style="190" customWidth="1"/>
    <col min="2821" max="2821" width="4" style="190" customWidth="1"/>
    <col min="2822" max="2822" width="24.1796875" style="190" customWidth="1"/>
    <col min="2823" max="2823" width="1.6328125" style="190" customWidth="1"/>
    <col min="2824" max="2825" width="8.1796875" style="190" customWidth="1"/>
    <col min="2826" max="3072" width="7.08984375" style="190"/>
    <col min="3073" max="3073" width="10.1796875" style="190" customWidth="1"/>
    <col min="3074" max="3074" width="3.54296875" style="190" customWidth="1"/>
    <col min="3075" max="3076" width="1.6328125" style="190" customWidth="1"/>
    <col min="3077" max="3077" width="4" style="190" customWidth="1"/>
    <col min="3078" max="3078" width="24.1796875" style="190" customWidth="1"/>
    <col min="3079" max="3079" width="1.6328125" style="190" customWidth="1"/>
    <col min="3080" max="3081" width="8.1796875" style="190" customWidth="1"/>
    <col min="3082" max="3328" width="7.08984375" style="190"/>
    <col min="3329" max="3329" width="10.1796875" style="190" customWidth="1"/>
    <col min="3330" max="3330" width="3.54296875" style="190" customWidth="1"/>
    <col min="3331" max="3332" width="1.6328125" style="190" customWidth="1"/>
    <col min="3333" max="3333" width="4" style="190" customWidth="1"/>
    <col min="3334" max="3334" width="24.1796875" style="190" customWidth="1"/>
    <col min="3335" max="3335" width="1.6328125" style="190" customWidth="1"/>
    <col min="3336" max="3337" width="8.1796875" style="190" customWidth="1"/>
    <col min="3338" max="3584" width="7.08984375" style="190"/>
    <col min="3585" max="3585" width="10.1796875" style="190" customWidth="1"/>
    <col min="3586" max="3586" width="3.54296875" style="190" customWidth="1"/>
    <col min="3587" max="3588" width="1.6328125" style="190" customWidth="1"/>
    <col min="3589" max="3589" width="4" style="190" customWidth="1"/>
    <col min="3590" max="3590" width="24.1796875" style="190" customWidth="1"/>
    <col min="3591" max="3591" width="1.6328125" style="190" customWidth="1"/>
    <col min="3592" max="3593" width="8.1796875" style="190" customWidth="1"/>
    <col min="3594" max="3840" width="7.08984375" style="190"/>
    <col min="3841" max="3841" width="10.1796875" style="190" customWidth="1"/>
    <col min="3842" max="3842" width="3.54296875" style="190" customWidth="1"/>
    <col min="3843" max="3844" width="1.6328125" style="190" customWidth="1"/>
    <col min="3845" max="3845" width="4" style="190" customWidth="1"/>
    <col min="3846" max="3846" width="24.1796875" style="190" customWidth="1"/>
    <col min="3847" max="3847" width="1.6328125" style="190" customWidth="1"/>
    <col min="3848" max="3849" width="8.1796875" style="190" customWidth="1"/>
    <col min="3850" max="4096" width="7.08984375" style="190"/>
    <col min="4097" max="4097" width="10.1796875" style="190" customWidth="1"/>
    <col min="4098" max="4098" width="3.54296875" style="190" customWidth="1"/>
    <col min="4099" max="4100" width="1.6328125" style="190" customWidth="1"/>
    <col min="4101" max="4101" width="4" style="190" customWidth="1"/>
    <col min="4102" max="4102" width="24.1796875" style="190" customWidth="1"/>
    <col min="4103" max="4103" width="1.6328125" style="190" customWidth="1"/>
    <col min="4104" max="4105" width="8.1796875" style="190" customWidth="1"/>
    <col min="4106" max="4352" width="7.08984375" style="190"/>
    <col min="4353" max="4353" width="10.1796875" style="190" customWidth="1"/>
    <col min="4354" max="4354" width="3.54296875" style="190" customWidth="1"/>
    <col min="4355" max="4356" width="1.6328125" style="190" customWidth="1"/>
    <col min="4357" max="4357" width="4" style="190" customWidth="1"/>
    <col min="4358" max="4358" width="24.1796875" style="190" customWidth="1"/>
    <col min="4359" max="4359" width="1.6328125" style="190" customWidth="1"/>
    <col min="4360" max="4361" width="8.1796875" style="190" customWidth="1"/>
    <col min="4362" max="4608" width="7.08984375" style="190"/>
    <col min="4609" max="4609" width="10.1796875" style="190" customWidth="1"/>
    <col min="4610" max="4610" width="3.54296875" style="190" customWidth="1"/>
    <col min="4611" max="4612" width="1.6328125" style="190" customWidth="1"/>
    <col min="4613" max="4613" width="4" style="190" customWidth="1"/>
    <col min="4614" max="4614" width="24.1796875" style="190" customWidth="1"/>
    <col min="4615" max="4615" width="1.6328125" style="190" customWidth="1"/>
    <col min="4616" max="4617" width="8.1796875" style="190" customWidth="1"/>
    <col min="4618" max="4864" width="7.08984375" style="190"/>
    <col min="4865" max="4865" width="10.1796875" style="190" customWidth="1"/>
    <col min="4866" max="4866" width="3.54296875" style="190" customWidth="1"/>
    <col min="4867" max="4868" width="1.6328125" style="190" customWidth="1"/>
    <col min="4869" max="4869" width="4" style="190" customWidth="1"/>
    <col min="4870" max="4870" width="24.1796875" style="190" customWidth="1"/>
    <col min="4871" max="4871" width="1.6328125" style="190" customWidth="1"/>
    <col min="4872" max="4873" width="8.1796875" style="190" customWidth="1"/>
    <col min="4874" max="5120" width="7.08984375" style="190"/>
    <col min="5121" max="5121" width="10.1796875" style="190" customWidth="1"/>
    <col min="5122" max="5122" width="3.54296875" style="190" customWidth="1"/>
    <col min="5123" max="5124" width="1.6328125" style="190" customWidth="1"/>
    <col min="5125" max="5125" width="4" style="190" customWidth="1"/>
    <col min="5126" max="5126" width="24.1796875" style="190" customWidth="1"/>
    <col min="5127" max="5127" width="1.6328125" style="190" customWidth="1"/>
    <col min="5128" max="5129" width="8.1796875" style="190" customWidth="1"/>
    <col min="5130" max="5376" width="7.08984375" style="190"/>
    <col min="5377" max="5377" width="10.1796875" style="190" customWidth="1"/>
    <col min="5378" max="5378" width="3.54296875" style="190" customWidth="1"/>
    <col min="5379" max="5380" width="1.6328125" style="190" customWidth="1"/>
    <col min="5381" max="5381" width="4" style="190" customWidth="1"/>
    <col min="5382" max="5382" width="24.1796875" style="190" customWidth="1"/>
    <col min="5383" max="5383" width="1.6328125" style="190" customWidth="1"/>
    <col min="5384" max="5385" width="8.1796875" style="190" customWidth="1"/>
    <col min="5386" max="5632" width="7.08984375" style="190"/>
    <col min="5633" max="5633" width="10.1796875" style="190" customWidth="1"/>
    <col min="5634" max="5634" width="3.54296875" style="190" customWidth="1"/>
    <col min="5635" max="5636" width="1.6328125" style="190" customWidth="1"/>
    <col min="5637" max="5637" width="4" style="190" customWidth="1"/>
    <col min="5638" max="5638" width="24.1796875" style="190" customWidth="1"/>
    <col min="5639" max="5639" width="1.6328125" style="190" customWidth="1"/>
    <col min="5640" max="5641" width="8.1796875" style="190" customWidth="1"/>
    <col min="5642" max="5888" width="7.08984375" style="190"/>
    <col min="5889" max="5889" width="10.1796875" style="190" customWidth="1"/>
    <col min="5890" max="5890" width="3.54296875" style="190" customWidth="1"/>
    <col min="5891" max="5892" width="1.6328125" style="190" customWidth="1"/>
    <col min="5893" max="5893" width="4" style="190" customWidth="1"/>
    <col min="5894" max="5894" width="24.1796875" style="190" customWidth="1"/>
    <col min="5895" max="5895" width="1.6328125" style="190" customWidth="1"/>
    <col min="5896" max="5897" width="8.1796875" style="190" customWidth="1"/>
    <col min="5898" max="6144" width="7.08984375" style="190"/>
    <col min="6145" max="6145" width="10.1796875" style="190" customWidth="1"/>
    <col min="6146" max="6146" width="3.54296875" style="190" customWidth="1"/>
    <col min="6147" max="6148" width="1.6328125" style="190" customWidth="1"/>
    <col min="6149" max="6149" width="4" style="190" customWidth="1"/>
    <col min="6150" max="6150" width="24.1796875" style="190" customWidth="1"/>
    <col min="6151" max="6151" width="1.6328125" style="190" customWidth="1"/>
    <col min="6152" max="6153" width="8.1796875" style="190" customWidth="1"/>
    <col min="6154" max="6400" width="7.08984375" style="190"/>
    <col min="6401" max="6401" width="10.1796875" style="190" customWidth="1"/>
    <col min="6402" max="6402" width="3.54296875" style="190" customWidth="1"/>
    <col min="6403" max="6404" width="1.6328125" style="190" customWidth="1"/>
    <col min="6405" max="6405" width="4" style="190" customWidth="1"/>
    <col min="6406" max="6406" width="24.1796875" style="190" customWidth="1"/>
    <col min="6407" max="6407" width="1.6328125" style="190" customWidth="1"/>
    <col min="6408" max="6409" width="8.1796875" style="190" customWidth="1"/>
    <col min="6410" max="6656" width="7.08984375" style="190"/>
    <col min="6657" max="6657" width="10.1796875" style="190" customWidth="1"/>
    <col min="6658" max="6658" width="3.54296875" style="190" customWidth="1"/>
    <col min="6659" max="6660" width="1.6328125" style="190" customWidth="1"/>
    <col min="6661" max="6661" width="4" style="190" customWidth="1"/>
    <col min="6662" max="6662" width="24.1796875" style="190" customWidth="1"/>
    <col min="6663" max="6663" width="1.6328125" style="190" customWidth="1"/>
    <col min="6664" max="6665" width="8.1796875" style="190" customWidth="1"/>
    <col min="6666" max="6912" width="7.08984375" style="190"/>
    <col min="6913" max="6913" width="10.1796875" style="190" customWidth="1"/>
    <col min="6914" max="6914" width="3.54296875" style="190" customWidth="1"/>
    <col min="6915" max="6916" width="1.6328125" style="190" customWidth="1"/>
    <col min="6917" max="6917" width="4" style="190" customWidth="1"/>
    <col min="6918" max="6918" width="24.1796875" style="190" customWidth="1"/>
    <col min="6919" max="6919" width="1.6328125" style="190" customWidth="1"/>
    <col min="6920" max="6921" width="8.1796875" style="190" customWidth="1"/>
    <col min="6922" max="7168" width="7.08984375" style="190"/>
    <col min="7169" max="7169" width="10.1796875" style="190" customWidth="1"/>
    <col min="7170" max="7170" width="3.54296875" style="190" customWidth="1"/>
    <col min="7171" max="7172" width="1.6328125" style="190" customWidth="1"/>
    <col min="7173" max="7173" width="4" style="190" customWidth="1"/>
    <col min="7174" max="7174" width="24.1796875" style="190" customWidth="1"/>
    <col min="7175" max="7175" width="1.6328125" style="190" customWidth="1"/>
    <col min="7176" max="7177" width="8.1796875" style="190" customWidth="1"/>
    <col min="7178" max="7424" width="7.08984375" style="190"/>
    <col min="7425" max="7425" width="10.1796875" style="190" customWidth="1"/>
    <col min="7426" max="7426" width="3.54296875" style="190" customWidth="1"/>
    <col min="7427" max="7428" width="1.6328125" style="190" customWidth="1"/>
    <col min="7429" max="7429" width="4" style="190" customWidth="1"/>
    <col min="7430" max="7430" width="24.1796875" style="190" customWidth="1"/>
    <col min="7431" max="7431" width="1.6328125" style="190" customWidth="1"/>
    <col min="7432" max="7433" width="8.1796875" style="190" customWidth="1"/>
    <col min="7434" max="7680" width="7.08984375" style="190"/>
    <col min="7681" max="7681" width="10.1796875" style="190" customWidth="1"/>
    <col min="7682" max="7682" width="3.54296875" style="190" customWidth="1"/>
    <col min="7683" max="7684" width="1.6328125" style="190" customWidth="1"/>
    <col min="7685" max="7685" width="4" style="190" customWidth="1"/>
    <col min="7686" max="7686" width="24.1796875" style="190" customWidth="1"/>
    <col min="7687" max="7687" width="1.6328125" style="190" customWidth="1"/>
    <col min="7688" max="7689" width="8.1796875" style="190" customWidth="1"/>
    <col min="7690" max="7936" width="7.08984375" style="190"/>
    <col min="7937" max="7937" width="10.1796875" style="190" customWidth="1"/>
    <col min="7938" max="7938" width="3.54296875" style="190" customWidth="1"/>
    <col min="7939" max="7940" width="1.6328125" style="190" customWidth="1"/>
    <col min="7941" max="7941" width="4" style="190" customWidth="1"/>
    <col min="7942" max="7942" width="24.1796875" style="190" customWidth="1"/>
    <col min="7943" max="7943" width="1.6328125" style="190" customWidth="1"/>
    <col min="7944" max="7945" width="8.1796875" style="190" customWidth="1"/>
    <col min="7946" max="8192" width="7.08984375" style="190"/>
    <col min="8193" max="8193" width="10.1796875" style="190" customWidth="1"/>
    <col min="8194" max="8194" width="3.54296875" style="190" customWidth="1"/>
    <col min="8195" max="8196" width="1.6328125" style="190" customWidth="1"/>
    <col min="8197" max="8197" width="4" style="190" customWidth="1"/>
    <col min="8198" max="8198" width="24.1796875" style="190" customWidth="1"/>
    <col min="8199" max="8199" width="1.6328125" style="190" customWidth="1"/>
    <col min="8200" max="8201" width="8.1796875" style="190" customWidth="1"/>
    <col min="8202" max="8448" width="7.08984375" style="190"/>
    <col min="8449" max="8449" width="10.1796875" style="190" customWidth="1"/>
    <col min="8450" max="8450" width="3.54296875" style="190" customWidth="1"/>
    <col min="8451" max="8452" width="1.6328125" style="190" customWidth="1"/>
    <col min="8453" max="8453" width="4" style="190" customWidth="1"/>
    <col min="8454" max="8454" width="24.1796875" style="190" customWidth="1"/>
    <col min="8455" max="8455" width="1.6328125" style="190" customWidth="1"/>
    <col min="8456" max="8457" width="8.1796875" style="190" customWidth="1"/>
    <col min="8458" max="8704" width="7.08984375" style="190"/>
    <col min="8705" max="8705" width="10.1796875" style="190" customWidth="1"/>
    <col min="8706" max="8706" width="3.54296875" style="190" customWidth="1"/>
    <col min="8707" max="8708" width="1.6328125" style="190" customWidth="1"/>
    <col min="8709" max="8709" width="4" style="190" customWidth="1"/>
    <col min="8710" max="8710" width="24.1796875" style="190" customWidth="1"/>
    <col min="8711" max="8711" width="1.6328125" style="190" customWidth="1"/>
    <col min="8712" max="8713" width="8.1796875" style="190" customWidth="1"/>
    <col min="8714" max="8960" width="7.08984375" style="190"/>
    <col min="8961" max="8961" width="10.1796875" style="190" customWidth="1"/>
    <col min="8962" max="8962" width="3.54296875" style="190" customWidth="1"/>
    <col min="8963" max="8964" width="1.6328125" style="190" customWidth="1"/>
    <col min="8965" max="8965" width="4" style="190" customWidth="1"/>
    <col min="8966" max="8966" width="24.1796875" style="190" customWidth="1"/>
    <col min="8967" max="8967" width="1.6328125" style="190" customWidth="1"/>
    <col min="8968" max="8969" width="8.1796875" style="190" customWidth="1"/>
    <col min="8970" max="9216" width="7.08984375" style="190"/>
    <col min="9217" max="9217" width="10.1796875" style="190" customWidth="1"/>
    <col min="9218" max="9218" width="3.54296875" style="190" customWidth="1"/>
    <col min="9219" max="9220" width="1.6328125" style="190" customWidth="1"/>
    <col min="9221" max="9221" width="4" style="190" customWidth="1"/>
    <col min="9222" max="9222" width="24.1796875" style="190" customWidth="1"/>
    <col min="9223" max="9223" width="1.6328125" style="190" customWidth="1"/>
    <col min="9224" max="9225" width="8.1796875" style="190" customWidth="1"/>
    <col min="9226" max="9472" width="7.08984375" style="190"/>
    <col min="9473" max="9473" width="10.1796875" style="190" customWidth="1"/>
    <col min="9474" max="9474" width="3.54296875" style="190" customWidth="1"/>
    <col min="9475" max="9476" width="1.6328125" style="190" customWidth="1"/>
    <col min="9477" max="9477" width="4" style="190" customWidth="1"/>
    <col min="9478" max="9478" width="24.1796875" style="190" customWidth="1"/>
    <col min="9479" max="9479" width="1.6328125" style="190" customWidth="1"/>
    <col min="9480" max="9481" width="8.1796875" style="190" customWidth="1"/>
    <col min="9482" max="9728" width="7.08984375" style="190"/>
    <col min="9729" max="9729" width="10.1796875" style="190" customWidth="1"/>
    <col min="9730" max="9730" width="3.54296875" style="190" customWidth="1"/>
    <col min="9731" max="9732" width="1.6328125" style="190" customWidth="1"/>
    <col min="9733" max="9733" width="4" style="190" customWidth="1"/>
    <col min="9734" max="9734" width="24.1796875" style="190" customWidth="1"/>
    <col min="9735" max="9735" width="1.6328125" style="190" customWidth="1"/>
    <col min="9736" max="9737" width="8.1796875" style="190" customWidth="1"/>
    <col min="9738" max="9984" width="7.08984375" style="190"/>
    <col min="9985" max="9985" width="10.1796875" style="190" customWidth="1"/>
    <col min="9986" max="9986" width="3.54296875" style="190" customWidth="1"/>
    <col min="9987" max="9988" width="1.6328125" style="190" customWidth="1"/>
    <col min="9989" max="9989" width="4" style="190" customWidth="1"/>
    <col min="9990" max="9990" width="24.1796875" style="190" customWidth="1"/>
    <col min="9991" max="9991" width="1.6328125" style="190" customWidth="1"/>
    <col min="9992" max="9993" width="8.1796875" style="190" customWidth="1"/>
    <col min="9994" max="10240" width="7.08984375" style="190"/>
    <col min="10241" max="10241" width="10.1796875" style="190" customWidth="1"/>
    <col min="10242" max="10242" width="3.54296875" style="190" customWidth="1"/>
    <col min="10243" max="10244" width="1.6328125" style="190" customWidth="1"/>
    <col min="10245" max="10245" width="4" style="190" customWidth="1"/>
    <col min="10246" max="10246" width="24.1796875" style="190" customWidth="1"/>
    <col min="10247" max="10247" width="1.6328125" style="190" customWidth="1"/>
    <col min="10248" max="10249" width="8.1796875" style="190" customWidth="1"/>
    <col min="10250" max="10496" width="7.08984375" style="190"/>
    <col min="10497" max="10497" width="10.1796875" style="190" customWidth="1"/>
    <col min="10498" max="10498" width="3.54296875" style="190" customWidth="1"/>
    <col min="10499" max="10500" width="1.6328125" style="190" customWidth="1"/>
    <col min="10501" max="10501" width="4" style="190" customWidth="1"/>
    <col min="10502" max="10502" width="24.1796875" style="190" customWidth="1"/>
    <col min="10503" max="10503" width="1.6328125" style="190" customWidth="1"/>
    <col min="10504" max="10505" width="8.1796875" style="190" customWidth="1"/>
    <col min="10506" max="10752" width="7.08984375" style="190"/>
    <col min="10753" max="10753" width="10.1796875" style="190" customWidth="1"/>
    <col min="10754" max="10754" width="3.54296875" style="190" customWidth="1"/>
    <col min="10755" max="10756" width="1.6328125" style="190" customWidth="1"/>
    <col min="10757" max="10757" width="4" style="190" customWidth="1"/>
    <col min="10758" max="10758" width="24.1796875" style="190" customWidth="1"/>
    <col min="10759" max="10759" width="1.6328125" style="190" customWidth="1"/>
    <col min="10760" max="10761" width="8.1796875" style="190" customWidth="1"/>
    <col min="10762" max="11008" width="7.08984375" style="190"/>
    <col min="11009" max="11009" width="10.1796875" style="190" customWidth="1"/>
    <col min="11010" max="11010" width="3.54296875" style="190" customWidth="1"/>
    <col min="11011" max="11012" width="1.6328125" style="190" customWidth="1"/>
    <col min="11013" max="11013" width="4" style="190" customWidth="1"/>
    <col min="11014" max="11014" width="24.1796875" style="190" customWidth="1"/>
    <col min="11015" max="11015" width="1.6328125" style="190" customWidth="1"/>
    <col min="11016" max="11017" width="8.1796875" style="190" customWidth="1"/>
    <col min="11018" max="11264" width="7.08984375" style="190"/>
    <col min="11265" max="11265" width="10.1796875" style="190" customWidth="1"/>
    <col min="11266" max="11266" width="3.54296875" style="190" customWidth="1"/>
    <col min="11267" max="11268" width="1.6328125" style="190" customWidth="1"/>
    <col min="11269" max="11269" width="4" style="190" customWidth="1"/>
    <col min="11270" max="11270" width="24.1796875" style="190" customWidth="1"/>
    <col min="11271" max="11271" width="1.6328125" style="190" customWidth="1"/>
    <col min="11272" max="11273" width="8.1796875" style="190" customWidth="1"/>
    <col min="11274" max="11520" width="7.08984375" style="190"/>
    <col min="11521" max="11521" width="10.1796875" style="190" customWidth="1"/>
    <col min="11522" max="11522" width="3.54296875" style="190" customWidth="1"/>
    <col min="11523" max="11524" width="1.6328125" style="190" customWidth="1"/>
    <col min="11525" max="11525" width="4" style="190" customWidth="1"/>
    <col min="11526" max="11526" width="24.1796875" style="190" customWidth="1"/>
    <col min="11527" max="11527" width="1.6328125" style="190" customWidth="1"/>
    <col min="11528" max="11529" width="8.1796875" style="190" customWidth="1"/>
    <col min="11530" max="11776" width="7.08984375" style="190"/>
    <col min="11777" max="11777" width="10.1796875" style="190" customWidth="1"/>
    <col min="11778" max="11778" width="3.54296875" style="190" customWidth="1"/>
    <col min="11779" max="11780" width="1.6328125" style="190" customWidth="1"/>
    <col min="11781" max="11781" width="4" style="190" customWidth="1"/>
    <col min="11782" max="11782" width="24.1796875" style="190" customWidth="1"/>
    <col min="11783" max="11783" width="1.6328125" style="190" customWidth="1"/>
    <col min="11784" max="11785" width="8.1796875" style="190" customWidth="1"/>
    <col min="11786" max="12032" width="7.08984375" style="190"/>
    <col min="12033" max="12033" width="10.1796875" style="190" customWidth="1"/>
    <col min="12034" max="12034" width="3.54296875" style="190" customWidth="1"/>
    <col min="12035" max="12036" width="1.6328125" style="190" customWidth="1"/>
    <col min="12037" max="12037" width="4" style="190" customWidth="1"/>
    <col min="12038" max="12038" width="24.1796875" style="190" customWidth="1"/>
    <col min="12039" max="12039" width="1.6328125" style="190" customWidth="1"/>
    <col min="12040" max="12041" width="8.1796875" style="190" customWidth="1"/>
    <col min="12042" max="12288" width="7.08984375" style="190"/>
    <col min="12289" max="12289" width="10.1796875" style="190" customWidth="1"/>
    <col min="12290" max="12290" width="3.54296875" style="190" customWidth="1"/>
    <col min="12291" max="12292" width="1.6328125" style="190" customWidth="1"/>
    <col min="12293" max="12293" width="4" style="190" customWidth="1"/>
    <col min="12294" max="12294" width="24.1796875" style="190" customWidth="1"/>
    <col min="12295" max="12295" width="1.6328125" style="190" customWidth="1"/>
    <col min="12296" max="12297" width="8.1796875" style="190" customWidth="1"/>
    <col min="12298" max="12544" width="7.08984375" style="190"/>
    <col min="12545" max="12545" width="10.1796875" style="190" customWidth="1"/>
    <col min="12546" max="12546" width="3.54296875" style="190" customWidth="1"/>
    <col min="12547" max="12548" width="1.6328125" style="190" customWidth="1"/>
    <col min="12549" max="12549" width="4" style="190" customWidth="1"/>
    <col min="12550" max="12550" width="24.1796875" style="190" customWidth="1"/>
    <col min="12551" max="12551" width="1.6328125" style="190" customWidth="1"/>
    <col min="12552" max="12553" width="8.1796875" style="190" customWidth="1"/>
    <col min="12554" max="12800" width="7.08984375" style="190"/>
    <col min="12801" max="12801" width="10.1796875" style="190" customWidth="1"/>
    <col min="12802" max="12802" width="3.54296875" style="190" customWidth="1"/>
    <col min="12803" max="12804" width="1.6328125" style="190" customWidth="1"/>
    <col min="12805" max="12805" width="4" style="190" customWidth="1"/>
    <col min="12806" max="12806" width="24.1796875" style="190" customWidth="1"/>
    <col min="12807" max="12807" width="1.6328125" style="190" customWidth="1"/>
    <col min="12808" max="12809" width="8.1796875" style="190" customWidth="1"/>
    <col min="12810" max="13056" width="7.08984375" style="190"/>
    <col min="13057" max="13057" width="10.1796875" style="190" customWidth="1"/>
    <col min="13058" max="13058" width="3.54296875" style="190" customWidth="1"/>
    <col min="13059" max="13060" width="1.6328125" style="190" customWidth="1"/>
    <col min="13061" max="13061" width="4" style="190" customWidth="1"/>
    <col min="13062" max="13062" width="24.1796875" style="190" customWidth="1"/>
    <col min="13063" max="13063" width="1.6328125" style="190" customWidth="1"/>
    <col min="13064" max="13065" width="8.1796875" style="190" customWidth="1"/>
    <col min="13066" max="13312" width="7.08984375" style="190"/>
    <col min="13313" max="13313" width="10.1796875" style="190" customWidth="1"/>
    <col min="13314" max="13314" width="3.54296875" style="190" customWidth="1"/>
    <col min="13315" max="13316" width="1.6328125" style="190" customWidth="1"/>
    <col min="13317" max="13317" width="4" style="190" customWidth="1"/>
    <col min="13318" max="13318" width="24.1796875" style="190" customWidth="1"/>
    <col min="13319" max="13319" width="1.6328125" style="190" customWidth="1"/>
    <col min="13320" max="13321" width="8.1796875" style="190" customWidth="1"/>
    <col min="13322" max="13568" width="7.08984375" style="190"/>
    <col min="13569" max="13569" width="10.1796875" style="190" customWidth="1"/>
    <col min="13570" max="13570" width="3.54296875" style="190" customWidth="1"/>
    <col min="13571" max="13572" width="1.6328125" style="190" customWidth="1"/>
    <col min="13573" max="13573" width="4" style="190" customWidth="1"/>
    <col min="13574" max="13574" width="24.1796875" style="190" customWidth="1"/>
    <col min="13575" max="13575" width="1.6328125" style="190" customWidth="1"/>
    <col min="13576" max="13577" width="8.1796875" style="190" customWidth="1"/>
    <col min="13578" max="13824" width="7.08984375" style="190"/>
    <col min="13825" max="13825" width="10.1796875" style="190" customWidth="1"/>
    <col min="13826" max="13826" width="3.54296875" style="190" customWidth="1"/>
    <col min="13827" max="13828" width="1.6328125" style="190" customWidth="1"/>
    <col min="13829" max="13829" width="4" style="190" customWidth="1"/>
    <col min="13830" max="13830" width="24.1796875" style="190" customWidth="1"/>
    <col min="13831" max="13831" width="1.6328125" style="190" customWidth="1"/>
    <col min="13832" max="13833" width="8.1796875" style="190" customWidth="1"/>
    <col min="13834" max="14080" width="7.08984375" style="190"/>
    <col min="14081" max="14081" width="10.1796875" style="190" customWidth="1"/>
    <col min="14082" max="14082" width="3.54296875" style="190" customWidth="1"/>
    <col min="14083" max="14084" width="1.6328125" style="190" customWidth="1"/>
    <col min="14085" max="14085" width="4" style="190" customWidth="1"/>
    <col min="14086" max="14086" width="24.1796875" style="190" customWidth="1"/>
    <col min="14087" max="14087" width="1.6328125" style="190" customWidth="1"/>
    <col min="14088" max="14089" width="8.1796875" style="190" customWidth="1"/>
    <col min="14090" max="14336" width="7.08984375" style="190"/>
    <col min="14337" max="14337" width="10.1796875" style="190" customWidth="1"/>
    <col min="14338" max="14338" width="3.54296875" style="190" customWidth="1"/>
    <col min="14339" max="14340" width="1.6328125" style="190" customWidth="1"/>
    <col min="14341" max="14341" width="4" style="190" customWidth="1"/>
    <col min="14342" max="14342" width="24.1796875" style="190" customWidth="1"/>
    <col min="14343" max="14343" width="1.6328125" style="190" customWidth="1"/>
    <col min="14344" max="14345" width="8.1796875" style="190" customWidth="1"/>
    <col min="14346" max="14592" width="7.08984375" style="190"/>
    <col min="14593" max="14593" width="10.1796875" style="190" customWidth="1"/>
    <col min="14594" max="14594" width="3.54296875" style="190" customWidth="1"/>
    <col min="14595" max="14596" width="1.6328125" style="190" customWidth="1"/>
    <col min="14597" max="14597" width="4" style="190" customWidth="1"/>
    <col min="14598" max="14598" width="24.1796875" style="190" customWidth="1"/>
    <col min="14599" max="14599" width="1.6328125" style="190" customWidth="1"/>
    <col min="14600" max="14601" width="8.1796875" style="190" customWidth="1"/>
    <col min="14602" max="14848" width="7.08984375" style="190"/>
    <col min="14849" max="14849" width="10.1796875" style="190" customWidth="1"/>
    <col min="14850" max="14850" width="3.54296875" style="190" customWidth="1"/>
    <col min="14851" max="14852" width="1.6328125" style="190" customWidth="1"/>
    <col min="14853" max="14853" width="4" style="190" customWidth="1"/>
    <col min="14854" max="14854" width="24.1796875" style="190" customWidth="1"/>
    <col min="14855" max="14855" width="1.6328125" style="190" customWidth="1"/>
    <col min="14856" max="14857" width="8.1796875" style="190" customWidth="1"/>
    <col min="14858" max="15104" width="7.08984375" style="190"/>
    <col min="15105" max="15105" width="10.1796875" style="190" customWidth="1"/>
    <col min="15106" max="15106" width="3.54296875" style="190" customWidth="1"/>
    <col min="15107" max="15108" width="1.6328125" style="190" customWidth="1"/>
    <col min="15109" max="15109" width="4" style="190" customWidth="1"/>
    <col min="15110" max="15110" width="24.1796875" style="190" customWidth="1"/>
    <col min="15111" max="15111" width="1.6328125" style="190" customWidth="1"/>
    <col min="15112" max="15113" width="8.1796875" style="190" customWidth="1"/>
    <col min="15114" max="15360" width="7.08984375" style="190"/>
    <col min="15361" max="15361" width="10.1796875" style="190" customWidth="1"/>
    <col min="15362" max="15362" width="3.54296875" style="190" customWidth="1"/>
    <col min="15363" max="15364" width="1.6328125" style="190" customWidth="1"/>
    <col min="15365" max="15365" width="4" style="190" customWidth="1"/>
    <col min="15366" max="15366" width="24.1796875" style="190" customWidth="1"/>
    <col min="15367" max="15367" width="1.6328125" style="190" customWidth="1"/>
    <col min="15368" max="15369" width="8.1796875" style="190" customWidth="1"/>
    <col min="15370" max="15616" width="7.08984375" style="190"/>
    <col min="15617" max="15617" width="10.1796875" style="190" customWidth="1"/>
    <col min="15618" max="15618" width="3.54296875" style="190" customWidth="1"/>
    <col min="15619" max="15620" width="1.6328125" style="190" customWidth="1"/>
    <col min="15621" max="15621" width="4" style="190" customWidth="1"/>
    <col min="15622" max="15622" width="24.1796875" style="190" customWidth="1"/>
    <col min="15623" max="15623" width="1.6328125" style="190" customWidth="1"/>
    <col min="15624" max="15625" width="8.1796875" style="190" customWidth="1"/>
    <col min="15626" max="15872" width="7.08984375" style="190"/>
    <col min="15873" max="15873" width="10.1796875" style="190" customWidth="1"/>
    <col min="15874" max="15874" width="3.54296875" style="190" customWidth="1"/>
    <col min="15875" max="15876" width="1.6328125" style="190" customWidth="1"/>
    <col min="15877" max="15877" width="4" style="190" customWidth="1"/>
    <col min="15878" max="15878" width="24.1796875" style="190" customWidth="1"/>
    <col min="15879" max="15879" width="1.6328125" style="190" customWidth="1"/>
    <col min="15880" max="15881" width="8.1796875" style="190" customWidth="1"/>
    <col min="15882" max="16128" width="7.08984375" style="190"/>
    <col min="16129" max="16129" width="10.1796875" style="190" customWidth="1"/>
    <col min="16130" max="16130" width="3.54296875" style="190" customWidth="1"/>
    <col min="16131" max="16132" width="1.6328125" style="190" customWidth="1"/>
    <col min="16133" max="16133" width="4" style="190" customWidth="1"/>
    <col min="16134" max="16134" width="24.1796875" style="190" customWidth="1"/>
    <col min="16135" max="16135" width="1.6328125" style="190" customWidth="1"/>
    <col min="16136" max="16137" width="8.1796875" style="190" customWidth="1"/>
    <col min="16138" max="16384" width="7.08984375" style="190"/>
  </cols>
  <sheetData>
    <row r="1" spans="1:8" ht="14.25" customHeight="1">
      <c r="A1" s="925" t="s">
        <v>416</v>
      </c>
      <c r="B1" s="925"/>
      <c r="C1" s="925"/>
      <c r="D1" s="925"/>
      <c r="E1" s="925"/>
      <c r="F1" s="925"/>
      <c r="G1" s="925"/>
      <c r="H1" s="206"/>
    </row>
    <row r="2" spans="1:8">
      <c r="A2" s="925" t="s">
        <v>1232</v>
      </c>
      <c r="B2" s="925"/>
      <c r="C2" s="925"/>
      <c r="D2" s="925"/>
      <c r="E2" s="925"/>
      <c r="F2" s="925"/>
      <c r="G2" s="925"/>
      <c r="H2" s="206"/>
    </row>
    <row r="3" spans="1:8">
      <c r="A3" s="926" t="str">
        <f>'Act Att-H'!C7</f>
        <v>Black Hills Colorado Electric, LLC</v>
      </c>
      <c r="B3" s="926"/>
      <c r="C3" s="926"/>
      <c r="D3" s="926"/>
      <c r="E3" s="926"/>
      <c r="F3" s="926"/>
      <c r="G3" s="926"/>
      <c r="H3" s="218"/>
    </row>
    <row r="4" spans="1:8">
      <c r="F4" s="2"/>
      <c r="G4" s="192" t="s">
        <v>515</v>
      </c>
    </row>
    <row r="5" spans="1:8">
      <c r="A5" s="206"/>
      <c r="B5" s="206"/>
      <c r="C5" s="206"/>
      <c r="D5" s="206"/>
      <c r="E5" s="206"/>
      <c r="F5" s="206"/>
      <c r="G5" s="206"/>
      <c r="H5" s="206"/>
    </row>
    <row r="6" spans="1:8" ht="73.2" customHeight="1">
      <c r="B6" s="116" t="s">
        <v>4</v>
      </c>
      <c r="C6" s="116" t="s">
        <v>219</v>
      </c>
      <c r="D6" s="219" t="s">
        <v>220</v>
      </c>
      <c r="E6" s="219" t="s">
        <v>1222</v>
      </c>
      <c r="F6" s="219" t="s">
        <v>1223</v>
      </c>
      <c r="G6" s="219" t="s">
        <v>1070</v>
      </c>
      <c r="H6" s="190"/>
    </row>
    <row r="7" spans="1:8" ht="15" customHeight="1">
      <c r="B7" s="215"/>
      <c r="C7" s="220" t="s">
        <v>138</v>
      </c>
      <c r="D7" s="221" t="s">
        <v>139</v>
      </c>
      <c r="E7" s="221" t="s">
        <v>140</v>
      </c>
      <c r="F7" s="221" t="s">
        <v>141</v>
      </c>
      <c r="G7" s="221" t="s">
        <v>142</v>
      </c>
      <c r="H7" s="190"/>
    </row>
    <row r="8" spans="1:8" ht="15" customHeight="1">
      <c r="B8" s="193">
        <v>1</v>
      </c>
      <c r="C8" s="392" t="s">
        <v>146</v>
      </c>
      <c r="D8" s="391">
        <v>2022</v>
      </c>
      <c r="E8" s="663">
        <f>+(280+14+63)*1000</f>
        <v>357000</v>
      </c>
      <c r="F8" s="222">
        <f>E8</f>
        <v>357000</v>
      </c>
      <c r="G8" s="223"/>
      <c r="H8" s="190"/>
    </row>
    <row r="9" spans="1:8" ht="15" customHeight="1">
      <c r="B9" s="193">
        <v>2</v>
      </c>
      <c r="C9" s="392" t="s">
        <v>147</v>
      </c>
      <c r="D9" s="393">
        <f>D8</f>
        <v>2022</v>
      </c>
      <c r="E9" s="663">
        <f>+(289+16+63)*1000</f>
        <v>368000</v>
      </c>
      <c r="F9" s="222">
        <f t="shared" ref="F9:F15" si="0">E9</f>
        <v>368000</v>
      </c>
      <c r="G9" s="223"/>
      <c r="H9" s="190"/>
    </row>
    <row r="10" spans="1:8" ht="15" customHeight="1">
      <c r="B10" s="193">
        <v>3</v>
      </c>
      <c r="C10" s="392" t="s">
        <v>397</v>
      </c>
      <c r="D10" s="393">
        <f t="shared" ref="D10:D19" si="1">D9</f>
        <v>2022</v>
      </c>
      <c r="E10" s="663">
        <f>+(268+15+63)*1000</f>
        <v>346000</v>
      </c>
      <c r="F10" s="222">
        <f t="shared" si="0"/>
        <v>346000</v>
      </c>
      <c r="G10" s="223"/>
      <c r="H10" s="190"/>
    </row>
    <row r="11" spans="1:8" ht="15" customHeight="1">
      <c r="B11" s="193">
        <v>4</v>
      </c>
      <c r="C11" s="392" t="s">
        <v>148</v>
      </c>
      <c r="D11" s="393">
        <f t="shared" si="1"/>
        <v>2022</v>
      </c>
      <c r="E11" s="663">
        <f>+(256+12+63)*1000</f>
        <v>331000</v>
      </c>
      <c r="F11" s="222">
        <f t="shared" si="0"/>
        <v>331000</v>
      </c>
      <c r="G11" s="223"/>
      <c r="H11" s="190"/>
    </row>
    <row r="12" spans="1:8" ht="15" customHeight="1">
      <c r="B12" s="193">
        <v>5</v>
      </c>
      <c r="C12" s="392" t="s">
        <v>149</v>
      </c>
      <c r="D12" s="393">
        <f t="shared" si="1"/>
        <v>2022</v>
      </c>
      <c r="E12" s="663">
        <f>+(342+13+63)*1000</f>
        <v>418000</v>
      </c>
      <c r="F12" s="222">
        <f t="shared" si="0"/>
        <v>418000</v>
      </c>
      <c r="G12" s="223"/>
      <c r="H12" s="190"/>
    </row>
    <row r="13" spans="1:8" ht="15" customHeight="1">
      <c r="B13" s="193">
        <v>6</v>
      </c>
      <c r="C13" s="392" t="s">
        <v>150</v>
      </c>
      <c r="D13" s="393">
        <f t="shared" si="1"/>
        <v>2022</v>
      </c>
      <c r="E13" s="663">
        <f>+(399+14+63)*1000</f>
        <v>476000</v>
      </c>
      <c r="F13" s="222">
        <f t="shared" si="0"/>
        <v>476000</v>
      </c>
      <c r="G13" s="223"/>
      <c r="H13" s="190"/>
    </row>
    <row r="14" spans="1:8" ht="15" customHeight="1">
      <c r="B14" s="193">
        <v>7</v>
      </c>
      <c r="C14" s="392" t="s">
        <v>151</v>
      </c>
      <c r="D14" s="393">
        <f t="shared" si="1"/>
        <v>2022</v>
      </c>
      <c r="E14" s="663">
        <f>+(435.5+16.5+63)*1000</f>
        <v>515000</v>
      </c>
      <c r="F14" s="222">
        <f t="shared" si="0"/>
        <v>515000</v>
      </c>
      <c r="G14" s="223"/>
      <c r="H14" s="190"/>
    </row>
    <row r="15" spans="1:8" ht="15" customHeight="1">
      <c r="B15" s="193">
        <v>8</v>
      </c>
      <c r="C15" s="392" t="s">
        <v>398</v>
      </c>
      <c r="D15" s="393">
        <f t="shared" si="1"/>
        <v>2022</v>
      </c>
      <c r="E15" s="663">
        <f>+(422+16+63)*1000</f>
        <v>501000</v>
      </c>
      <c r="F15" s="222">
        <f t="shared" si="0"/>
        <v>501000</v>
      </c>
      <c r="G15" s="223"/>
      <c r="H15" s="190"/>
    </row>
    <row r="16" spans="1:8" ht="15" customHeight="1">
      <c r="B16" s="193">
        <v>9</v>
      </c>
      <c r="C16" s="392" t="s">
        <v>152</v>
      </c>
      <c r="D16" s="393">
        <f t="shared" si="1"/>
        <v>2022</v>
      </c>
      <c r="E16" s="663">
        <f>+(405+14+63)*1000</f>
        <v>482000</v>
      </c>
      <c r="F16" s="224"/>
      <c r="G16" s="225">
        <f>E16/F22</f>
        <v>1.1642512077294687</v>
      </c>
      <c r="H16" s="190"/>
    </row>
    <row r="17" spans="2:9" ht="15.6">
      <c r="B17" s="193">
        <v>10</v>
      </c>
      <c r="C17" s="392" t="s">
        <v>153</v>
      </c>
      <c r="D17" s="393">
        <f t="shared" si="1"/>
        <v>2022</v>
      </c>
      <c r="E17" s="663">
        <f>+(268+10+63)*1000</f>
        <v>341000</v>
      </c>
      <c r="F17" s="224"/>
      <c r="G17" s="225">
        <f>E17/F22</f>
        <v>0.82367149758454106</v>
      </c>
      <c r="H17" s="190"/>
    </row>
    <row r="18" spans="2:9" ht="15.6">
      <c r="B18" s="193">
        <v>11</v>
      </c>
      <c r="C18" s="392" t="s">
        <v>154</v>
      </c>
      <c r="D18" s="393">
        <f t="shared" si="1"/>
        <v>2022</v>
      </c>
      <c r="E18" s="663">
        <f>+(270+14+63)*1000</f>
        <v>347000</v>
      </c>
      <c r="F18" s="224"/>
      <c r="G18" s="225">
        <f>E18/F22</f>
        <v>0.83816425120772942</v>
      </c>
      <c r="H18" s="190"/>
    </row>
    <row r="19" spans="2:9" ht="15.6">
      <c r="B19" s="193">
        <v>12</v>
      </c>
      <c r="C19" s="392" t="s">
        <v>399</v>
      </c>
      <c r="D19" s="393">
        <f t="shared" si="1"/>
        <v>2022</v>
      </c>
      <c r="E19" s="663">
        <f>+(328+18+63)*1000</f>
        <v>409000</v>
      </c>
      <c r="F19" s="224"/>
      <c r="G19" s="225">
        <f>E19/F22</f>
        <v>0.98792270531400961</v>
      </c>
      <c r="H19" s="190"/>
    </row>
    <row r="20" spans="2:9">
      <c r="B20" s="193">
        <v>13</v>
      </c>
      <c r="C20" s="226" t="s">
        <v>9</v>
      </c>
      <c r="D20" s="226"/>
      <c r="E20" s="227">
        <f t="shared" ref="E20" si="2">SUM(E8:E19)</f>
        <v>4891000</v>
      </c>
      <c r="G20" s="225"/>
      <c r="H20" s="190"/>
    </row>
    <row r="21" spans="2:9">
      <c r="B21" s="193">
        <v>14</v>
      </c>
      <c r="C21" s="226" t="s">
        <v>164</v>
      </c>
      <c r="D21" s="226"/>
      <c r="E21" s="228">
        <f t="shared" ref="E21" si="3">E20/12</f>
        <v>407583.33333333331</v>
      </c>
      <c r="G21" s="229"/>
      <c r="H21" s="190"/>
    </row>
    <row r="22" spans="2:9">
      <c r="B22" s="193">
        <v>15</v>
      </c>
      <c r="C22" s="192" t="s">
        <v>438</v>
      </c>
      <c r="F22" s="222">
        <f>AVERAGE(F8:F19)</f>
        <v>414000</v>
      </c>
      <c r="G22" s="217"/>
      <c r="H22" s="190"/>
      <c r="I22" s="216"/>
    </row>
    <row r="23" spans="2:9">
      <c r="B23" s="193"/>
      <c r="H23" s="216"/>
    </row>
    <row r="24" spans="2:9">
      <c r="B24" s="193" t="s">
        <v>155</v>
      </c>
      <c r="H24" s="216"/>
    </row>
    <row r="25" spans="2:9">
      <c r="B25" s="193" t="s">
        <v>76</v>
      </c>
      <c r="C25" s="190" t="s">
        <v>952</v>
      </c>
      <c r="H25" s="216"/>
    </row>
    <row r="26" spans="2:9">
      <c r="B26" s="193" t="s">
        <v>77</v>
      </c>
      <c r="C26" s="551" t="s">
        <v>700</v>
      </c>
      <c r="H26" s="216"/>
    </row>
    <row r="27" spans="2:9">
      <c r="B27" s="193"/>
      <c r="H27" s="216"/>
    </row>
    <row r="28" spans="2:9">
      <c r="B28" s="193"/>
      <c r="H28" s="216"/>
    </row>
    <row r="29" spans="2:9">
      <c r="B29" s="193"/>
      <c r="H29" s="216"/>
    </row>
    <row r="30" spans="2:9">
      <c r="B30" s="193"/>
      <c r="H30" s="216"/>
    </row>
    <row r="31" spans="2:9">
      <c r="B31" s="193"/>
      <c r="H31" s="216"/>
    </row>
    <row r="32" spans="2:9">
      <c r="B32" s="193"/>
      <c r="H32" s="216"/>
    </row>
    <row r="33" spans="2:5">
      <c r="B33" s="193"/>
    </row>
    <row r="34" spans="2:5">
      <c r="B34" s="193"/>
      <c r="E34" s="192"/>
    </row>
  </sheetData>
  <mergeCells count="3">
    <mergeCell ref="A1:G1"/>
    <mergeCell ref="A2:G2"/>
    <mergeCell ref="A3:G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D9:D20 E16 E17:E19"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topLeftCell="A5" zoomScale="75" zoomScaleNormal="75" workbookViewId="0">
      <selection activeCell="B47" sqref="B47:O47"/>
    </sheetView>
  </sheetViews>
  <sheetFormatPr defaultColWidth="8.6328125" defaultRowHeight="13.8"/>
  <cols>
    <col min="1" max="1" width="5" style="1" bestFit="1" customWidth="1"/>
    <col min="2" max="2" width="6.08984375" style="28" customWidth="1"/>
    <col min="3" max="6" width="12.6328125" style="2" customWidth="1"/>
    <col min="7" max="7" width="1.6328125" style="28" customWidth="1"/>
    <col min="8" max="15" width="12.6328125" style="2" customWidth="1"/>
    <col min="16" max="16" width="10.6328125" style="2" customWidth="1"/>
    <col min="17" max="17" width="8.6328125" style="4"/>
    <col min="18" max="16384" width="8.6328125" style="2"/>
  </cols>
  <sheetData>
    <row r="1" spans="1:19">
      <c r="A1" s="922" t="s">
        <v>524</v>
      </c>
      <c r="B1" s="922"/>
      <c r="C1" s="922"/>
      <c r="D1" s="922"/>
      <c r="E1" s="922"/>
      <c r="F1" s="922"/>
      <c r="G1" s="922"/>
      <c r="H1" s="922"/>
      <c r="I1" s="922"/>
      <c r="J1" s="922"/>
      <c r="K1" s="922"/>
      <c r="L1" s="922"/>
      <c r="M1" s="922"/>
      <c r="N1" s="922"/>
      <c r="O1" s="922"/>
    </row>
    <row r="2" spans="1:19">
      <c r="A2" s="952" t="s">
        <v>525</v>
      </c>
      <c r="B2" s="952"/>
      <c r="C2" s="952"/>
      <c r="D2" s="952"/>
      <c r="E2" s="952"/>
      <c r="F2" s="952"/>
      <c r="G2" s="952"/>
      <c r="H2" s="952"/>
      <c r="I2" s="952"/>
      <c r="J2" s="952"/>
      <c r="K2" s="952"/>
      <c r="L2" s="952"/>
      <c r="M2" s="952"/>
      <c r="N2" s="952"/>
      <c r="O2" s="952"/>
    </row>
    <row r="3" spans="1:19">
      <c r="A3" s="953" t="str">
        <f>'Act Att-H'!C7</f>
        <v>Black Hills Colorado Electric, LLC</v>
      </c>
      <c r="B3" s="953"/>
      <c r="C3" s="953"/>
      <c r="D3" s="953"/>
      <c r="E3" s="953"/>
      <c r="F3" s="953"/>
      <c r="G3" s="953"/>
      <c r="H3" s="953"/>
      <c r="I3" s="953"/>
      <c r="J3" s="953"/>
      <c r="K3" s="953"/>
      <c r="L3" s="953"/>
      <c r="M3" s="953"/>
      <c r="N3" s="953"/>
      <c r="O3" s="953"/>
    </row>
    <row r="4" spans="1:19">
      <c r="A4" s="5"/>
      <c r="C4" s="3"/>
      <c r="D4" s="3"/>
      <c r="E4" s="3"/>
      <c r="F4" s="3"/>
      <c r="G4" s="317"/>
      <c r="H4" s="3"/>
      <c r="I4" s="3"/>
      <c r="O4" s="174" t="s">
        <v>515</v>
      </c>
    </row>
    <row r="5" spans="1:19" ht="15" customHeight="1">
      <c r="A5" s="35"/>
      <c r="C5" s="37"/>
      <c r="D5" s="37"/>
      <c r="E5" s="37"/>
      <c r="F5" s="37"/>
      <c r="G5" s="318"/>
    </row>
    <row r="6" spans="1:19" s="287" customFormat="1">
      <c r="A6" s="321" t="s">
        <v>4</v>
      </c>
      <c r="G6" s="296"/>
      <c r="H6" s="327" t="s">
        <v>533</v>
      </c>
      <c r="I6" s="552" t="s">
        <v>704</v>
      </c>
      <c r="P6" s="2"/>
      <c r="Q6" s="4"/>
      <c r="R6" s="2"/>
      <c r="S6" s="2"/>
    </row>
    <row r="7" spans="1:19" s="287" customFormat="1">
      <c r="A7" s="319">
        <v>1</v>
      </c>
      <c r="B7" s="296"/>
      <c r="G7" s="296"/>
      <c r="H7" s="288" t="s">
        <v>526</v>
      </c>
      <c r="I7" s="309" t="s">
        <v>534</v>
      </c>
      <c r="J7" s="309"/>
      <c r="K7" s="312"/>
      <c r="L7" s="288" t="s">
        <v>526</v>
      </c>
      <c r="M7" s="309" t="s">
        <v>536</v>
      </c>
      <c r="N7" s="309"/>
      <c r="O7" s="333"/>
      <c r="P7" s="2"/>
      <c r="Q7" s="4"/>
      <c r="R7" s="2"/>
      <c r="S7" s="2"/>
    </row>
    <row r="8" spans="1:19" s="287" customFormat="1">
      <c r="A8" s="319">
        <f>A7+1</f>
        <v>2</v>
      </c>
      <c r="B8" s="296"/>
      <c r="G8" s="296"/>
      <c r="H8" s="289" t="s">
        <v>535</v>
      </c>
      <c r="I8" s="310" t="s">
        <v>527</v>
      </c>
      <c r="L8" s="289" t="s">
        <v>535</v>
      </c>
      <c r="M8" s="310" t="s">
        <v>527</v>
      </c>
      <c r="O8" s="290"/>
      <c r="P8" s="2"/>
      <c r="Q8" s="4"/>
      <c r="R8" s="2"/>
      <c r="S8" s="2"/>
    </row>
    <row r="9" spans="1:19" s="287" customFormat="1">
      <c r="A9" s="319">
        <f t="shared" ref="A9:A14" si="0">A8+1</f>
        <v>3</v>
      </c>
      <c r="B9" s="296"/>
      <c r="G9" s="296"/>
      <c r="H9" s="289" t="s">
        <v>528</v>
      </c>
      <c r="I9" s="311">
        <v>0</v>
      </c>
      <c r="J9" s="287" t="s">
        <v>483</v>
      </c>
      <c r="L9" s="289" t="s">
        <v>528</v>
      </c>
      <c r="M9" s="311">
        <v>0</v>
      </c>
      <c r="N9" s="287" t="s">
        <v>483</v>
      </c>
      <c r="O9" s="290"/>
      <c r="P9" s="2"/>
      <c r="Q9" s="4"/>
      <c r="R9" s="2"/>
      <c r="S9" s="2"/>
    </row>
    <row r="10" spans="1:19" s="287" customFormat="1">
      <c r="A10" s="319">
        <f t="shared" si="0"/>
        <v>4</v>
      </c>
      <c r="B10" s="296"/>
      <c r="G10" s="296"/>
      <c r="H10" s="289" t="s">
        <v>529</v>
      </c>
      <c r="I10" s="311">
        <v>0</v>
      </c>
      <c r="J10" s="287" t="s">
        <v>539</v>
      </c>
      <c r="L10" s="289" t="s">
        <v>529</v>
      </c>
      <c r="M10" s="311">
        <v>0</v>
      </c>
      <c r="N10" s="287" t="s">
        <v>539</v>
      </c>
      <c r="O10" s="290"/>
      <c r="P10" s="2"/>
      <c r="Q10" s="4"/>
      <c r="R10" s="2"/>
      <c r="S10" s="2"/>
    </row>
    <row r="11" spans="1:19" s="287" customFormat="1">
      <c r="A11" s="319">
        <f t="shared" si="0"/>
        <v>5</v>
      </c>
      <c r="B11" s="296"/>
      <c r="G11" s="296"/>
      <c r="H11" s="289" t="s">
        <v>549</v>
      </c>
      <c r="I11" s="291">
        <f>I10*'Act Att-H'!E204</f>
        <v>0</v>
      </c>
      <c r="L11" s="289" t="s">
        <v>549</v>
      </c>
      <c r="M11" s="291">
        <f>M10*'Act Att-H'!E204</f>
        <v>0</v>
      </c>
      <c r="O11" s="290"/>
      <c r="P11" s="2"/>
      <c r="Q11" s="4"/>
      <c r="R11" s="2"/>
      <c r="S11" s="2"/>
    </row>
    <row r="12" spans="1:19" s="287" customFormat="1">
      <c r="A12" s="319">
        <f t="shared" si="0"/>
        <v>6</v>
      </c>
      <c r="B12" s="296"/>
      <c r="G12" s="296"/>
      <c r="H12" s="289" t="s">
        <v>530</v>
      </c>
      <c r="I12" s="313"/>
      <c r="L12" s="289" t="s">
        <v>530</v>
      </c>
      <c r="M12" s="313"/>
      <c r="O12" s="290"/>
      <c r="P12" s="2"/>
      <c r="Q12" s="4"/>
      <c r="R12" s="2"/>
      <c r="S12" s="2"/>
    </row>
    <row r="13" spans="1:19" s="287" customFormat="1">
      <c r="A13" s="319">
        <f t="shared" si="0"/>
        <v>7</v>
      </c>
      <c r="G13" s="296"/>
      <c r="H13" s="289"/>
      <c r="L13" s="289"/>
      <c r="O13" s="290"/>
      <c r="P13" s="2"/>
      <c r="Q13" s="4"/>
      <c r="R13" s="2"/>
      <c r="S13" s="2"/>
    </row>
    <row r="14" spans="1:19" s="287" customFormat="1">
      <c r="A14" s="319">
        <f t="shared" si="0"/>
        <v>8</v>
      </c>
      <c r="B14" s="296"/>
      <c r="C14" s="951" t="s">
        <v>9</v>
      </c>
      <c r="D14" s="951"/>
      <c r="E14" s="951"/>
      <c r="F14" s="951"/>
      <c r="G14" s="296"/>
      <c r="H14" s="289"/>
      <c r="L14" s="289"/>
      <c r="O14" s="290"/>
      <c r="P14" s="2"/>
      <c r="Q14" s="4"/>
      <c r="R14" s="2"/>
      <c r="S14" s="2"/>
    </row>
    <row r="15" spans="1:19" s="287" customFormat="1">
      <c r="A15" s="296"/>
      <c r="B15" s="296"/>
      <c r="G15" s="296"/>
      <c r="H15" s="289"/>
      <c r="K15" s="287" t="s">
        <v>796</v>
      </c>
      <c r="L15" s="289"/>
      <c r="O15" s="290" t="s">
        <v>796</v>
      </c>
      <c r="P15" s="2"/>
      <c r="Q15" s="4"/>
      <c r="R15" s="2"/>
      <c r="S15" s="2"/>
    </row>
    <row r="16" spans="1:19" s="287" customFormat="1" ht="57" customHeight="1">
      <c r="A16" s="296"/>
      <c r="B16" s="316" t="s">
        <v>220</v>
      </c>
      <c r="C16" s="316" t="s">
        <v>531</v>
      </c>
      <c r="D16" s="316" t="s">
        <v>375</v>
      </c>
      <c r="E16" s="316" t="s">
        <v>532</v>
      </c>
      <c r="F16" s="316" t="s">
        <v>544</v>
      </c>
      <c r="G16" s="334"/>
      <c r="H16" s="295" t="s">
        <v>531</v>
      </c>
      <c r="I16" s="646" t="s">
        <v>768</v>
      </c>
      <c r="J16" s="296" t="s">
        <v>532</v>
      </c>
      <c r="K16" s="646" t="s">
        <v>798</v>
      </c>
      <c r="L16" s="295" t="s">
        <v>531</v>
      </c>
      <c r="M16" s="646" t="s">
        <v>768</v>
      </c>
      <c r="N16" s="296" t="s">
        <v>532</v>
      </c>
      <c r="O16" s="647"/>
      <c r="P16" s="2"/>
      <c r="Q16" s="4"/>
      <c r="R16" s="2"/>
      <c r="S16" s="2"/>
    </row>
    <row r="17" spans="1:19" s="287" customFormat="1">
      <c r="A17" s="296"/>
      <c r="B17" s="294" t="s">
        <v>138</v>
      </c>
      <c r="C17" s="294" t="s">
        <v>139</v>
      </c>
      <c r="D17" s="294" t="s">
        <v>140</v>
      </c>
      <c r="E17" s="294" t="s">
        <v>141</v>
      </c>
      <c r="F17" s="294" t="s">
        <v>142</v>
      </c>
      <c r="G17" s="292"/>
      <c r="H17" s="294" t="s">
        <v>143</v>
      </c>
      <c r="I17" s="619" t="s">
        <v>144</v>
      </c>
      <c r="J17" s="294" t="s">
        <v>145</v>
      </c>
      <c r="K17" s="648" t="s">
        <v>161</v>
      </c>
      <c r="L17" s="294" t="s">
        <v>162</v>
      </c>
      <c r="M17" s="619" t="s">
        <v>872</v>
      </c>
      <c r="N17" s="294" t="s">
        <v>871</v>
      </c>
      <c r="O17" s="648" t="s">
        <v>929</v>
      </c>
      <c r="P17" s="2"/>
      <c r="Q17" s="4"/>
      <c r="R17" s="2"/>
      <c r="S17" s="2"/>
    </row>
    <row r="18" spans="1:19" s="287" customFormat="1">
      <c r="A18" s="296"/>
      <c r="B18" s="296"/>
      <c r="G18" s="296"/>
      <c r="H18" s="295"/>
      <c r="I18" s="296"/>
      <c r="J18" s="296"/>
      <c r="K18" s="296"/>
      <c r="L18" s="295"/>
      <c r="M18" s="296"/>
      <c r="N18" s="296"/>
      <c r="O18" s="297"/>
      <c r="P18" s="2"/>
      <c r="Q18" s="4"/>
      <c r="R18" s="2"/>
      <c r="S18" s="2"/>
    </row>
    <row r="19" spans="1:19" s="287" customFormat="1">
      <c r="A19" s="319">
        <f>A14+1</f>
        <v>9</v>
      </c>
      <c r="B19" s="718" t="s">
        <v>930</v>
      </c>
      <c r="C19" s="298">
        <f>+H19+L19</f>
        <v>0</v>
      </c>
      <c r="D19" s="298">
        <f>+I19+M19</f>
        <v>0</v>
      </c>
      <c r="E19" s="298">
        <f>+J19+N19</f>
        <v>0</v>
      </c>
      <c r="F19" s="298">
        <f>+K19+O19</f>
        <v>0</v>
      </c>
      <c r="G19" s="319"/>
      <c r="H19" s="314">
        <v>0</v>
      </c>
      <c r="I19" s="315">
        <v>0</v>
      </c>
      <c r="J19" s="620">
        <f>+H19-I19</f>
        <v>0</v>
      </c>
      <c r="K19" s="299">
        <f>ROUND(J19*I$11,2)</f>
        <v>0</v>
      </c>
      <c r="L19" s="314">
        <v>0</v>
      </c>
      <c r="M19" s="315">
        <v>0</v>
      </c>
      <c r="N19" s="620">
        <f>+L19-M19</f>
        <v>0</v>
      </c>
      <c r="O19" s="300">
        <f>ROUND(N19*M$11,2)</f>
        <v>0</v>
      </c>
      <c r="P19" s="2"/>
      <c r="Q19" s="4"/>
      <c r="R19" s="2"/>
      <c r="S19" s="2"/>
    </row>
    <row r="20" spans="1:19" s="287" customFormat="1">
      <c r="A20" s="319">
        <f t="shared" ref="A20:A42" si="1">A19+1</f>
        <v>10</v>
      </c>
      <c r="B20" s="718" t="s">
        <v>930</v>
      </c>
      <c r="C20" s="298">
        <f t="shared" ref="C20:C42" si="2">+H20+L20</f>
        <v>0</v>
      </c>
      <c r="D20" s="298">
        <f t="shared" ref="D20:D42" si="3">+I20+M20</f>
        <v>0</v>
      </c>
      <c r="E20" s="298">
        <f t="shared" ref="E20:E42" si="4">+J20+N20</f>
        <v>0</v>
      </c>
      <c r="F20" s="298">
        <f t="shared" ref="F20:F42" si="5">+K20+O20</f>
        <v>0</v>
      </c>
      <c r="G20" s="319"/>
      <c r="H20" s="314">
        <v>0</v>
      </c>
      <c r="I20" s="620">
        <f>(H20*$I$9)+I19</f>
        <v>0</v>
      </c>
      <c r="J20" s="299">
        <f>+H20-I20</f>
        <v>0</v>
      </c>
      <c r="K20" s="299">
        <f t="shared" ref="K20:K42" si="6">ROUND(J20*I$11,2)</f>
        <v>0</v>
      </c>
      <c r="L20" s="314">
        <v>0</v>
      </c>
      <c r="M20" s="620">
        <f>(L20*$M$9)+M19</f>
        <v>0</v>
      </c>
      <c r="N20" s="299">
        <f>+L20-M20</f>
        <v>0</v>
      </c>
      <c r="O20" s="300">
        <f t="shared" ref="O20:O42" si="7">ROUND(N20*M$11,2)</f>
        <v>0</v>
      </c>
      <c r="P20" s="2"/>
      <c r="Q20" s="4"/>
      <c r="R20" s="2"/>
      <c r="S20" s="2"/>
    </row>
    <row r="21" spans="1:19" s="287" customFormat="1">
      <c r="A21" s="319">
        <f t="shared" si="1"/>
        <v>11</v>
      </c>
      <c r="B21" s="718" t="s">
        <v>930</v>
      </c>
      <c r="C21" s="298">
        <f t="shared" si="2"/>
        <v>0</v>
      </c>
      <c r="D21" s="298">
        <f t="shared" si="3"/>
        <v>0</v>
      </c>
      <c r="E21" s="298">
        <f t="shared" si="4"/>
        <v>0</v>
      </c>
      <c r="F21" s="298">
        <f t="shared" si="5"/>
        <v>0</v>
      </c>
      <c r="G21" s="319"/>
      <c r="H21" s="314">
        <v>0</v>
      </c>
      <c r="I21" s="620">
        <f t="shared" ref="I21:I42" si="8">(H21*$I$9)+I20</f>
        <v>0</v>
      </c>
      <c r="J21" s="299">
        <f>+H21-I21</f>
        <v>0</v>
      </c>
      <c r="K21" s="299">
        <f t="shared" si="6"/>
        <v>0</v>
      </c>
      <c r="L21" s="314">
        <v>0</v>
      </c>
      <c r="M21" s="620">
        <f t="shared" ref="M21:M42" si="9">(L21*$M$9)+M20</f>
        <v>0</v>
      </c>
      <c r="N21" s="299">
        <f>+L21-M21</f>
        <v>0</v>
      </c>
      <c r="O21" s="300">
        <f t="shared" si="7"/>
        <v>0</v>
      </c>
      <c r="P21" s="2"/>
      <c r="Q21" s="4"/>
      <c r="R21" s="2"/>
      <c r="S21" s="2"/>
    </row>
    <row r="22" spans="1:19" s="287" customFormat="1">
      <c r="A22" s="319">
        <f t="shared" si="1"/>
        <v>12</v>
      </c>
      <c r="B22" s="718" t="s">
        <v>930</v>
      </c>
      <c r="C22" s="298">
        <f t="shared" si="2"/>
        <v>0</v>
      </c>
      <c r="D22" s="298">
        <f t="shared" si="3"/>
        <v>0</v>
      </c>
      <c r="E22" s="298">
        <f t="shared" si="4"/>
        <v>0</v>
      </c>
      <c r="F22" s="298">
        <f t="shared" si="5"/>
        <v>0</v>
      </c>
      <c r="G22" s="319"/>
      <c r="H22" s="314">
        <v>0</v>
      </c>
      <c r="I22" s="620">
        <f t="shared" si="8"/>
        <v>0</v>
      </c>
      <c r="J22" s="299">
        <f>+H22-I22</f>
        <v>0</v>
      </c>
      <c r="K22" s="299">
        <f t="shared" si="6"/>
        <v>0</v>
      </c>
      <c r="L22" s="314">
        <v>0</v>
      </c>
      <c r="M22" s="620">
        <f t="shared" si="9"/>
        <v>0</v>
      </c>
      <c r="N22" s="299">
        <f>+L22-M22</f>
        <v>0</v>
      </c>
      <c r="O22" s="300">
        <f t="shared" si="7"/>
        <v>0</v>
      </c>
      <c r="P22" s="2"/>
      <c r="Q22" s="4"/>
      <c r="R22" s="2"/>
      <c r="S22" s="2"/>
    </row>
    <row r="23" spans="1:19" s="287" customFormat="1">
      <c r="A23" s="319">
        <f t="shared" si="1"/>
        <v>13</v>
      </c>
      <c r="B23" s="718" t="s">
        <v>930</v>
      </c>
      <c r="C23" s="298">
        <f t="shared" si="2"/>
        <v>0</v>
      </c>
      <c r="D23" s="298">
        <f t="shared" si="3"/>
        <v>0</v>
      </c>
      <c r="E23" s="298">
        <f t="shared" si="4"/>
        <v>0</v>
      </c>
      <c r="F23" s="298">
        <f t="shared" si="5"/>
        <v>0</v>
      </c>
      <c r="G23" s="319"/>
      <c r="H23" s="314">
        <v>0</v>
      </c>
      <c r="I23" s="620">
        <f t="shared" si="8"/>
        <v>0</v>
      </c>
      <c r="J23" s="299">
        <f t="shared" ref="J23:J42" si="10">+H23-I23</f>
        <v>0</v>
      </c>
      <c r="K23" s="299">
        <f t="shared" si="6"/>
        <v>0</v>
      </c>
      <c r="L23" s="314">
        <v>0</v>
      </c>
      <c r="M23" s="620">
        <f t="shared" si="9"/>
        <v>0</v>
      </c>
      <c r="N23" s="299">
        <f t="shared" ref="N23:N42" si="11">+L23-M23</f>
        <v>0</v>
      </c>
      <c r="O23" s="300">
        <f t="shared" si="7"/>
        <v>0</v>
      </c>
      <c r="P23" s="2"/>
      <c r="Q23" s="4"/>
      <c r="R23" s="2"/>
      <c r="S23" s="2"/>
    </row>
    <row r="24" spans="1:19" s="287" customFormat="1">
      <c r="A24" s="319">
        <f t="shared" si="1"/>
        <v>14</v>
      </c>
      <c r="B24" s="718" t="s">
        <v>930</v>
      </c>
      <c r="C24" s="298">
        <f t="shared" si="2"/>
        <v>0</v>
      </c>
      <c r="D24" s="298">
        <f t="shared" si="3"/>
        <v>0</v>
      </c>
      <c r="E24" s="298">
        <f t="shared" si="4"/>
        <v>0</v>
      </c>
      <c r="F24" s="298">
        <f t="shared" si="5"/>
        <v>0</v>
      </c>
      <c r="G24" s="319"/>
      <c r="H24" s="314">
        <v>0</v>
      </c>
      <c r="I24" s="620">
        <f t="shared" si="8"/>
        <v>0</v>
      </c>
      <c r="J24" s="299">
        <f t="shared" si="10"/>
        <v>0</v>
      </c>
      <c r="K24" s="299">
        <f t="shared" si="6"/>
        <v>0</v>
      </c>
      <c r="L24" s="314">
        <v>0</v>
      </c>
      <c r="M24" s="620">
        <f t="shared" si="9"/>
        <v>0</v>
      </c>
      <c r="N24" s="299">
        <f t="shared" si="11"/>
        <v>0</v>
      </c>
      <c r="O24" s="300">
        <f t="shared" si="7"/>
        <v>0</v>
      </c>
      <c r="P24" s="2"/>
      <c r="Q24" s="4"/>
      <c r="R24" s="2"/>
      <c r="S24" s="2"/>
    </row>
    <row r="25" spans="1:19" s="287" customFormat="1">
      <c r="A25" s="319">
        <f t="shared" si="1"/>
        <v>15</v>
      </c>
      <c r="B25" s="718" t="s">
        <v>930</v>
      </c>
      <c r="C25" s="298">
        <f t="shared" si="2"/>
        <v>0</v>
      </c>
      <c r="D25" s="298">
        <f t="shared" si="3"/>
        <v>0</v>
      </c>
      <c r="E25" s="298">
        <f t="shared" si="4"/>
        <v>0</v>
      </c>
      <c r="F25" s="298">
        <f t="shared" si="5"/>
        <v>0</v>
      </c>
      <c r="G25" s="319"/>
      <c r="H25" s="314">
        <v>0</v>
      </c>
      <c r="I25" s="620">
        <f t="shared" si="8"/>
        <v>0</v>
      </c>
      <c r="J25" s="299">
        <f t="shared" si="10"/>
        <v>0</v>
      </c>
      <c r="K25" s="299">
        <f t="shared" si="6"/>
        <v>0</v>
      </c>
      <c r="L25" s="314">
        <v>0</v>
      </c>
      <c r="M25" s="620">
        <f t="shared" si="9"/>
        <v>0</v>
      </c>
      <c r="N25" s="299">
        <f t="shared" si="11"/>
        <v>0</v>
      </c>
      <c r="O25" s="300">
        <f t="shared" si="7"/>
        <v>0</v>
      </c>
      <c r="P25" s="2"/>
      <c r="Q25" s="4"/>
      <c r="R25" s="2"/>
      <c r="S25" s="2"/>
    </row>
    <row r="26" spans="1:19" s="287" customFormat="1">
      <c r="A26" s="319">
        <f t="shared" si="1"/>
        <v>16</v>
      </c>
      <c r="B26" s="718" t="s">
        <v>930</v>
      </c>
      <c r="C26" s="298">
        <f t="shared" si="2"/>
        <v>0</v>
      </c>
      <c r="D26" s="298">
        <f t="shared" si="3"/>
        <v>0</v>
      </c>
      <c r="E26" s="298">
        <f t="shared" si="4"/>
        <v>0</v>
      </c>
      <c r="F26" s="298">
        <f t="shared" si="5"/>
        <v>0</v>
      </c>
      <c r="G26" s="319"/>
      <c r="H26" s="314">
        <v>0</v>
      </c>
      <c r="I26" s="620">
        <f t="shared" si="8"/>
        <v>0</v>
      </c>
      <c r="J26" s="299">
        <f t="shared" si="10"/>
        <v>0</v>
      </c>
      <c r="K26" s="299">
        <f t="shared" si="6"/>
        <v>0</v>
      </c>
      <c r="L26" s="314">
        <v>0</v>
      </c>
      <c r="M26" s="620">
        <f t="shared" si="9"/>
        <v>0</v>
      </c>
      <c r="N26" s="299">
        <f t="shared" si="11"/>
        <v>0</v>
      </c>
      <c r="O26" s="300">
        <f t="shared" si="7"/>
        <v>0</v>
      </c>
      <c r="P26" s="2"/>
      <c r="Q26" s="4"/>
      <c r="R26" s="2"/>
      <c r="S26" s="2"/>
    </row>
    <row r="27" spans="1:19" s="287" customFormat="1">
      <c r="A27" s="319">
        <f t="shared" si="1"/>
        <v>17</v>
      </c>
      <c r="B27" s="718" t="s">
        <v>930</v>
      </c>
      <c r="C27" s="298">
        <f t="shared" si="2"/>
        <v>0</v>
      </c>
      <c r="D27" s="298">
        <f t="shared" si="3"/>
        <v>0</v>
      </c>
      <c r="E27" s="298">
        <f t="shared" si="4"/>
        <v>0</v>
      </c>
      <c r="F27" s="298">
        <f t="shared" si="5"/>
        <v>0</v>
      </c>
      <c r="G27" s="319"/>
      <c r="H27" s="314">
        <v>0</v>
      </c>
      <c r="I27" s="620">
        <f t="shared" si="8"/>
        <v>0</v>
      </c>
      <c r="J27" s="299">
        <f t="shared" si="10"/>
        <v>0</v>
      </c>
      <c r="K27" s="299">
        <f t="shared" si="6"/>
        <v>0</v>
      </c>
      <c r="L27" s="314">
        <v>0</v>
      </c>
      <c r="M27" s="620">
        <f t="shared" si="9"/>
        <v>0</v>
      </c>
      <c r="N27" s="299">
        <f t="shared" si="11"/>
        <v>0</v>
      </c>
      <c r="O27" s="300">
        <f t="shared" si="7"/>
        <v>0</v>
      </c>
      <c r="P27" s="2"/>
      <c r="Q27" s="4"/>
      <c r="R27" s="2"/>
      <c r="S27" s="2"/>
    </row>
    <row r="28" spans="1:19" s="287" customFormat="1">
      <c r="A28" s="319">
        <f t="shared" si="1"/>
        <v>18</v>
      </c>
      <c r="B28" s="718" t="s">
        <v>930</v>
      </c>
      <c r="C28" s="298">
        <f t="shared" si="2"/>
        <v>0</v>
      </c>
      <c r="D28" s="298">
        <f t="shared" si="3"/>
        <v>0</v>
      </c>
      <c r="E28" s="298">
        <f t="shared" si="4"/>
        <v>0</v>
      </c>
      <c r="F28" s="298">
        <f t="shared" si="5"/>
        <v>0</v>
      </c>
      <c r="G28" s="319"/>
      <c r="H28" s="314">
        <v>0</v>
      </c>
      <c r="I28" s="620">
        <f t="shared" si="8"/>
        <v>0</v>
      </c>
      <c r="J28" s="299">
        <f t="shared" si="10"/>
        <v>0</v>
      </c>
      <c r="K28" s="299">
        <f t="shared" si="6"/>
        <v>0</v>
      </c>
      <c r="L28" s="314">
        <v>0</v>
      </c>
      <c r="M28" s="620">
        <f t="shared" si="9"/>
        <v>0</v>
      </c>
      <c r="N28" s="299">
        <f t="shared" si="11"/>
        <v>0</v>
      </c>
      <c r="O28" s="300">
        <f t="shared" si="7"/>
        <v>0</v>
      </c>
      <c r="P28" s="2"/>
      <c r="Q28" s="4"/>
      <c r="R28" s="2"/>
      <c r="S28" s="2"/>
    </row>
    <row r="29" spans="1:19" s="287" customFormat="1">
      <c r="A29" s="319">
        <f t="shared" si="1"/>
        <v>19</v>
      </c>
      <c r="B29" s="718" t="s">
        <v>930</v>
      </c>
      <c r="C29" s="298">
        <f t="shared" si="2"/>
        <v>0</v>
      </c>
      <c r="D29" s="298">
        <f t="shared" si="3"/>
        <v>0</v>
      </c>
      <c r="E29" s="298">
        <f t="shared" si="4"/>
        <v>0</v>
      </c>
      <c r="F29" s="298">
        <f t="shared" si="5"/>
        <v>0</v>
      </c>
      <c r="G29" s="319"/>
      <c r="H29" s="314">
        <v>0</v>
      </c>
      <c r="I29" s="620">
        <f t="shared" si="8"/>
        <v>0</v>
      </c>
      <c r="J29" s="299">
        <f t="shared" si="10"/>
        <v>0</v>
      </c>
      <c r="K29" s="299">
        <f t="shared" si="6"/>
        <v>0</v>
      </c>
      <c r="L29" s="314">
        <v>0</v>
      </c>
      <c r="M29" s="620">
        <f t="shared" si="9"/>
        <v>0</v>
      </c>
      <c r="N29" s="299">
        <f t="shared" si="11"/>
        <v>0</v>
      </c>
      <c r="O29" s="300">
        <f t="shared" si="7"/>
        <v>0</v>
      </c>
      <c r="P29" s="2"/>
      <c r="Q29" s="4"/>
      <c r="R29" s="2"/>
      <c r="S29" s="2"/>
    </row>
    <row r="30" spans="1:19" s="287" customFormat="1">
      <c r="A30" s="319">
        <f t="shared" si="1"/>
        <v>20</v>
      </c>
      <c r="B30" s="718" t="s">
        <v>930</v>
      </c>
      <c r="C30" s="298">
        <f t="shared" si="2"/>
        <v>0</v>
      </c>
      <c r="D30" s="298">
        <f t="shared" si="3"/>
        <v>0</v>
      </c>
      <c r="E30" s="298">
        <f t="shared" si="4"/>
        <v>0</v>
      </c>
      <c r="F30" s="298">
        <f t="shared" si="5"/>
        <v>0</v>
      </c>
      <c r="G30" s="319"/>
      <c r="H30" s="314">
        <v>0</v>
      </c>
      <c r="I30" s="620">
        <f t="shared" si="8"/>
        <v>0</v>
      </c>
      <c r="J30" s="299">
        <f t="shared" si="10"/>
        <v>0</v>
      </c>
      <c r="K30" s="299">
        <f t="shared" si="6"/>
        <v>0</v>
      </c>
      <c r="L30" s="314">
        <v>0</v>
      </c>
      <c r="M30" s="620">
        <f t="shared" si="9"/>
        <v>0</v>
      </c>
      <c r="N30" s="299">
        <f t="shared" si="11"/>
        <v>0</v>
      </c>
      <c r="O30" s="300">
        <f t="shared" si="7"/>
        <v>0</v>
      </c>
      <c r="P30" s="2"/>
      <c r="Q30" s="4"/>
      <c r="R30" s="2"/>
      <c r="S30" s="2"/>
    </row>
    <row r="31" spans="1:19" s="287" customFormat="1">
      <c r="A31" s="319">
        <f t="shared" si="1"/>
        <v>21</v>
      </c>
      <c r="B31" s="718" t="s">
        <v>930</v>
      </c>
      <c r="C31" s="298">
        <f t="shared" si="2"/>
        <v>0</v>
      </c>
      <c r="D31" s="298">
        <f t="shared" si="3"/>
        <v>0</v>
      </c>
      <c r="E31" s="298">
        <f t="shared" si="4"/>
        <v>0</v>
      </c>
      <c r="F31" s="298">
        <f t="shared" si="5"/>
        <v>0</v>
      </c>
      <c r="G31" s="319"/>
      <c r="H31" s="314">
        <v>0</v>
      </c>
      <c r="I31" s="620">
        <f t="shared" si="8"/>
        <v>0</v>
      </c>
      <c r="J31" s="299">
        <f t="shared" si="10"/>
        <v>0</v>
      </c>
      <c r="K31" s="299">
        <f t="shared" si="6"/>
        <v>0</v>
      </c>
      <c r="L31" s="314">
        <v>0</v>
      </c>
      <c r="M31" s="620">
        <f t="shared" si="9"/>
        <v>0</v>
      </c>
      <c r="N31" s="299">
        <f t="shared" si="11"/>
        <v>0</v>
      </c>
      <c r="O31" s="300">
        <f t="shared" si="7"/>
        <v>0</v>
      </c>
      <c r="P31" s="2"/>
      <c r="Q31" s="4"/>
      <c r="R31" s="2"/>
      <c r="S31" s="2"/>
    </row>
    <row r="32" spans="1:19" s="287" customFormat="1">
      <c r="A32" s="319">
        <f t="shared" si="1"/>
        <v>22</v>
      </c>
      <c r="B32" s="718" t="s">
        <v>930</v>
      </c>
      <c r="C32" s="298">
        <f t="shared" si="2"/>
        <v>0</v>
      </c>
      <c r="D32" s="298">
        <f t="shared" si="3"/>
        <v>0</v>
      </c>
      <c r="E32" s="298">
        <f t="shared" si="4"/>
        <v>0</v>
      </c>
      <c r="F32" s="298">
        <f t="shared" si="5"/>
        <v>0</v>
      </c>
      <c r="G32" s="319"/>
      <c r="H32" s="314">
        <v>0</v>
      </c>
      <c r="I32" s="620">
        <f t="shared" si="8"/>
        <v>0</v>
      </c>
      <c r="J32" s="299">
        <f t="shared" si="10"/>
        <v>0</v>
      </c>
      <c r="K32" s="299">
        <f t="shared" si="6"/>
        <v>0</v>
      </c>
      <c r="L32" s="314">
        <v>0</v>
      </c>
      <c r="M32" s="620">
        <f t="shared" si="9"/>
        <v>0</v>
      </c>
      <c r="N32" s="299">
        <f t="shared" si="11"/>
        <v>0</v>
      </c>
      <c r="O32" s="300">
        <f t="shared" si="7"/>
        <v>0</v>
      </c>
      <c r="P32" s="2"/>
      <c r="Q32" s="4"/>
      <c r="R32" s="2"/>
      <c r="S32" s="2"/>
    </row>
    <row r="33" spans="1:19" s="287" customFormat="1">
      <c r="A33" s="319">
        <f t="shared" si="1"/>
        <v>23</v>
      </c>
      <c r="B33" s="718" t="s">
        <v>930</v>
      </c>
      <c r="C33" s="298">
        <f t="shared" si="2"/>
        <v>0</v>
      </c>
      <c r="D33" s="298">
        <f t="shared" si="3"/>
        <v>0</v>
      </c>
      <c r="E33" s="298">
        <f t="shared" si="4"/>
        <v>0</v>
      </c>
      <c r="F33" s="298">
        <f t="shared" si="5"/>
        <v>0</v>
      </c>
      <c r="G33" s="319"/>
      <c r="H33" s="314">
        <v>0</v>
      </c>
      <c r="I33" s="620">
        <f t="shared" si="8"/>
        <v>0</v>
      </c>
      <c r="J33" s="299">
        <f t="shared" si="10"/>
        <v>0</v>
      </c>
      <c r="K33" s="299">
        <f t="shared" si="6"/>
        <v>0</v>
      </c>
      <c r="L33" s="314">
        <v>0</v>
      </c>
      <c r="M33" s="620">
        <f t="shared" si="9"/>
        <v>0</v>
      </c>
      <c r="N33" s="299">
        <f t="shared" si="11"/>
        <v>0</v>
      </c>
      <c r="O33" s="300">
        <f t="shared" si="7"/>
        <v>0</v>
      </c>
      <c r="P33" s="2"/>
      <c r="Q33" s="4"/>
      <c r="R33" s="2"/>
      <c r="S33" s="2"/>
    </row>
    <row r="34" spans="1:19" s="287" customFormat="1">
      <c r="A34" s="319">
        <f t="shared" si="1"/>
        <v>24</v>
      </c>
      <c r="B34" s="718" t="s">
        <v>930</v>
      </c>
      <c r="C34" s="298">
        <f t="shared" si="2"/>
        <v>0</v>
      </c>
      <c r="D34" s="298">
        <f t="shared" si="3"/>
        <v>0</v>
      </c>
      <c r="E34" s="298">
        <f t="shared" si="4"/>
        <v>0</v>
      </c>
      <c r="F34" s="298">
        <f t="shared" si="5"/>
        <v>0</v>
      </c>
      <c r="G34" s="319"/>
      <c r="H34" s="314">
        <v>0</v>
      </c>
      <c r="I34" s="620">
        <f t="shared" si="8"/>
        <v>0</v>
      </c>
      <c r="J34" s="299">
        <f t="shared" si="10"/>
        <v>0</v>
      </c>
      <c r="K34" s="299">
        <f t="shared" si="6"/>
        <v>0</v>
      </c>
      <c r="L34" s="314">
        <v>0</v>
      </c>
      <c r="M34" s="620">
        <f t="shared" si="9"/>
        <v>0</v>
      </c>
      <c r="N34" s="299">
        <f t="shared" si="11"/>
        <v>0</v>
      </c>
      <c r="O34" s="300">
        <f t="shared" si="7"/>
        <v>0</v>
      </c>
      <c r="P34" s="2"/>
      <c r="Q34" s="4"/>
      <c r="R34" s="2"/>
      <c r="S34" s="2"/>
    </row>
    <row r="35" spans="1:19" s="287" customFormat="1">
      <c r="A35" s="319">
        <f t="shared" si="1"/>
        <v>25</v>
      </c>
      <c r="B35" s="718" t="s">
        <v>930</v>
      </c>
      <c r="C35" s="298">
        <f t="shared" si="2"/>
        <v>0</v>
      </c>
      <c r="D35" s="298">
        <f t="shared" si="3"/>
        <v>0</v>
      </c>
      <c r="E35" s="298">
        <f t="shared" si="4"/>
        <v>0</v>
      </c>
      <c r="F35" s="298">
        <f t="shared" si="5"/>
        <v>0</v>
      </c>
      <c r="G35" s="319"/>
      <c r="H35" s="314">
        <v>0</v>
      </c>
      <c r="I35" s="620">
        <f t="shared" si="8"/>
        <v>0</v>
      </c>
      <c r="J35" s="299">
        <f t="shared" si="10"/>
        <v>0</v>
      </c>
      <c r="K35" s="299">
        <f t="shared" si="6"/>
        <v>0</v>
      </c>
      <c r="L35" s="314">
        <v>0</v>
      </c>
      <c r="M35" s="620">
        <f t="shared" si="9"/>
        <v>0</v>
      </c>
      <c r="N35" s="299">
        <f t="shared" si="11"/>
        <v>0</v>
      </c>
      <c r="O35" s="300">
        <f t="shared" si="7"/>
        <v>0</v>
      </c>
      <c r="P35" s="2"/>
      <c r="Q35" s="4"/>
      <c r="R35" s="2"/>
      <c r="S35" s="2"/>
    </row>
    <row r="36" spans="1:19" s="287" customFormat="1">
      <c r="A36" s="319">
        <f t="shared" si="1"/>
        <v>26</v>
      </c>
      <c r="B36" s="718" t="s">
        <v>930</v>
      </c>
      <c r="C36" s="298">
        <f t="shared" si="2"/>
        <v>0</v>
      </c>
      <c r="D36" s="298">
        <f t="shared" si="3"/>
        <v>0</v>
      </c>
      <c r="E36" s="298">
        <f t="shared" si="4"/>
        <v>0</v>
      </c>
      <c r="F36" s="298">
        <f t="shared" si="5"/>
        <v>0</v>
      </c>
      <c r="G36" s="319"/>
      <c r="H36" s="314">
        <v>0</v>
      </c>
      <c r="I36" s="620">
        <f t="shared" si="8"/>
        <v>0</v>
      </c>
      <c r="J36" s="299">
        <f t="shared" si="10"/>
        <v>0</v>
      </c>
      <c r="K36" s="299">
        <f t="shared" si="6"/>
        <v>0</v>
      </c>
      <c r="L36" s="314">
        <v>0</v>
      </c>
      <c r="M36" s="620">
        <f t="shared" si="9"/>
        <v>0</v>
      </c>
      <c r="N36" s="299">
        <f t="shared" si="11"/>
        <v>0</v>
      </c>
      <c r="O36" s="300">
        <f t="shared" si="7"/>
        <v>0</v>
      </c>
      <c r="P36" s="2"/>
      <c r="Q36" s="4"/>
      <c r="R36" s="2"/>
      <c r="S36" s="2"/>
    </row>
    <row r="37" spans="1:19" s="287" customFormat="1">
      <c r="A37" s="319">
        <f t="shared" si="1"/>
        <v>27</v>
      </c>
      <c r="B37" s="718" t="s">
        <v>930</v>
      </c>
      <c r="C37" s="298">
        <f t="shared" si="2"/>
        <v>0</v>
      </c>
      <c r="D37" s="298">
        <f t="shared" si="3"/>
        <v>0</v>
      </c>
      <c r="E37" s="298">
        <f t="shared" si="4"/>
        <v>0</v>
      </c>
      <c r="F37" s="298">
        <f t="shared" si="5"/>
        <v>0</v>
      </c>
      <c r="G37" s="319"/>
      <c r="H37" s="314">
        <v>0</v>
      </c>
      <c r="I37" s="620">
        <f t="shared" si="8"/>
        <v>0</v>
      </c>
      <c r="J37" s="299">
        <f t="shared" si="10"/>
        <v>0</v>
      </c>
      <c r="K37" s="299">
        <f t="shared" si="6"/>
        <v>0</v>
      </c>
      <c r="L37" s="314">
        <v>0</v>
      </c>
      <c r="M37" s="620">
        <f t="shared" si="9"/>
        <v>0</v>
      </c>
      <c r="N37" s="299">
        <f t="shared" si="11"/>
        <v>0</v>
      </c>
      <c r="O37" s="300">
        <f t="shared" si="7"/>
        <v>0</v>
      </c>
      <c r="P37" s="2"/>
      <c r="Q37" s="4"/>
      <c r="R37" s="2"/>
      <c r="S37" s="2"/>
    </row>
    <row r="38" spans="1:19" s="287" customFormat="1">
      <c r="A38" s="319">
        <f t="shared" si="1"/>
        <v>28</v>
      </c>
      <c r="B38" s="718" t="s">
        <v>930</v>
      </c>
      <c r="C38" s="298">
        <f t="shared" si="2"/>
        <v>0</v>
      </c>
      <c r="D38" s="298">
        <f t="shared" si="3"/>
        <v>0</v>
      </c>
      <c r="E38" s="298">
        <f t="shared" si="4"/>
        <v>0</v>
      </c>
      <c r="F38" s="298">
        <f t="shared" si="5"/>
        <v>0</v>
      </c>
      <c r="G38" s="319"/>
      <c r="H38" s="314">
        <v>0</v>
      </c>
      <c r="I38" s="620">
        <f t="shared" si="8"/>
        <v>0</v>
      </c>
      <c r="J38" s="299">
        <f t="shared" si="10"/>
        <v>0</v>
      </c>
      <c r="K38" s="299">
        <f t="shared" si="6"/>
        <v>0</v>
      </c>
      <c r="L38" s="314">
        <v>0</v>
      </c>
      <c r="M38" s="620">
        <f t="shared" si="9"/>
        <v>0</v>
      </c>
      <c r="N38" s="299">
        <f t="shared" si="11"/>
        <v>0</v>
      </c>
      <c r="O38" s="300">
        <f t="shared" si="7"/>
        <v>0</v>
      </c>
      <c r="P38" s="2"/>
      <c r="Q38" s="4"/>
      <c r="R38" s="2"/>
      <c r="S38" s="2"/>
    </row>
    <row r="39" spans="1:19" s="287" customFormat="1">
      <c r="A39" s="319">
        <f t="shared" si="1"/>
        <v>29</v>
      </c>
      <c r="B39" s="718" t="s">
        <v>930</v>
      </c>
      <c r="C39" s="298">
        <f t="shared" si="2"/>
        <v>0</v>
      </c>
      <c r="D39" s="298">
        <f t="shared" si="3"/>
        <v>0</v>
      </c>
      <c r="E39" s="298">
        <f t="shared" si="4"/>
        <v>0</v>
      </c>
      <c r="F39" s="298">
        <f t="shared" si="5"/>
        <v>0</v>
      </c>
      <c r="G39" s="319"/>
      <c r="H39" s="314">
        <v>0</v>
      </c>
      <c r="I39" s="620">
        <f t="shared" si="8"/>
        <v>0</v>
      </c>
      <c r="J39" s="299">
        <f t="shared" si="10"/>
        <v>0</v>
      </c>
      <c r="K39" s="299">
        <f t="shared" si="6"/>
        <v>0</v>
      </c>
      <c r="L39" s="314">
        <v>0</v>
      </c>
      <c r="M39" s="620">
        <f t="shared" si="9"/>
        <v>0</v>
      </c>
      <c r="N39" s="299">
        <f t="shared" si="11"/>
        <v>0</v>
      </c>
      <c r="O39" s="300">
        <f t="shared" si="7"/>
        <v>0</v>
      </c>
      <c r="P39" s="2"/>
      <c r="Q39" s="4"/>
      <c r="R39" s="2"/>
      <c r="S39" s="2"/>
    </row>
    <row r="40" spans="1:19" s="287" customFormat="1">
      <c r="A40" s="319">
        <f t="shared" si="1"/>
        <v>30</v>
      </c>
      <c r="B40" s="718" t="s">
        <v>930</v>
      </c>
      <c r="C40" s="298">
        <f t="shared" si="2"/>
        <v>0</v>
      </c>
      <c r="D40" s="298">
        <f t="shared" si="3"/>
        <v>0</v>
      </c>
      <c r="E40" s="298">
        <f t="shared" si="4"/>
        <v>0</v>
      </c>
      <c r="F40" s="298">
        <f t="shared" si="5"/>
        <v>0</v>
      </c>
      <c r="G40" s="319"/>
      <c r="H40" s="314">
        <v>0</v>
      </c>
      <c r="I40" s="620">
        <f t="shared" si="8"/>
        <v>0</v>
      </c>
      <c r="J40" s="299">
        <f t="shared" si="10"/>
        <v>0</v>
      </c>
      <c r="K40" s="299">
        <f t="shared" si="6"/>
        <v>0</v>
      </c>
      <c r="L40" s="314">
        <v>0</v>
      </c>
      <c r="M40" s="620">
        <f t="shared" si="9"/>
        <v>0</v>
      </c>
      <c r="N40" s="299">
        <f t="shared" si="11"/>
        <v>0</v>
      </c>
      <c r="O40" s="300">
        <f t="shared" si="7"/>
        <v>0</v>
      </c>
      <c r="P40" s="2"/>
      <c r="Q40" s="4"/>
      <c r="R40" s="2"/>
      <c r="S40" s="2"/>
    </row>
    <row r="41" spans="1:19" s="287" customFormat="1">
      <c r="A41" s="319">
        <f t="shared" si="1"/>
        <v>31</v>
      </c>
      <c r="B41" s="718" t="s">
        <v>930</v>
      </c>
      <c r="C41" s="298">
        <f t="shared" si="2"/>
        <v>0</v>
      </c>
      <c r="D41" s="298">
        <f t="shared" si="3"/>
        <v>0</v>
      </c>
      <c r="E41" s="298">
        <f t="shared" si="4"/>
        <v>0</v>
      </c>
      <c r="F41" s="298">
        <f t="shared" si="5"/>
        <v>0</v>
      </c>
      <c r="G41" s="319"/>
      <c r="H41" s="314">
        <v>0</v>
      </c>
      <c r="I41" s="620">
        <f t="shared" si="8"/>
        <v>0</v>
      </c>
      <c r="J41" s="299">
        <f t="shared" si="10"/>
        <v>0</v>
      </c>
      <c r="K41" s="299">
        <f t="shared" si="6"/>
        <v>0</v>
      </c>
      <c r="L41" s="314">
        <v>0</v>
      </c>
      <c r="M41" s="620">
        <f t="shared" si="9"/>
        <v>0</v>
      </c>
      <c r="N41" s="299">
        <f t="shared" si="11"/>
        <v>0</v>
      </c>
      <c r="O41" s="300">
        <f t="shared" si="7"/>
        <v>0</v>
      </c>
      <c r="P41" s="2"/>
      <c r="Q41" s="4"/>
      <c r="R41" s="2"/>
      <c r="S41" s="2"/>
    </row>
    <row r="42" spans="1:19" s="287" customFormat="1">
      <c r="A42" s="319">
        <f t="shared" si="1"/>
        <v>32</v>
      </c>
      <c r="B42" s="718" t="s">
        <v>930</v>
      </c>
      <c r="C42" s="298">
        <f t="shared" si="2"/>
        <v>0</v>
      </c>
      <c r="D42" s="298">
        <f t="shared" si="3"/>
        <v>0</v>
      </c>
      <c r="E42" s="298">
        <f t="shared" si="4"/>
        <v>0</v>
      </c>
      <c r="F42" s="298">
        <f t="shared" si="5"/>
        <v>0</v>
      </c>
      <c r="G42" s="319"/>
      <c r="H42" s="314">
        <v>0</v>
      </c>
      <c r="I42" s="620">
        <f t="shared" si="8"/>
        <v>0</v>
      </c>
      <c r="J42" s="299">
        <f t="shared" si="10"/>
        <v>0</v>
      </c>
      <c r="K42" s="299">
        <f t="shared" si="6"/>
        <v>0</v>
      </c>
      <c r="L42" s="314">
        <v>0</v>
      </c>
      <c r="M42" s="620">
        <f t="shared" si="9"/>
        <v>0</v>
      </c>
      <c r="N42" s="299">
        <f t="shared" si="11"/>
        <v>0</v>
      </c>
      <c r="O42" s="300">
        <f t="shared" si="7"/>
        <v>0</v>
      </c>
      <c r="P42" s="2"/>
      <c r="Q42" s="4"/>
      <c r="R42" s="2"/>
      <c r="S42" s="2"/>
    </row>
    <row r="43" spans="1:19" s="287" customFormat="1">
      <c r="A43" s="296"/>
      <c r="B43" s="319"/>
      <c r="G43" s="319"/>
      <c r="H43" s="301"/>
      <c r="I43" s="302"/>
      <c r="J43" s="302"/>
      <c r="K43" s="302"/>
      <c r="L43" s="303"/>
      <c r="M43" s="302"/>
      <c r="N43" s="304"/>
      <c r="O43" s="305"/>
      <c r="P43" s="2"/>
      <c r="Q43" s="4"/>
      <c r="R43" s="2"/>
      <c r="S43" s="2"/>
    </row>
    <row r="44" spans="1:19" s="287" customFormat="1">
      <c r="A44" s="321" t="s">
        <v>155</v>
      </c>
      <c r="B44" s="319"/>
      <c r="G44" s="319"/>
      <c r="H44" s="306"/>
      <c r="I44" s="306"/>
      <c r="J44" s="306"/>
      <c r="K44" s="306"/>
      <c r="L44" s="307"/>
      <c r="M44" s="306"/>
      <c r="N44" s="308"/>
      <c r="O44" s="308"/>
      <c r="P44" s="2"/>
      <c r="Q44" s="4"/>
      <c r="R44" s="2"/>
      <c r="S44" s="2"/>
    </row>
    <row r="45" spans="1:19" s="287" customFormat="1">
      <c r="A45" s="296" t="s">
        <v>76</v>
      </c>
      <c r="B45" s="320" t="s">
        <v>537</v>
      </c>
      <c r="G45" s="319"/>
      <c r="H45" s="306"/>
      <c r="I45" s="306"/>
      <c r="J45" s="306"/>
      <c r="K45" s="306"/>
      <c r="L45" s="307"/>
      <c r="M45" s="306"/>
      <c r="N45" s="308"/>
      <c r="O45" s="308"/>
      <c r="P45" s="2"/>
      <c r="Q45" s="4"/>
      <c r="R45" s="2"/>
      <c r="S45" s="2"/>
    </row>
    <row r="46" spans="1:19" s="16" customFormat="1" ht="15" customHeight="1">
      <c r="A46" s="296" t="s">
        <v>77</v>
      </c>
      <c r="B46" s="320" t="s">
        <v>538</v>
      </c>
      <c r="C46" s="37"/>
      <c r="D46" s="37"/>
      <c r="E46" s="37"/>
      <c r="F46" s="37"/>
      <c r="G46" s="318"/>
      <c r="H46" s="2"/>
      <c r="I46" s="2"/>
      <c r="P46" s="2"/>
      <c r="Q46" s="4"/>
      <c r="R46" s="2"/>
      <c r="S46" s="2"/>
    </row>
    <row r="47" spans="1:19" s="16" customFormat="1" ht="27.6" customHeight="1">
      <c r="A47" s="296" t="s">
        <v>78</v>
      </c>
      <c r="B47" s="954" t="s">
        <v>1266</v>
      </c>
      <c r="C47" s="954"/>
      <c r="D47" s="954"/>
      <c r="E47" s="954"/>
      <c r="F47" s="954"/>
      <c r="G47" s="954"/>
      <c r="H47" s="954"/>
      <c r="I47" s="954"/>
      <c r="J47" s="954"/>
      <c r="K47" s="954"/>
      <c r="L47" s="954"/>
      <c r="M47" s="954"/>
      <c r="N47" s="954"/>
      <c r="O47" s="954"/>
      <c r="P47" s="2"/>
      <c r="Q47" s="4"/>
      <c r="R47" s="2"/>
      <c r="S47" s="2"/>
    </row>
    <row r="48" spans="1:19" ht="15" customHeight="1">
      <c r="A48" s="296" t="s">
        <v>79</v>
      </c>
      <c r="B48" s="320" t="s">
        <v>797</v>
      </c>
      <c r="C48" s="37"/>
      <c r="D48" s="37"/>
      <c r="E48" s="37"/>
      <c r="F48" s="37"/>
      <c r="G48" s="318"/>
    </row>
    <row r="49" spans="1:7" ht="15" customHeight="1">
      <c r="A49" s="35"/>
      <c r="B49" s="36"/>
      <c r="C49" s="37"/>
      <c r="D49" s="37"/>
      <c r="E49" s="37"/>
      <c r="F49" s="37"/>
      <c r="G49" s="318"/>
    </row>
    <row r="50" spans="1:7" ht="15" customHeight="1">
      <c r="A50" s="35"/>
      <c r="B50" s="36"/>
      <c r="C50" s="37"/>
      <c r="D50" s="37"/>
      <c r="E50" s="37"/>
      <c r="F50" s="37"/>
      <c r="G50" s="318"/>
    </row>
    <row r="51" spans="1:7" ht="15" customHeight="1">
      <c r="A51" s="35"/>
      <c r="B51" s="36"/>
      <c r="C51" s="37"/>
      <c r="D51" s="37"/>
      <c r="E51" s="37"/>
      <c r="F51" s="37"/>
      <c r="G51" s="318"/>
    </row>
    <row r="52" spans="1:7" ht="15" customHeight="1">
      <c r="A52" s="35"/>
      <c r="B52" s="36"/>
      <c r="C52" s="37"/>
      <c r="D52" s="37"/>
      <c r="E52" s="37"/>
      <c r="F52" s="37"/>
      <c r="G52" s="318"/>
    </row>
    <row r="53" spans="1:7" ht="15" customHeight="1">
      <c r="A53" s="35"/>
      <c r="B53" s="36"/>
      <c r="C53" s="37"/>
      <c r="D53" s="37"/>
      <c r="E53" s="37"/>
      <c r="F53" s="37"/>
      <c r="G53" s="318"/>
    </row>
    <row r="54" spans="1:7">
      <c r="A54" s="35"/>
      <c r="B54" s="36"/>
      <c r="C54" s="37"/>
      <c r="D54" s="37"/>
      <c r="E54" s="37"/>
      <c r="F54" s="37"/>
      <c r="G54" s="318"/>
    </row>
    <row r="55" spans="1:7">
      <c r="A55" s="35"/>
      <c r="B55" s="36"/>
      <c r="C55" s="37"/>
      <c r="D55" s="37"/>
      <c r="E55" s="37"/>
      <c r="F55" s="37"/>
      <c r="G55" s="318"/>
    </row>
    <row r="56" spans="1:7">
      <c r="A56" s="35"/>
      <c r="B56" s="36"/>
      <c r="C56" s="37"/>
      <c r="D56" s="37"/>
      <c r="E56" s="37"/>
      <c r="F56" s="37"/>
      <c r="G56" s="318"/>
    </row>
    <row r="57" spans="1:7">
      <c r="A57" s="35"/>
      <c r="B57" s="36"/>
      <c r="C57" s="37"/>
      <c r="D57" s="37"/>
      <c r="E57" s="37"/>
      <c r="F57" s="37"/>
      <c r="G57" s="318"/>
    </row>
    <row r="58" spans="1:7">
      <c r="A58" s="35"/>
      <c r="B58" s="36"/>
      <c r="C58" s="37"/>
      <c r="D58" s="37"/>
      <c r="E58" s="37"/>
      <c r="F58" s="37"/>
      <c r="G58" s="318"/>
    </row>
    <row r="59" spans="1:7">
      <c r="A59" s="35"/>
      <c r="B59" s="36"/>
      <c r="C59" s="37"/>
      <c r="D59" s="37"/>
      <c r="E59" s="37"/>
      <c r="F59" s="37"/>
      <c r="G59" s="318"/>
    </row>
    <row r="60" spans="1:7">
      <c r="A60" s="35"/>
      <c r="B60" s="36"/>
      <c r="C60" s="37"/>
      <c r="D60" s="37"/>
      <c r="E60" s="37"/>
      <c r="F60" s="37"/>
      <c r="G60" s="318"/>
    </row>
    <row r="61" spans="1:7">
      <c r="A61" s="35"/>
      <c r="B61" s="36"/>
      <c r="C61" s="37"/>
      <c r="D61" s="37"/>
      <c r="E61" s="37"/>
      <c r="F61" s="37"/>
      <c r="G61" s="318"/>
    </row>
    <row r="62" spans="1:7">
      <c r="A62" s="35"/>
      <c r="B62" s="36"/>
      <c r="C62" s="37"/>
      <c r="D62" s="37"/>
      <c r="E62" s="37"/>
      <c r="F62" s="37"/>
      <c r="G62" s="318"/>
    </row>
    <row r="63" spans="1:7">
      <c r="A63" s="35"/>
      <c r="B63" s="36"/>
      <c r="C63" s="37"/>
      <c r="D63" s="37"/>
      <c r="E63" s="37"/>
      <c r="F63" s="37"/>
      <c r="G63" s="318"/>
    </row>
    <row r="64" spans="1:7">
      <c r="A64" s="35"/>
      <c r="B64" s="36"/>
      <c r="C64" s="37"/>
      <c r="D64" s="37"/>
      <c r="E64" s="37"/>
      <c r="F64" s="37"/>
      <c r="G64" s="318"/>
    </row>
    <row r="87" spans="1:17">
      <c r="J87" s="3"/>
    </row>
    <row r="88" spans="1:17">
      <c r="J88" s="3"/>
      <c r="L88" s="6"/>
    </row>
    <row r="89" spans="1:17">
      <c r="J89" s="3"/>
    </row>
    <row r="92" spans="1:17" ht="102" customHeight="1"/>
    <row r="93" spans="1:17" s="16" customFormat="1">
      <c r="A93" s="1"/>
      <c r="B93" s="28"/>
      <c r="C93" s="2"/>
      <c r="D93" s="2"/>
      <c r="E93" s="2"/>
      <c r="F93" s="2"/>
      <c r="G93" s="28"/>
      <c r="H93" s="2"/>
      <c r="I93" s="2"/>
      <c r="Q93" s="15"/>
    </row>
    <row r="94" spans="1:17" s="16" customFormat="1" ht="63.75" customHeight="1">
      <c r="A94" s="1"/>
      <c r="B94" s="28"/>
      <c r="C94" s="2"/>
      <c r="D94" s="2"/>
      <c r="E94" s="2"/>
      <c r="F94" s="2"/>
      <c r="G94" s="28"/>
      <c r="H94" s="2"/>
      <c r="I94" s="2"/>
      <c r="Q94" s="15"/>
    </row>
    <row r="110" spans="1:17" s="16" customFormat="1">
      <c r="A110" s="1"/>
      <c r="B110" s="28"/>
      <c r="C110" s="2"/>
      <c r="D110" s="2"/>
      <c r="E110" s="2"/>
      <c r="F110" s="2"/>
      <c r="G110" s="28"/>
      <c r="H110" s="2"/>
      <c r="I110" s="2"/>
      <c r="J110" s="2"/>
      <c r="Q110" s="15"/>
    </row>
    <row r="111" spans="1:17" s="16" customFormat="1">
      <c r="A111" s="1"/>
      <c r="B111" s="28"/>
      <c r="C111" s="2"/>
      <c r="D111" s="2"/>
      <c r="E111" s="2"/>
      <c r="F111" s="2"/>
      <c r="G111" s="28"/>
      <c r="H111" s="2"/>
      <c r="I111" s="2"/>
      <c r="J111" s="2"/>
      <c r="K111" s="2"/>
      <c r="L111" s="2"/>
      <c r="Q111" s="15"/>
    </row>
    <row r="112" spans="1:17" s="16" customFormat="1">
      <c r="A112" s="1"/>
      <c r="B112" s="28"/>
      <c r="C112" s="2"/>
      <c r="D112" s="2"/>
      <c r="E112" s="2"/>
      <c r="F112" s="2"/>
      <c r="G112" s="28"/>
      <c r="H112" s="2"/>
      <c r="I112" s="2"/>
      <c r="J112" s="2"/>
      <c r="L112" s="2"/>
      <c r="Q112" s="15"/>
    </row>
    <row r="113" spans="1:17" s="16" customFormat="1" ht="82.5" customHeight="1">
      <c r="A113" s="1"/>
      <c r="B113" s="28"/>
      <c r="C113" s="2"/>
      <c r="D113" s="2"/>
      <c r="E113" s="2"/>
      <c r="F113" s="2"/>
      <c r="G113" s="28"/>
      <c r="H113" s="2"/>
      <c r="I113" s="2"/>
      <c r="J113" s="30"/>
      <c r="K113" s="30"/>
      <c r="L113" s="30"/>
      <c r="Q113" s="15"/>
    </row>
    <row r="114" spans="1:17" s="16" customFormat="1">
      <c r="A114" s="1"/>
      <c r="B114" s="28"/>
      <c r="C114" s="2"/>
      <c r="D114" s="2"/>
      <c r="E114" s="2"/>
      <c r="F114" s="2"/>
      <c r="G114" s="28"/>
      <c r="H114" s="2"/>
      <c r="I114" s="2"/>
      <c r="J114" s="2"/>
      <c r="K114" s="2"/>
      <c r="L114" s="2"/>
      <c r="Q114" s="15"/>
    </row>
    <row r="115" spans="1:17" s="16" customFormat="1">
      <c r="A115" s="1"/>
      <c r="B115" s="28"/>
      <c r="C115" s="2"/>
      <c r="D115" s="2"/>
      <c r="E115" s="2"/>
      <c r="F115" s="2"/>
      <c r="G115" s="28"/>
      <c r="H115" s="2"/>
      <c r="I115" s="2"/>
      <c r="J115" s="2"/>
      <c r="K115" s="2"/>
      <c r="L115" s="2"/>
      <c r="Q115" s="15"/>
    </row>
    <row r="116" spans="1:17" s="16" customFormat="1">
      <c r="A116" s="1"/>
      <c r="B116" s="28"/>
      <c r="C116" s="2"/>
      <c r="D116" s="2"/>
      <c r="E116" s="2"/>
      <c r="F116" s="2"/>
      <c r="G116" s="28"/>
      <c r="H116" s="2"/>
      <c r="I116" s="2"/>
      <c r="J116" s="2"/>
      <c r="K116" s="2"/>
      <c r="L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c r="A119" s="1"/>
      <c r="B119" s="28"/>
      <c r="C119" s="2"/>
      <c r="D119" s="2"/>
      <c r="E119" s="2"/>
      <c r="F119" s="2"/>
      <c r="G119" s="28"/>
      <c r="H119" s="2"/>
      <c r="I119" s="2"/>
      <c r="J119" s="2"/>
      <c r="K119" s="2"/>
      <c r="L119" s="2"/>
      <c r="Q119" s="15"/>
    </row>
    <row r="120" spans="1:17" s="16" customFormat="1">
      <c r="A120" s="1"/>
      <c r="B120" s="28"/>
      <c r="C120" s="2"/>
      <c r="D120" s="2"/>
      <c r="E120" s="2"/>
      <c r="F120" s="2"/>
      <c r="G120" s="28"/>
      <c r="H120" s="2"/>
      <c r="I120" s="2"/>
      <c r="J120" s="2"/>
      <c r="K120" s="2"/>
      <c r="Q120" s="15"/>
    </row>
    <row r="121" spans="1:17" s="16" customFormat="1">
      <c r="A121" s="1"/>
      <c r="B121" s="28"/>
      <c r="C121" s="2"/>
      <c r="D121" s="2"/>
      <c r="E121" s="2"/>
      <c r="F121" s="2"/>
      <c r="G121" s="28"/>
      <c r="H121" s="2"/>
      <c r="I121" s="2"/>
      <c r="J121" s="2"/>
      <c r="K121" s="2"/>
      <c r="Q121" s="15"/>
    </row>
    <row r="123" spans="1:17" ht="15" customHeight="1">
      <c r="J123" s="280"/>
      <c r="K123" s="280"/>
    </row>
    <row r="124" spans="1:17" ht="15" customHeight="1">
      <c r="J124" s="280"/>
      <c r="K124" s="280"/>
      <c r="L124" s="6"/>
    </row>
    <row r="125" spans="1:17" ht="30.75" customHeight="1">
      <c r="J125" s="38"/>
      <c r="K125" s="38"/>
    </row>
    <row r="126" spans="1:17">
      <c r="J126" s="38"/>
      <c r="K126" s="38"/>
    </row>
    <row r="127" spans="1:17">
      <c r="J127" s="39"/>
      <c r="K127" s="39"/>
      <c r="L127" s="39"/>
      <c r="M127" s="39"/>
    </row>
    <row r="129" spans="10:14" ht="30.75" customHeight="1">
      <c r="J129" s="281"/>
      <c r="K129" s="281"/>
      <c r="L129" s="281"/>
      <c r="M129" s="281"/>
      <c r="N129" s="281"/>
    </row>
    <row r="130" spans="10:14" ht="15" customHeight="1">
      <c r="J130" s="281"/>
      <c r="K130" s="281"/>
    </row>
    <row r="131" spans="10:14" ht="82.5" customHeight="1">
      <c r="J131" s="281"/>
      <c r="K131" s="281"/>
      <c r="L131" s="281"/>
      <c r="M131" s="281"/>
      <c r="N131" s="281"/>
    </row>
    <row r="132" spans="10:14" ht="15" customHeight="1">
      <c r="J132" s="41"/>
      <c r="K132" s="41"/>
    </row>
    <row r="133" spans="10:14">
      <c r="J133" s="41"/>
      <c r="K133" s="41"/>
    </row>
    <row r="134" spans="10:14" ht="69.75" customHeight="1">
      <c r="J134" s="41"/>
      <c r="K134" s="41"/>
    </row>
  </sheetData>
  <mergeCells count="5">
    <mergeCell ref="C14:F14"/>
    <mergeCell ref="A1:O1"/>
    <mergeCell ref="A2:O2"/>
    <mergeCell ref="A3:O3"/>
    <mergeCell ref="B47:O47"/>
  </mergeCells>
  <pageMargins left="0.5" right="0.25" top="1" bottom="1" header="0.5" footer="0.5"/>
  <pageSetup scale="58" fitToHeight="2" orientation="portrait" r:id="rId1"/>
  <headerFooter alignWithMargins="0">
    <oddHeader xml:space="preserve">&amp;C&amp;"Times New Roman,Regular"&amp;KFF0000CUI//PRIV&amp;K000000
FOR SETTLEMENT PURPOSES ONLY 
SUBJECT TO RULES 602 AND 606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K25"/>
  <sheetViews>
    <sheetView zoomScale="80" zoomScaleNormal="80" workbookViewId="0">
      <selection activeCell="L14" sqref="L14"/>
    </sheetView>
  </sheetViews>
  <sheetFormatPr defaultColWidth="7.08984375" defaultRowHeight="13.2"/>
  <cols>
    <col min="1" max="1" width="2.08984375" style="190" customWidth="1"/>
    <col min="2" max="2" width="4.6328125" style="190" customWidth="1"/>
    <col min="3" max="3" width="17.453125" style="190" customWidth="1"/>
    <col min="4" max="4" width="36.6328125" style="190" bestFit="1" customWidth="1"/>
    <col min="5" max="5" width="10.453125" style="190" customWidth="1"/>
    <col min="6" max="6" width="7.1796875" style="190" customWidth="1"/>
    <col min="7" max="7" width="7.54296875" style="190" customWidth="1"/>
    <col min="8" max="8" width="9.1796875" style="205" customWidth="1"/>
    <col min="9" max="9" width="8.1796875" style="190" customWidth="1"/>
    <col min="10" max="256" width="7.08984375" style="190"/>
    <col min="257" max="257" width="10.1796875" style="190" customWidth="1"/>
    <col min="258" max="258" width="3.54296875" style="190" customWidth="1"/>
    <col min="259" max="260" width="1.6328125" style="190" customWidth="1"/>
    <col min="261" max="261" width="4" style="190" customWidth="1"/>
    <col min="262" max="262" width="24.1796875" style="190" customWidth="1"/>
    <col min="263" max="263" width="1.6328125" style="190" customWidth="1"/>
    <col min="264" max="265" width="8.1796875" style="190" customWidth="1"/>
    <col min="266" max="512" width="7.08984375" style="190"/>
    <col min="513" max="513" width="10.1796875" style="190" customWidth="1"/>
    <col min="514" max="514" width="3.54296875" style="190" customWidth="1"/>
    <col min="515" max="516" width="1.6328125" style="190" customWidth="1"/>
    <col min="517" max="517" width="4" style="190" customWidth="1"/>
    <col min="518" max="518" width="24.1796875" style="190" customWidth="1"/>
    <col min="519" max="519" width="1.6328125" style="190" customWidth="1"/>
    <col min="520" max="521" width="8.1796875" style="190" customWidth="1"/>
    <col min="522" max="768" width="7.08984375" style="190"/>
    <col min="769" max="769" width="10.1796875" style="190" customWidth="1"/>
    <col min="770" max="770" width="3.54296875" style="190" customWidth="1"/>
    <col min="771" max="772" width="1.6328125" style="190" customWidth="1"/>
    <col min="773" max="773" width="4" style="190" customWidth="1"/>
    <col min="774" max="774" width="24.1796875" style="190" customWidth="1"/>
    <col min="775" max="775" width="1.6328125" style="190" customWidth="1"/>
    <col min="776" max="777" width="8.1796875" style="190" customWidth="1"/>
    <col min="778" max="1024" width="7.08984375" style="190"/>
    <col min="1025" max="1025" width="10.1796875" style="190" customWidth="1"/>
    <col min="1026" max="1026" width="3.54296875" style="190" customWidth="1"/>
    <col min="1027" max="1028" width="1.6328125" style="190" customWidth="1"/>
    <col min="1029" max="1029" width="4" style="190" customWidth="1"/>
    <col min="1030" max="1030" width="24.1796875" style="190" customWidth="1"/>
    <col min="1031" max="1031" width="1.6328125" style="190" customWidth="1"/>
    <col min="1032" max="1033" width="8.1796875" style="190" customWidth="1"/>
    <col min="1034" max="1280" width="7.08984375" style="190"/>
    <col min="1281" max="1281" width="10.1796875" style="190" customWidth="1"/>
    <col min="1282" max="1282" width="3.54296875" style="190" customWidth="1"/>
    <col min="1283" max="1284" width="1.6328125" style="190" customWidth="1"/>
    <col min="1285" max="1285" width="4" style="190" customWidth="1"/>
    <col min="1286" max="1286" width="24.1796875" style="190" customWidth="1"/>
    <col min="1287" max="1287" width="1.6328125" style="190" customWidth="1"/>
    <col min="1288" max="1289" width="8.1796875" style="190" customWidth="1"/>
    <col min="1290" max="1536" width="7.08984375" style="190"/>
    <col min="1537" max="1537" width="10.1796875" style="190" customWidth="1"/>
    <col min="1538" max="1538" width="3.54296875" style="190" customWidth="1"/>
    <col min="1539" max="1540" width="1.6328125" style="190" customWidth="1"/>
    <col min="1541" max="1541" width="4" style="190" customWidth="1"/>
    <col min="1542" max="1542" width="24.1796875" style="190" customWidth="1"/>
    <col min="1543" max="1543" width="1.6328125" style="190" customWidth="1"/>
    <col min="1544" max="1545" width="8.1796875" style="190" customWidth="1"/>
    <col min="1546" max="1792" width="7.08984375" style="190"/>
    <col min="1793" max="1793" width="10.1796875" style="190" customWidth="1"/>
    <col min="1794" max="1794" width="3.54296875" style="190" customWidth="1"/>
    <col min="1795" max="1796" width="1.6328125" style="190" customWidth="1"/>
    <col min="1797" max="1797" width="4" style="190" customWidth="1"/>
    <col min="1798" max="1798" width="24.1796875" style="190" customWidth="1"/>
    <col min="1799" max="1799" width="1.6328125" style="190" customWidth="1"/>
    <col min="1800" max="1801" width="8.1796875" style="190" customWidth="1"/>
    <col min="1802" max="2048" width="7.08984375" style="190"/>
    <col min="2049" max="2049" width="10.1796875" style="190" customWidth="1"/>
    <col min="2050" max="2050" width="3.54296875" style="190" customWidth="1"/>
    <col min="2051" max="2052" width="1.6328125" style="190" customWidth="1"/>
    <col min="2053" max="2053" width="4" style="190" customWidth="1"/>
    <col min="2054" max="2054" width="24.1796875" style="190" customWidth="1"/>
    <col min="2055" max="2055" width="1.6328125" style="190" customWidth="1"/>
    <col min="2056" max="2057" width="8.1796875" style="190" customWidth="1"/>
    <col min="2058" max="2304" width="7.08984375" style="190"/>
    <col min="2305" max="2305" width="10.1796875" style="190" customWidth="1"/>
    <col min="2306" max="2306" width="3.54296875" style="190" customWidth="1"/>
    <col min="2307" max="2308" width="1.6328125" style="190" customWidth="1"/>
    <col min="2309" max="2309" width="4" style="190" customWidth="1"/>
    <col min="2310" max="2310" width="24.1796875" style="190" customWidth="1"/>
    <col min="2311" max="2311" width="1.6328125" style="190" customWidth="1"/>
    <col min="2312" max="2313" width="8.1796875" style="190" customWidth="1"/>
    <col min="2314" max="2560" width="7.08984375" style="190"/>
    <col min="2561" max="2561" width="10.1796875" style="190" customWidth="1"/>
    <col min="2562" max="2562" width="3.54296875" style="190" customWidth="1"/>
    <col min="2563" max="2564" width="1.6328125" style="190" customWidth="1"/>
    <col min="2565" max="2565" width="4" style="190" customWidth="1"/>
    <col min="2566" max="2566" width="24.1796875" style="190" customWidth="1"/>
    <col min="2567" max="2567" width="1.6328125" style="190" customWidth="1"/>
    <col min="2568" max="2569" width="8.1796875" style="190" customWidth="1"/>
    <col min="2570" max="2816" width="7.08984375" style="190"/>
    <col min="2817" max="2817" width="10.1796875" style="190" customWidth="1"/>
    <col min="2818" max="2818" width="3.54296875" style="190" customWidth="1"/>
    <col min="2819" max="2820" width="1.6328125" style="190" customWidth="1"/>
    <col min="2821" max="2821" width="4" style="190" customWidth="1"/>
    <col min="2822" max="2822" width="24.1796875" style="190" customWidth="1"/>
    <col min="2823" max="2823" width="1.6328125" style="190" customWidth="1"/>
    <col min="2824" max="2825" width="8.1796875" style="190" customWidth="1"/>
    <col min="2826" max="3072" width="7.08984375" style="190"/>
    <col min="3073" max="3073" width="10.1796875" style="190" customWidth="1"/>
    <col min="3074" max="3074" width="3.54296875" style="190" customWidth="1"/>
    <col min="3075" max="3076" width="1.6328125" style="190" customWidth="1"/>
    <col min="3077" max="3077" width="4" style="190" customWidth="1"/>
    <col min="3078" max="3078" width="24.1796875" style="190" customWidth="1"/>
    <col min="3079" max="3079" width="1.6328125" style="190" customWidth="1"/>
    <col min="3080" max="3081" width="8.1796875" style="190" customWidth="1"/>
    <col min="3082" max="3328" width="7.08984375" style="190"/>
    <col min="3329" max="3329" width="10.1796875" style="190" customWidth="1"/>
    <col min="3330" max="3330" width="3.54296875" style="190" customWidth="1"/>
    <col min="3331" max="3332" width="1.6328125" style="190" customWidth="1"/>
    <col min="3333" max="3333" width="4" style="190" customWidth="1"/>
    <col min="3334" max="3334" width="24.1796875" style="190" customWidth="1"/>
    <col min="3335" max="3335" width="1.6328125" style="190" customWidth="1"/>
    <col min="3336" max="3337" width="8.1796875" style="190" customWidth="1"/>
    <col min="3338" max="3584" width="7.08984375" style="190"/>
    <col min="3585" max="3585" width="10.1796875" style="190" customWidth="1"/>
    <col min="3586" max="3586" width="3.54296875" style="190" customWidth="1"/>
    <col min="3587" max="3588" width="1.6328125" style="190" customWidth="1"/>
    <col min="3589" max="3589" width="4" style="190" customWidth="1"/>
    <col min="3590" max="3590" width="24.1796875" style="190" customWidth="1"/>
    <col min="3591" max="3591" width="1.6328125" style="190" customWidth="1"/>
    <col min="3592" max="3593" width="8.1796875" style="190" customWidth="1"/>
    <col min="3594" max="3840" width="7.08984375" style="190"/>
    <col min="3841" max="3841" width="10.1796875" style="190" customWidth="1"/>
    <col min="3842" max="3842" width="3.54296875" style="190" customWidth="1"/>
    <col min="3843" max="3844" width="1.6328125" style="190" customWidth="1"/>
    <col min="3845" max="3845" width="4" style="190" customWidth="1"/>
    <col min="3846" max="3846" width="24.1796875" style="190" customWidth="1"/>
    <col min="3847" max="3847" width="1.6328125" style="190" customWidth="1"/>
    <col min="3848" max="3849" width="8.1796875" style="190" customWidth="1"/>
    <col min="3850" max="4096" width="7.08984375" style="190"/>
    <col min="4097" max="4097" width="10.1796875" style="190" customWidth="1"/>
    <col min="4098" max="4098" width="3.54296875" style="190" customWidth="1"/>
    <col min="4099" max="4100" width="1.6328125" style="190" customWidth="1"/>
    <col min="4101" max="4101" width="4" style="190" customWidth="1"/>
    <col min="4102" max="4102" width="24.1796875" style="190" customWidth="1"/>
    <col min="4103" max="4103" width="1.6328125" style="190" customWidth="1"/>
    <col min="4104" max="4105" width="8.1796875" style="190" customWidth="1"/>
    <col min="4106" max="4352" width="7.08984375" style="190"/>
    <col min="4353" max="4353" width="10.1796875" style="190" customWidth="1"/>
    <col min="4354" max="4354" width="3.54296875" style="190" customWidth="1"/>
    <col min="4355" max="4356" width="1.6328125" style="190" customWidth="1"/>
    <col min="4357" max="4357" width="4" style="190" customWidth="1"/>
    <col min="4358" max="4358" width="24.1796875" style="190" customWidth="1"/>
    <col min="4359" max="4359" width="1.6328125" style="190" customWidth="1"/>
    <col min="4360" max="4361" width="8.1796875" style="190" customWidth="1"/>
    <col min="4362" max="4608" width="7.08984375" style="190"/>
    <col min="4609" max="4609" width="10.1796875" style="190" customWidth="1"/>
    <col min="4610" max="4610" width="3.54296875" style="190" customWidth="1"/>
    <col min="4611" max="4612" width="1.6328125" style="190" customWidth="1"/>
    <col min="4613" max="4613" width="4" style="190" customWidth="1"/>
    <col min="4614" max="4614" width="24.1796875" style="190" customWidth="1"/>
    <col min="4615" max="4615" width="1.6328125" style="190" customWidth="1"/>
    <col min="4616" max="4617" width="8.1796875" style="190" customWidth="1"/>
    <col min="4618" max="4864" width="7.08984375" style="190"/>
    <col min="4865" max="4865" width="10.1796875" style="190" customWidth="1"/>
    <col min="4866" max="4866" width="3.54296875" style="190" customWidth="1"/>
    <col min="4867" max="4868" width="1.6328125" style="190" customWidth="1"/>
    <col min="4869" max="4869" width="4" style="190" customWidth="1"/>
    <col min="4870" max="4870" width="24.1796875" style="190" customWidth="1"/>
    <col min="4871" max="4871" width="1.6328125" style="190" customWidth="1"/>
    <col min="4872" max="4873" width="8.1796875" style="190" customWidth="1"/>
    <col min="4874" max="5120" width="7.08984375" style="190"/>
    <col min="5121" max="5121" width="10.1796875" style="190" customWidth="1"/>
    <col min="5122" max="5122" width="3.54296875" style="190" customWidth="1"/>
    <col min="5123" max="5124" width="1.6328125" style="190" customWidth="1"/>
    <col min="5125" max="5125" width="4" style="190" customWidth="1"/>
    <col min="5126" max="5126" width="24.1796875" style="190" customWidth="1"/>
    <col min="5127" max="5127" width="1.6328125" style="190" customWidth="1"/>
    <col min="5128" max="5129" width="8.1796875" style="190" customWidth="1"/>
    <col min="5130" max="5376" width="7.08984375" style="190"/>
    <col min="5377" max="5377" width="10.1796875" style="190" customWidth="1"/>
    <col min="5378" max="5378" width="3.54296875" style="190" customWidth="1"/>
    <col min="5379" max="5380" width="1.6328125" style="190" customWidth="1"/>
    <col min="5381" max="5381" width="4" style="190" customWidth="1"/>
    <col min="5382" max="5382" width="24.1796875" style="190" customWidth="1"/>
    <col min="5383" max="5383" width="1.6328125" style="190" customWidth="1"/>
    <col min="5384" max="5385" width="8.1796875" style="190" customWidth="1"/>
    <col min="5386" max="5632" width="7.08984375" style="190"/>
    <col min="5633" max="5633" width="10.1796875" style="190" customWidth="1"/>
    <col min="5634" max="5634" width="3.54296875" style="190" customWidth="1"/>
    <col min="5635" max="5636" width="1.6328125" style="190" customWidth="1"/>
    <col min="5637" max="5637" width="4" style="190" customWidth="1"/>
    <col min="5638" max="5638" width="24.1796875" style="190" customWidth="1"/>
    <col min="5639" max="5639" width="1.6328125" style="190" customWidth="1"/>
    <col min="5640" max="5641" width="8.1796875" style="190" customWidth="1"/>
    <col min="5642" max="5888" width="7.08984375" style="190"/>
    <col min="5889" max="5889" width="10.1796875" style="190" customWidth="1"/>
    <col min="5890" max="5890" width="3.54296875" style="190" customWidth="1"/>
    <col min="5891" max="5892" width="1.6328125" style="190" customWidth="1"/>
    <col min="5893" max="5893" width="4" style="190" customWidth="1"/>
    <col min="5894" max="5894" width="24.1796875" style="190" customWidth="1"/>
    <col min="5895" max="5895" width="1.6328125" style="190" customWidth="1"/>
    <col min="5896" max="5897" width="8.1796875" style="190" customWidth="1"/>
    <col min="5898" max="6144" width="7.08984375" style="190"/>
    <col min="6145" max="6145" width="10.1796875" style="190" customWidth="1"/>
    <col min="6146" max="6146" width="3.54296875" style="190" customWidth="1"/>
    <col min="6147" max="6148" width="1.6328125" style="190" customWidth="1"/>
    <col min="6149" max="6149" width="4" style="190" customWidth="1"/>
    <col min="6150" max="6150" width="24.1796875" style="190" customWidth="1"/>
    <col min="6151" max="6151" width="1.6328125" style="190" customWidth="1"/>
    <col min="6152" max="6153" width="8.1796875" style="190" customWidth="1"/>
    <col min="6154" max="6400" width="7.08984375" style="190"/>
    <col min="6401" max="6401" width="10.1796875" style="190" customWidth="1"/>
    <col min="6402" max="6402" width="3.54296875" style="190" customWidth="1"/>
    <col min="6403" max="6404" width="1.6328125" style="190" customWidth="1"/>
    <col min="6405" max="6405" width="4" style="190" customWidth="1"/>
    <col min="6406" max="6406" width="24.1796875" style="190" customWidth="1"/>
    <col min="6407" max="6407" width="1.6328125" style="190" customWidth="1"/>
    <col min="6408" max="6409" width="8.1796875" style="190" customWidth="1"/>
    <col min="6410" max="6656" width="7.08984375" style="190"/>
    <col min="6657" max="6657" width="10.1796875" style="190" customWidth="1"/>
    <col min="6658" max="6658" width="3.54296875" style="190" customWidth="1"/>
    <col min="6659" max="6660" width="1.6328125" style="190" customWidth="1"/>
    <col min="6661" max="6661" width="4" style="190" customWidth="1"/>
    <col min="6662" max="6662" width="24.1796875" style="190" customWidth="1"/>
    <col min="6663" max="6663" width="1.6328125" style="190" customWidth="1"/>
    <col min="6664" max="6665" width="8.1796875" style="190" customWidth="1"/>
    <col min="6666" max="6912" width="7.08984375" style="190"/>
    <col min="6913" max="6913" width="10.1796875" style="190" customWidth="1"/>
    <col min="6914" max="6914" width="3.54296875" style="190" customWidth="1"/>
    <col min="6915" max="6916" width="1.6328125" style="190" customWidth="1"/>
    <col min="6917" max="6917" width="4" style="190" customWidth="1"/>
    <col min="6918" max="6918" width="24.1796875" style="190" customWidth="1"/>
    <col min="6919" max="6919" width="1.6328125" style="190" customWidth="1"/>
    <col min="6920" max="6921" width="8.1796875" style="190" customWidth="1"/>
    <col min="6922" max="7168" width="7.08984375" style="190"/>
    <col min="7169" max="7169" width="10.1796875" style="190" customWidth="1"/>
    <col min="7170" max="7170" width="3.54296875" style="190" customWidth="1"/>
    <col min="7171" max="7172" width="1.6328125" style="190" customWidth="1"/>
    <col min="7173" max="7173" width="4" style="190" customWidth="1"/>
    <col min="7174" max="7174" width="24.1796875" style="190" customWidth="1"/>
    <col min="7175" max="7175" width="1.6328125" style="190" customWidth="1"/>
    <col min="7176" max="7177" width="8.1796875" style="190" customWidth="1"/>
    <col min="7178" max="7424" width="7.08984375" style="190"/>
    <col min="7425" max="7425" width="10.1796875" style="190" customWidth="1"/>
    <col min="7426" max="7426" width="3.54296875" style="190" customWidth="1"/>
    <col min="7427" max="7428" width="1.6328125" style="190" customWidth="1"/>
    <col min="7429" max="7429" width="4" style="190" customWidth="1"/>
    <col min="7430" max="7430" width="24.1796875" style="190" customWidth="1"/>
    <col min="7431" max="7431" width="1.6328125" style="190" customWidth="1"/>
    <col min="7432" max="7433" width="8.1796875" style="190" customWidth="1"/>
    <col min="7434" max="7680" width="7.08984375" style="190"/>
    <col min="7681" max="7681" width="10.1796875" style="190" customWidth="1"/>
    <col min="7682" max="7682" width="3.54296875" style="190" customWidth="1"/>
    <col min="7683" max="7684" width="1.6328125" style="190" customWidth="1"/>
    <col min="7685" max="7685" width="4" style="190" customWidth="1"/>
    <col min="7686" max="7686" width="24.1796875" style="190" customWidth="1"/>
    <col min="7687" max="7687" width="1.6328125" style="190" customWidth="1"/>
    <col min="7688" max="7689" width="8.1796875" style="190" customWidth="1"/>
    <col min="7690" max="7936" width="7.08984375" style="190"/>
    <col min="7937" max="7937" width="10.1796875" style="190" customWidth="1"/>
    <col min="7938" max="7938" width="3.54296875" style="190" customWidth="1"/>
    <col min="7939" max="7940" width="1.6328125" style="190" customWidth="1"/>
    <col min="7941" max="7941" width="4" style="190" customWidth="1"/>
    <col min="7942" max="7942" width="24.1796875" style="190" customWidth="1"/>
    <col min="7943" max="7943" width="1.6328125" style="190" customWidth="1"/>
    <col min="7944" max="7945" width="8.1796875" style="190" customWidth="1"/>
    <col min="7946" max="8192" width="7.08984375" style="190"/>
    <col min="8193" max="8193" width="10.1796875" style="190" customWidth="1"/>
    <col min="8194" max="8194" width="3.54296875" style="190" customWidth="1"/>
    <col min="8195" max="8196" width="1.6328125" style="190" customWidth="1"/>
    <col min="8197" max="8197" width="4" style="190" customWidth="1"/>
    <col min="8198" max="8198" width="24.1796875" style="190" customWidth="1"/>
    <col min="8199" max="8199" width="1.6328125" style="190" customWidth="1"/>
    <col min="8200" max="8201" width="8.1796875" style="190" customWidth="1"/>
    <col min="8202" max="8448" width="7.08984375" style="190"/>
    <col min="8449" max="8449" width="10.1796875" style="190" customWidth="1"/>
    <col min="8450" max="8450" width="3.54296875" style="190" customWidth="1"/>
    <col min="8451" max="8452" width="1.6328125" style="190" customWidth="1"/>
    <col min="8453" max="8453" width="4" style="190" customWidth="1"/>
    <col min="8454" max="8454" width="24.1796875" style="190" customWidth="1"/>
    <col min="8455" max="8455" width="1.6328125" style="190" customWidth="1"/>
    <col min="8456" max="8457" width="8.1796875" style="190" customWidth="1"/>
    <col min="8458" max="8704" width="7.08984375" style="190"/>
    <col min="8705" max="8705" width="10.1796875" style="190" customWidth="1"/>
    <col min="8706" max="8706" width="3.54296875" style="190" customWidth="1"/>
    <col min="8707" max="8708" width="1.6328125" style="190" customWidth="1"/>
    <col min="8709" max="8709" width="4" style="190" customWidth="1"/>
    <col min="8710" max="8710" width="24.1796875" style="190" customWidth="1"/>
    <col min="8711" max="8711" width="1.6328125" style="190" customWidth="1"/>
    <col min="8712" max="8713" width="8.1796875" style="190" customWidth="1"/>
    <col min="8714" max="8960" width="7.08984375" style="190"/>
    <col min="8961" max="8961" width="10.1796875" style="190" customWidth="1"/>
    <col min="8962" max="8962" width="3.54296875" style="190" customWidth="1"/>
    <col min="8963" max="8964" width="1.6328125" style="190" customWidth="1"/>
    <col min="8965" max="8965" width="4" style="190" customWidth="1"/>
    <col min="8966" max="8966" width="24.1796875" style="190" customWidth="1"/>
    <col min="8967" max="8967" width="1.6328125" style="190" customWidth="1"/>
    <col min="8968" max="8969" width="8.1796875" style="190" customWidth="1"/>
    <col min="8970" max="9216" width="7.08984375" style="190"/>
    <col min="9217" max="9217" width="10.1796875" style="190" customWidth="1"/>
    <col min="9218" max="9218" width="3.54296875" style="190" customWidth="1"/>
    <col min="9219" max="9220" width="1.6328125" style="190" customWidth="1"/>
    <col min="9221" max="9221" width="4" style="190" customWidth="1"/>
    <col min="9222" max="9222" width="24.1796875" style="190" customWidth="1"/>
    <col min="9223" max="9223" width="1.6328125" style="190" customWidth="1"/>
    <col min="9224" max="9225" width="8.1796875" style="190" customWidth="1"/>
    <col min="9226" max="9472" width="7.08984375" style="190"/>
    <col min="9473" max="9473" width="10.1796875" style="190" customWidth="1"/>
    <col min="9474" max="9474" width="3.54296875" style="190" customWidth="1"/>
    <col min="9475" max="9476" width="1.6328125" style="190" customWidth="1"/>
    <col min="9477" max="9477" width="4" style="190" customWidth="1"/>
    <col min="9478" max="9478" width="24.1796875" style="190" customWidth="1"/>
    <col min="9479" max="9479" width="1.6328125" style="190" customWidth="1"/>
    <col min="9480" max="9481" width="8.1796875" style="190" customWidth="1"/>
    <col min="9482" max="9728" width="7.08984375" style="190"/>
    <col min="9729" max="9729" width="10.1796875" style="190" customWidth="1"/>
    <col min="9730" max="9730" width="3.54296875" style="190" customWidth="1"/>
    <col min="9731" max="9732" width="1.6328125" style="190" customWidth="1"/>
    <col min="9733" max="9733" width="4" style="190" customWidth="1"/>
    <col min="9734" max="9734" width="24.1796875" style="190" customWidth="1"/>
    <col min="9735" max="9735" width="1.6328125" style="190" customWidth="1"/>
    <col min="9736" max="9737" width="8.1796875" style="190" customWidth="1"/>
    <col min="9738" max="9984" width="7.08984375" style="190"/>
    <col min="9985" max="9985" width="10.1796875" style="190" customWidth="1"/>
    <col min="9986" max="9986" width="3.54296875" style="190" customWidth="1"/>
    <col min="9987" max="9988" width="1.6328125" style="190" customWidth="1"/>
    <col min="9989" max="9989" width="4" style="190" customWidth="1"/>
    <col min="9990" max="9990" width="24.1796875" style="190" customWidth="1"/>
    <col min="9991" max="9991" width="1.6328125" style="190" customWidth="1"/>
    <col min="9992" max="9993" width="8.1796875" style="190" customWidth="1"/>
    <col min="9994" max="10240" width="7.08984375" style="190"/>
    <col min="10241" max="10241" width="10.1796875" style="190" customWidth="1"/>
    <col min="10242" max="10242" width="3.54296875" style="190" customWidth="1"/>
    <col min="10243" max="10244" width="1.6328125" style="190" customWidth="1"/>
    <col min="10245" max="10245" width="4" style="190" customWidth="1"/>
    <col min="10246" max="10246" width="24.1796875" style="190" customWidth="1"/>
    <col min="10247" max="10247" width="1.6328125" style="190" customWidth="1"/>
    <col min="10248" max="10249" width="8.1796875" style="190" customWidth="1"/>
    <col min="10250" max="10496" width="7.08984375" style="190"/>
    <col min="10497" max="10497" width="10.1796875" style="190" customWidth="1"/>
    <col min="10498" max="10498" width="3.54296875" style="190" customWidth="1"/>
    <col min="10499" max="10500" width="1.6328125" style="190" customWidth="1"/>
    <col min="10501" max="10501" width="4" style="190" customWidth="1"/>
    <col min="10502" max="10502" width="24.1796875" style="190" customWidth="1"/>
    <col min="10503" max="10503" width="1.6328125" style="190" customWidth="1"/>
    <col min="10504" max="10505" width="8.1796875" style="190" customWidth="1"/>
    <col min="10506" max="10752" width="7.08984375" style="190"/>
    <col min="10753" max="10753" width="10.1796875" style="190" customWidth="1"/>
    <col min="10754" max="10754" width="3.54296875" style="190" customWidth="1"/>
    <col min="10755" max="10756" width="1.6328125" style="190" customWidth="1"/>
    <col min="10757" max="10757" width="4" style="190" customWidth="1"/>
    <col min="10758" max="10758" width="24.1796875" style="190" customWidth="1"/>
    <col min="10759" max="10759" width="1.6328125" style="190" customWidth="1"/>
    <col min="10760" max="10761" width="8.1796875" style="190" customWidth="1"/>
    <col min="10762" max="11008" width="7.08984375" style="190"/>
    <col min="11009" max="11009" width="10.1796875" style="190" customWidth="1"/>
    <col min="11010" max="11010" width="3.54296875" style="190" customWidth="1"/>
    <col min="11011" max="11012" width="1.6328125" style="190" customWidth="1"/>
    <col min="11013" max="11013" width="4" style="190" customWidth="1"/>
    <col min="11014" max="11014" width="24.1796875" style="190" customWidth="1"/>
    <col min="11015" max="11015" width="1.6328125" style="190" customWidth="1"/>
    <col min="11016" max="11017" width="8.1796875" style="190" customWidth="1"/>
    <col min="11018" max="11264" width="7.08984375" style="190"/>
    <col min="11265" max="11265" width="10.1796875" style="190" customWidth="1"/>
    <col min="11266" max="11266" width="3.54296875" style="190" customWidth="1"/>
    <col min="11267" max="11268" width="1.6328125" style="190" customWidth="1"/>
    <col min="11269" max="11269" width="4" style="190" customWidth="1"/>
    <col min="11270" max="11270" width="24.1796875" style="190" customWidth="1"/>
    <col min="11271" max="11271" width="1.6328125" style="190" customWidth="1"/>
    <col min="11272" max="11273" width="8.1796875" style="190" customWidth="1"/>
    <col min="11274" max="11520" width="7.08984375" style="190"/>
    <col min="11521" max="11521" width="10.1796875" style="190" customWidth="1"/>
    <col min="11522" max="11522" width="3.54296875" style="190" customWidth="1"/>
    <col min="11523" max="11524" width="1.6328125" style="190" customWidth="1"/>
    <col min="11525" max="11525" width="4" style="190" customWidth="1"/>
    <col min="11526" max="11526" width="24.1796875" style="190" customWidth="1"/>
    <col min="11527" max="11527" width="1.6328125" style="190" customWidth="1"/>
    <col min="11528" max="11529" width="8.1796875" style="190" customWidth="1"/>
    <col min="11530" max="11776" width="7.08984375" style="190"/>
    <col min="11777" max="11777" width="10.1796875" style="190" customWidth="1"/>
    <col min="11778" max="11778" width="3.54296875" style="190" customWidth="1"/>
    <col min="11779" max="11780" width="1.6328125" style="190" customWidth="1"/>
    <col min="11781" max="11781" width="4" style="190" customWidth="1"/>
    <col min="11782" max="11782" width="24.1796875" style="190" customWidth="1"/>
    <col min="11783" max="11783" width="1.6328125" style="190" customWidth="1"/>
    <col min="11784" max="11785" width="8.1796875" style="190" customWidth="1"/>
    <col min="11786" max="12032" width="7.08984375" style="190"/>
    <col min="12033" max="12033" width="10.1796875" style="190" customWidth="1"/>
    <col min="12034" max="12034" width="3.54296875" style="190" customWidth="1"/>
    <col min="12035" max="12036" width="1.6328125" style="190" customWidth="1"/>
    <col min="12037" max="12037" width="4" style="190" customWidth="1"/>
    <col min="12038" max="12038" width="24.1796875" style="190" customWidth="1"/>
    <col min="12039" max="12039" width="1.6328125" style="190" customWidth="1"/>
    <col min="12040" max="12041" width="8.1796875" style="190" customWidth="1"/>
    <col min="12042" max="12288" width="7.08984375" style="190"/>
    <col min="12289" max="12289" width="10.1796875" style="190" customWidth="1"/>
    <col min="12290" max="12290" width="3.54296875" style="190" customWidth="1"/>
    <col min="12291" max="12292" width="1.6328125" style="190" customWidth="1"/>
    <col min="12293" max="12293" width="4" style="190" customWidth="1"/>
    <col min="12294" max="12294" width="24.1796875" style="190" customWidth="1"/>
    <col min="12295" max="12295" width="1.6328125" style="190" customWidth="1"/>
    <col min="12296" max="12297" width="8.1796875" style="190" customWidth="1"/>
    <col min="12298" max="12544" width="7.08984375" style="190"/>
    <col min="12545" max="12545" width="10.1796875" style="190" customWidth="1"/>
    <col min="12546" max="12546" width="3.54296875" style="190" customWidth="1"/>
    <col min="12547" max="12548" width="1.6328125" style="190" customWidth="1"/>
    <col min="12549" max="12549" width="4" style="190" customWidth="1"/>
    <col min="12550" max="12550" width="24.1796875" style="190" customWidth="1"/>
    <col min="12551" max="12551" width="1.6328125" style="190" customWidth="1"/>
    <col min="12552" max="12553" width="8.1796875" style="190" customWidth="1"/>
    <col min="12554" max="12800" width="7.08984375" style="190"/>
    <col min="12801" max="12801" width="10.1796875" style="190" customWidth="1"/>
    <col min="12802" max="12802" width="3.54296875" style="190" customWidth="1"/>
    <col min="12803" max="12804" width="1.6328125" style="190" customWidth="1"/>
    <col min="12805" max="12805" width="4" style="190" customWidth="1"/>
    <col min="12806" max="12806" width="24.1796875" style="190" customWidth="1"/>
    <col min="12807" max="12807" width="1.6328125" style="190" customWidth="1"/>
    <col min="12808" max="12809" width="8.1796875" style="190" customWidth="1"/>
    <col min="12810" max="13056" width="7.08984375" style="190"/>
    <col min="13057" max="13057" width="10.1796875" style="190" customWidth="1"/>
    <col min="13058" max="13058" width="3.54296875" style="190" customWidth="1"/>
    <col min="13059" max="13060" width="1.6328125" style="190" customWidth="1"/>
    <col min="13061" max="13061" width="4" style="190" customWidth="1"/>
    <col min="13062" max="13062" width="24.1796875" style="190" customWidth="1"/>
    <col min="13063" max="13063" width="1.6328125" style="190" customWidth="1"/>
    <col min="13064" max="13065" width="8.1796875" style="190" customWidth="1"/>
    <col min="13066" max="13312" width="7.08984375" style="190"/>
    <col min="13313" max="13313" width="10.1796875" style="190" customWidth="1"/>
    <col min="13314" max="13314" width="3.54296875" style="190" customWidth="1"/>
    <col min="13315" max="13316" width="1.6328125" style="190" customWidth="1"/>
    <col min="13317" max="13317" width="4" style="190" customWidth="1"/>
    <col min="13318" max="13318" width="24.1796875" style="190" customWidth="1"/>
    <col min="13319" max="13319" width="1.6328125" style="190" customWidth="1"/>
    <col min="13320" max="13321" width="8.1796875" style="190" customWidth="1"/>
    <col min="13322" max="13568" width="7.08984375" style="190"/>
    <col min="13569" max="13569" width="10.1796875" style="190" customWidth="1"/>
    <col min="13570" max="13570" width="3.54296875" style="190" customWidth="1"/>
    <col min="13571" max="13572" width="1.6328125" style="190" customWidth="1"/>
    <col min="13573" max="13573" width="4" style="190" customWidth="1"/>
    <col min="13574" max="13574" width="24.1796875" style="190" customWidth="1"/>
    <col min="13575" max="13575" width="1.6328125" style="190" customWidth="1"/>
    <col min="13576" max="13577" width="8.1796875" style="190" customWidth="1"/>
    <col min="13578" max="13824" width="7.08984375" style="190"/>
    <col min="13825" max="13825" width="10.1796875" style="190" customWidth="1"/>
    <col min="13826" max="13826" width="3.54296875" style="190" customWidth="1"/>
    <col min="13827" max="13828" width="1.6328125" style="190" customWidth="1"/>
    <col min="13829" max="13829" width="4" style="190" customWidth="1"/>
    <col min="13830" max="13830" width="24.1796875" style="190" customWidth="1"/>
    <col min="13831" max="13831" width="1.6328125" style="190" customWidth="1"/>
    <col min="13832" max="13833" width="8.1796875" style="190" customWidth="1"/>
    <col min="13834" max="14080" width="7.08984375" style="190"/>
    <col min="14081" max="14081" width="10.1796875" style="190" customWidth="1"/>
    <col min="14082" max="14082" width="3.54296875" style="190" customWidth="1"/>
    <col min="14083" max="14084" width="1.6328125" style="190" customWidth="1"/>
    <col min="14085" max="14085" width="4" style="190" customWidth="1"/>
    <col min="14086" max="14086" width="24.1796875" style="190" customWidth="1"/>
    <col min="14087" max="14087" width="1.6328125" style="190" customWidth="1"/>
    <col min="14088" max="14089" width="8.1796875" style="190" customWidth="1"/>
    <col min="14090" max="14336" width="7.08984375" style="190"/>
    <col min="14337" max="14337" width="10.1796875" style="190" customWidth="1"/>
    <col min="14338" max="14338" width="3.54296875" style="190" customWidth="1"/>
    <col min="14339" max="14340" width="1.6328125" style="190" customWidth="1"/>
    <col min="14341" max="14341" width="4" style="190" customWidth="1"/>
    <col min="14342" max="14342" width="24.1796875" style="190" customWidth="1"/>
    <col min="14343" max="14343" width="1.6328125" style="190" customWidth="1"/>
    <col min="14344" max="14345" width="8.1796875" style="190" customWidth="1"/>
    <col min="14346" max="14592" width="7.08984375" style="190"/>
    <col min="14593" max="14593" width="10.1796875" style="190" customWidth="1"/>
    <col min="14594" max="14594" width="3.54296875" style="190" customWidth="1"/>
    <col min="14595" max="14596" width="1.6328125" style="190" customWidth="1"/>
    <col min="14597" max="14597" width="4" style="190" customWidth="1"/>
    <col min="14598" max="14598" width="24.1796875" style="190" customWidth="1"/>
    <col min="14599" max="14599" width="1.6328125" style="190" customWidth="1"/>
    <col min="14600" max="14601" width="8.1796875" style="190" customWidth="1"/>
    <col min="14602" max="14848" width="7.08984375" style="190"/>
    <col min="14849" max="14849" width="10.1796875" style="190" customWidth="1"/>
    <col min="14850" max="14850" width="3.54296875" style="190" customWidth="1"/>
    <col min="14851" max="14852" width="1.6328125" style="190" customWidth="1"/>
    <col min="14853" max="14853" width="4" style="190" customWidth="1"/>
    <col min="14854" max="14854" width="24.1796875" style="190" customWidth="1"/>
    <col min="14855" max="14855" width="1.6328125" style="190" customWidth="1"/>
    <col min="14856" max="14857" width="8.1796875" style="190" customWidth="1"/>
    <col min="14858" max="15104" width="7.08984375" style="190"/>
    <col min="15105" max="15105" width="10.1796875" style="190" customWidth="1"/>
    <col min="15106" max="15106" width="3.54296875" style="190" customWidth="1"/>
    <col min="15107" max="15108" width="1.6328125" style="190" customWidth="1"/>
    <col min="15109" max="15109" width="4" style="190" customWidth="1"/>
    <col min="15110" max="15110" width="24.1796875" style="190" customWidth="1"/>
    <col min="15111" max="15111" width="1.6328125" style="190" customWidth="1"/>
    <col min="15112" max="15113" width="8.1796875" style="190" customWidth="1"/>
    <col min="15114" max="15360" width="7.08984375" style="190"/>
    <col min="15361" max="15361" width="10.1796875" style="190" customWidth="1"/>
    <col min="15362" max="15362" width="3.54296875" style="190" customWidth="1"/>
    <col min="15363" max="15364" width="1.6328125" style="190" customWidth="1"/>
    <col min="15365" max="15365" width="4" style="190" customWidth="1"/>
    <col min="15366" max="15366" width="24.1796875" style="190" customWidth="1"/>
    <col min="15367" max="15367" width="1.6328125" style="190" customWidth="1"/>
    <col min="15368" max="15369" width="8.1796875" style="190" customWidth="1"/>
    <col min="15370" max="15616" width="7.08984375" style="190"/>
    <col min="15617" max="15617" width="10.1796875" style="190" customWidth="1"/>
    <col min="15618" max="15618" width="3.54296875" style="190" customWidth="1"/>
    <col min="15619" max="15620" width="1.6328125" style="190" customWidth="1"/>
    <col min="15621" max="15621" width="4" style="190" customWidth="1"/>
    <col min="15622" max="15622" width="24.1796875" style="190" customWidth="1"/>
    <col min="15623" max="15623" width="1.6328125" style="190" customWidth="1"/>
    <col min="15624" max="15625" width="8.1796875" style="190" customWidth="1"/>
    <col min="15626" max="15872" width="7.08984375" style="190"/>
    <col min="15873" max="15873" width="10.1796875" style="190" customWidth="1"/>
    <col min="15874" max="15874" width="3.54296875" style="190" customWidth="1"/>
    <col min="15875" max="15876" width="1.6328125" style="190" customWidth="1"/>
    <col min="15877" max="15877" width="4" style="190" customWidth="1"/>
    <col min="15878" max="15878" width="24.1796875" style="190" customWidth="1"/>
    <col min="15879" max="15879" width="1.6328125" style="190" customWidth="1"/>
    <col min="15880" max="15881" width="8.1796875" style="190" customWidth="1"/>
    <col min="15882" max="16128" width="7.08984375" style="190"/>
    <col min="16129" max="16129" width="10.1796875" style="190" customWidth="1"/>
    <col min="16130" max="16130" width="3.54296875" style="190" customWidth="1"/>
    <col min="16131" max="16132" width="1.6328125" style="190" customWidth="1"/>
    <col min="16133" max="16133" width="4" style="190" customWidth="1"/>
    <col min="16134" max="16134" width="24.1796875" style="190" customWidth="1"/>
    <col min="16135" max="16135" width="1.6328125" style="190" customWidth="1"/>
    <col min="16136" max="16137" width="8.1796875" style="190" customWidth="1"/>
    <col min="16138" max="16384" width="7.08984375" style="190"/>
  </cols>
  <sheetData>
    <row r="1" spans="1:9" ht="14.25" customHeight="1">
      <c r="A1" s="925" t="s">
        <v>757</v>
      </c>
      <c r="B1" s="925"/>
      <c r="C1" s="925"/>
      <c r="D1" s="925"/>
      <c r="E1" s="925"/>
      <c r="F1" s="925"/>
      <c r="G1" s="925"/>
      <c r="H1" s="925"/>
    </row>
    <row r="2" spans="1:9">
      <c r="A2" s="925" t="s">
        <v>722</v>
      </c>
      <c r="B2" s="925"/>
      <c r="C2" s="925"/>
      <c r="D2" s="925"/>
      <c r="E2" s="925"/>
      <c r="F2" s="925"/>
      <c r="G2" s="925"/>
      <c r="H2" s="925"/>
    </row>
    <row r="3" spans="1:9">
      <c r="A3" s="926" t="str">
        <f>'Act Att-H'!C7</f>
        <v>Black Hills Colorado Electric, LLC</v>
      </c>
      <c r="B3" s="926"/>
      <c r="C3" s="926"/>
      <c r="D3" s="926"/>
      <c r="E3" s="926"/>
      <c r="F3" s="926"/>
      <c r="G3" s="926"/>
      <c r="H3" s="926"/>
    </row>
    <row r="4" spans="1:9">
      <c r="F4" s="2"/>
      <c r="H4" s="192" t="s">
        <v>515</v>
      </c>
    </row>
    <row r="5" spans="1:9">
      <c r="A5" s="206"/>
      <c r="B5" s="206"/>
      <c r="C5" s="206"/>
      <c r="D5" s="206"/>
      <c r="E5" s="206"/>
      <c r="F5" s="206"/>
      <c r="G5" s="206"/>
      <c r="H5" s="206"/>
    </row>
    <row r="6" spans="1:9" ht="60.75" customHeight="1">
      <c r="B6" s="116" t="s">
        <v>4</v>
      </c>
      <c r="C6" s="116" t="s">
        <v>934</v>
      </c>
      <c r="D6" s="116" t="s">
        <v>159</v>
      </c>
      <c r="E6" s="219" t="s">
        <v>949</v>
      </c>
      <c r="F6" s="219" t="s">
        <v>10</v>
      </c>
      <c r="G6" s="219" t="s">
        <v>759</v>
      </c>
      <c r="H6" s="219" t="s">
        <v>760</v>
      </c>
    </row>
    <row r="7" spans="1:9" ht="15" customHeight="1">
      <c r="B7" s="215"/>
      <c r="C7" s="220" t="s">
        <v>138</v>
      </c>
      <c r="D7" s="221" t="s">
        <v>139</v>
      </c>
      <c r="E7" s="221" t="s">
        <v>140</v>
      </c>
      <c r="F7" s="221" t="s">
        <v>141</v>
      </c>
      <c r="G7" s="221" t="s">
        <v>142</v>
      </c>
      <c r="H7" s="221" t="s">
        <v>143</v>
      </c>
    </row>
    <row r="8" spans="1:9" ht="15" customHeight="1">
      <c r="B8" s="394">
        <v>1</v>
      </c>
      <c r="C8" s="789" t="s">
        <v>935</v>
      </c>
      <c r="D8" s="736" t="s">
        <v>936</v>
      </c>
      <c r="E8" s="826">
        <v>0</v>
      </c>
      <c r="F8" s="790" t="s">
        <v>290</v>
      </c>
      <c r="G8" s="791">
        <f>'Act Att-H'!$G$116</f>
        <v>1</v>
      </c>
      <c r="H8" s="792">
        <f t="shared" ref="H8:H11" si="0">G8*E8</f>
        <v>0</v>
      </c>
    </row>
    <row r="9" spans="1:9" ht="30" customHeight="1">
      <c r="B9" s="394">
        <v>2</v>
      </c>
      <c r="C9" s="789" t="s">
        <v>937</v>
      </c>
      <c r="D9" s="736" t="s">
        <v>938</v>
      </c>
      <c r="E9" s="827">
        <v>130249.32384615386</v>
      </c>
      <c r="F9" s="790" t="s">
        <v>11</v>
      </c>
      <c r="G9" s="791">
        <f>'Act Att-H'!$I$175</f>
        <v>0.93124420194583424</v>
      </c>
      <c r="H9" s="793">
        <f t="shared" si="0"/>
        <v>121293.92763909606</v>
      </c>
    </row>
    <row r="10" spans="1:9" ht="30" customHeight="1">
      <c r="B10" s="394">
        <v>3</v>
      </c>
      <c r="C10" s="789" t="s">
        <v>939</v>
      </c>
      <c r="D10" s="736" t="s">
        <v>940</v>
      </c>
      <c r="E10" s="827"/>
      <c r="F10" s="790" t="s">
        <v>35</v>
      </c>
      <c r="G10" s="791">
        <f>'Act Att-H'!$I$184</f>
        <v>0.93124420194583424</v>
      </c>
      <c r="H10" s="793">
        <f t="shared" si="0"/>
        <v>0</v>
      </c>
    </row>
    <row r="11" spans="1:9" ht="30" customHeight="1">
      <c r="B11" s="394">
        <v>4</v>
      </c>
      <c r="C11" s="789" t="s">
        <v>1261</v>
      </c>
      <c r="D11" s="736" t="s">
        <v>1263</v>
      </c>
      <c r="E11" s="827"/>
      <c r="F11" s="790" t="s">
        <v>1256</v>
      </c>
      <c r="G11" s="791">
        <f>'Act Att-H'!$K$196</f>
        <v>0.12451406279937895</v>
      </c>
      <c r="H11" s="793">
        <f t="shared" si="0"/>
        <v>0</v>
      </c>
    </row>
    <row r="12" spans="1:9" ht="30" customHeight="1">
      <c r="B12" s="394">
        <v>5</v>
      </c>
      <c r="C12" s="789" t="s">
        <v>941</v>
      </c>
      <c r="D12" s="736" t="s">
        <v>942</v>
      </c>
      <c r="E12" s="827">
        <v>432483.11431623937</v>
      </c>
      <c r="F12" s="790" t="s">
        <v>31</v>
      </c>
      <c r="G12" s="791">
        <f>'Act Att-H'!$I$192</f>
        <v>0.12706661096257854</v>
      </c>
      <c r="H12" s="793">
        <f t="shared" ref="H12:H15" si="1">G12*E12</f>
        <v>54954.163634705968</v>
      </c>
    </row>
    <row r="13" spans="1:9" ht="30" customHeight="1">
      <c r="B13" s="394">
        <v>6</v>
      </c>
      <c r="C13" s="789" t="s">
        <v>943</v>
      </c>
      <c r="D13" s="736" t="s">
        <v>944</v>
      </c>
      <c r="E13" s="827"/>
      <c r="F13" s="790" t="s">
        <v>36</v>
      </c>
      <c r="G13" s="791">
        <f>'Act Att-H'!$G$50</f>
        <v>0.21540035426453175</v>
      </c>
      <c r="H13" s="793">
        <f t="shared" si="1"/>
        <v>0</v>
      </c>
    </row>
    <row r="14" spans="1:9" ht="30" customHeight="1">
      <c r="B14" s="394">
        <v>7</v>
      </c>
      <c r="C14" s="789" t="s">
        <v>945</v>
      </c>
      <c r="D14" s="736" t="s">
        <v>946</v>
      </c>
      <c r="E14" s="827"/>
      <c r="F14" s="790" t="s">
        <v>950</v>
      </c>
      <c r="G14" s="791">
        <f>'Act Att-H'!$G$66</f>
        <v>0.25086800193736425</v>
      </c>
      <c r="H14" s="793">
        <f t="shared" si="1"/>
        <v>0</v>
      </c>
    </row>
    <row r="15" spans="1:9" ht="60" customHeight="1">
      <c r="B15" s="394">
        <v>8</v>
      </c>
      <c r="C15" s="789" t="s">
        <v>947</v>
      </c>
      <c r="D15" s="736" t="s">
        <v>948</v>
      </c>
      <c r="E15" s="827">
        <v>615269.1906410259</v>
      </c>
      <c r="F15" s="790" t="s">
        <v>27</v>
      </c>
      <c r="G15" s="791">
        <v>0</v>
      </c>
      <c r="H15" s="793">
        <f t="shared" si="1"/>
        <v>0</v>
      </c>
    </row>
    <row r="16" spans="1:9">
      <c r="B16" s="193">
        <v>9</v>
      </c>
      <c r="C16" s="285" t="s">
        <v>9</v>
      </c>
      <c r="D16" s="285" t="s">
        <v>483</v>
      </c>
      <c r="E16" s="407">
        <f>SUM(E8:E15)</f>
        <v>1178001.6288034189</v>
      </c>
      <c r="F16" s="612"/>
      <c r="G16" s="614"/>
      <c r="H16" s="613">
        <f>SUM(H8:H15)</f>
        <v>176248.09127380204</v>
      </c>
      <c r="I16" s="216"/>
    </row>
    <row r="17" spans="2:11">
      <c r="B17" s="193">
        <v>10</v>
      </c>
      <c r="C17" s="190" t="s">
        <v>781</v>
      </c>
      <c r="E17" s="210">
        <f>'A4-Rate Base'!I89</f>
        <v>1178004.076923077</v>
      </c>
      <c r="F17" s="622"/>
      <c r="G17" s="622"/>
      <c r="H17" s="622"/>
      <c r="I17" s="216"/>
    </row>
    <row r="18" spans="2:11">
      <c r="B18" s="193">
        <v>11</v>
      </c>
      <c r="C18" s="190" t="s">
        <v>782</v>
      </c>
      <c r="E18" s="407">
        <f>E17-E16</f>
        <v>2.4481196580454707</v>
      </c>
      <c r="F18" s="622"/>
      <c r="G18" s="622"/>
      <c r="H18" s="622"/>
      <c r="I18" s="216"/>
    </row>
    <row r="19" spans="2:11">
      <c r="B19" s="193"/>
      <c r="H19" s="216"/>
    </row>
    <row r="20" spans="2:11">
      <c r="B20" s="193"/>
      <c r="H20" s="216"/>
    </row>
    <row r="21" spans="2:11">
      <c r="B21" s="354" t="s">
        <v>155</v>
      </c>
      <c r="H21" s="216"/>
    </row>
    <row r="22" spans="2:11">
      <c r="B22" s="193" t="s">
        <v>76</v>
      </c>
      <c r="C22" s="190" t="s">
        <v>761</v>
      </c>
      <c r="H22" s="216"/>
    </row>
    <row r="23" spans="2:11" ht="26.25" customHeight="1">
      <c r="B23" s="394" t="s">
        <v>77</v>
      </c>
      <c r="C23" s="950" t="s">
        <v>783</v>
      </c>
      <c r="D23" s="950"/>
      <c r="E23" s="950"/>
      <c r="F23" s="950"/>
      <c r="G23" s="950"/>
      <c r="H23" s="950"/>
      <c r="K23" s="723"/>
    </row>
    <row r="24" spans="2:11">
      <c r="B24" s="193"/>
    </row>
    <row r="25" spans="2:11">
      <c r="B25" s="193"/>
      <c r="C25" s="551"/>
    </row>
  </sheetData>
  <mergeCells count="4">
    <mergeCell ref="A1:H1"/>
    <mergeCell ref="A2:H2"/>
    <mergeCell ref="A3:H3"/>
    <mergeCell ref="C23:H2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G8:H1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sheetPr>
  <dimension ref="A1:P120"/>
  <sheetViews>
    <sheetView zoomScale="80" zoomScaleNormal="80" workbookViewId="0">
      <selection activeCell="H22" sqref="H22"/>
    </sheetView>
  </sheetViews>
  <sheetFormatPr defaultColWidth="7.08984375" defaultRowHeight="13.2"/>
  <cols>
    <col min="1" max="1" width="5.1796875" style="231" customWidth="1"/>
    <col min="2" max="2" width="5.54296875" style="231" customWidth="1"/>
    <col min="3" max="3" width="5.08984375" style="231" customWidth="1"/>
    <col min="4" max="4" width="12.6328125" style="230" customWidth="1"/>
    <col min="5" max="5" width="28.08984375" style="230" customWidth="1"/>
    <col min="6" max="6" width="12.1796875" style="230" customWidth="1"/>
    <col min="7" max="7" width="13.453125" style="230" bestFit="1" customWidth="1"/>
    <col min="8" max="8" width="19.1796875" style="230" customWidth="1"/>
    <col min="9" max="9" width="4.6328125" style="230" bestFit="1" customWidth="1"/>
    <col min="10" max="10" width="13" style="230" customWidth="1"/>
    <col min="11" max="11" width="13" style="230" bestFit="1" customWidth="1"/>
    <col min="12" max="13" width="12.1796875" style="230" customWidth="1"/>
    <col min="14" max="14" width="11.54296875" style="230" bestFit="1" customWidth="1"/>
    <col min="15" max="15" width="7.1796875" style="230" bestFit="1" customWidth="1"/>
    <col min="16" max="16" width="11.6328125" style="230" bestFit="1" customWidth="1"/>
    <col min="17" max="16384" width="7.08984375" style="230"/>
  </cols>
  <sheetData>
    <row r="1" spans="1:11">
      <c r="A1" s="925" t="s">
        <v>246</v>
      </c>
      <c r="B1" s="925"/>
      <c r="C1" s="925"/>
      <c r="D1" s="925"/>
      <c r="E1" s="925"/>
      <c r="F1" s="925"/>
      <c r="G1" s="925"/>
      <c r="H1" s="925"/>
    </row>
    <row r="2" spans="1:11">
      <c r="A2" s="925" t="s">
        <v>432</v>
      </c>
      <c r="B2" s="925"/>
      <c r="C2" s="925"/>
      <c r="D2" s="925"/>
      <c r="E2" s="925"/>
      <c r="F2" s="925"/>
      <c r="G2" s="925"/>
      <c r="H2" s="925"/>
    </row>
    <row r="3" spans="1:11">
      <c r="A3" s="926" t="str">
        <f>'Act Att-H'!C7</f>
        <v>Black Hills Colorado Electric, LLC</v>
      </c>
      <c r="B3" s="926"/>
      <c r="C3" s="926"/>
      <c r="D3" s="926"/>
      <c r="E3" s="926"/>
      <c r="F3" s="926"/>
      <c r="G3" s="926"/>
      <c r="H3" s="926"/>
    </row>
    <row r="4" spans="1:11">
      <c r="H4" s="232" t="s">
        <v>515</v>
      </c>
    </row>
    <row r="5" spans="1:11">
      <c r="A5" s="233" t="s">
        <v>217</v>
      </c>
    </row>
    <row r="6" spans="1:11">
      <c r="A6" s="611" t="s">
        <v>218</v>
      </c>
      <c r="B6" s="611" t="s">
        <v>219</v>
      </c>
      <c r="C6" s="611" t="s">
        <v>220</v>
      </c>
      <c r="D6" s="611" t="s">
        <v>221</v>
      </c>
      <c r="E6" s="231"/>
    </row>
    <row r="7" spans="1:11">
      <c r="A7" s="231">
        <v>1</v>
      </c>
      <c r="B7" s="231" t="s">
        <v>222</v>
      </c>
      <c r="C7" s="231" t="s">
        <v>223</v>
      </c>
      <c r="D7" s="234" t="s">
        <v>914</v>
      </c>
      <c r="E7" s="234"/>
    </row>
    <row r="8" spans="1:11">
      <c r="A8" s="231">
        <f>A7+1</f>
        <v>2</v>
      </c>
      <c r="B8" s="231" t="s">
        <v>222</v>
      </c>
      <c r="C8" s="231" t="s">
        <v>223</v>
      </c>
      <c r="D8" s="234" t="s">
        <v>224</v>
      </c>
      <c r="E8" s="234"/>
    </row>
    <row r="9" spans="1:11">
      <c r="A9" s="231">
        <f t="shared" ref="A9:A17" si="0">A8+1</f>
        <v>3</v>
      </c>
      <c r="B9" s="235" t="s">
        <v>225</v>
      </c>
      <c r="C9" s="231" t="s">
        <v>226</v>
      </c>
      <c r="D9" s="234" t="s">
        <v>227</v>
      </c>
      <c r="E9" s="234"/>
    </row>
    <row r="10" spans="1:11">
      <c r="A10" s="231">
        <f t="shared" si="0"/>
        <v>4</v>
      </c>
      <c r="B10" s="231" t="str">
        <f>+B7</f>
        <v>Oct</v>
      </c>
      <c r="C10" s="231" t="s">
        <v>226</v>
      </c>
      <c r="D10" s="234" t="s">
        <v>915</v>
      </c>
      <c r="E10" s="234"/>
    </row>
    <row r="11" spans="1:11">
      <c r="A11" s="231">
        <f t="shared" si="0"/>
        <v>5</v>
      </c>
      <c r="B11" s="231" t="s">
        <v>222</v>
      </c>
      <c r="C11" s="231" t="str">
        <f>C10</f>
        <v>Year 1</v>
      </c>
      <c r="D11" s="234" t="s">
        <v>228</v>
      </c>
      <c r="E11" s="234"/>
    </row>
    <row r="12" spans="1:11">
      <c r="A12" s="231">
        <f t="shared" si="0"/>
        <v>6</v>
      </c>
      <c r="B12" s="231" t="s">
        <v>225</v>
      </c>
      <c r="C12" s="231" t="s">
        <v>229</v>
      </c>
      <c r="D12" s="234" t="s">
        <v>230</v>
      </c>
      <c r="E12" s="234"/>
    </row>
    <row r="13" spans="1:11">
      <c r="A13" s="231">
        <f t="shared" si="0"/>
        <v>7</v>
      </c>
      <c r="B13" s="231" t="s">
        <v>231</v>
      </c>
      <c r="C13" s="231" t="s">
        <v>229</v>
      </c>
      <c r="D13" s="234" t="s">
        <v>916</v>
      </c>
      <c r="E13" s="236"/>
      <c r="F13" s="237"/>
      <c r="G13" s="237"/>
      <c r="H13" s="237"/>
      <c r="I13" s="237"/>
      <c r="J13" s="237"/>
      <c r="K13" s="237"/>
    </row>
    <row r="14" spans="1:11">
      <c r="A14" s="231">
        <f t="shared" si="0"/>
        <v>8</v>
      </c>
      <c r="B14" s="231" t="s">
        <v>231</v>
      </c>
      <c r="C14" s="231" t="s">
        <v>229</v>
      </c>
      <c r="D14" s="234" t="s">
        <v>232</v>
      </c>
      <c r="E14" s="234"/>
    </row>
    <row r="15" spans="1:11">
      <c r="A15" s="231">
        <f t="shared" si="0"/>
        <v>9</v>
      </c>
      <c r="B15" s="231" t="s">
        <v>231</v>
      </c>
      <c r="C15" s="231" t="s">
        <v>229</v>
      </c>
      <c r="D15" s="234" t="s">
        <v>233</v>
      </c>
    </row>
    <row r="16" spans="1:11">
      <c r="A16" s="231">
        <f t="shared" si="0"/>
        <v>10</v>
      </c>
      <c r="B16" s="231" t="s">
        <v>222</v>
      </c>
      <c r="C16" s="231" t="s">
        <v>229</v>
      </c>
      <c r="D16" s="234" t="s">
        <v>1236</v>
      </c>
      <c r="E16" s="234"/>
    </row>
    <row r="17" spans="1:16">
      <c r="A17" s="231">
        <f t="shared" si="0"/>
        <v>11</v>
      </c>
      <c r="B17" s="231" t="s">
        <v>222</v>
      </c>
      <c r="C17" s="231" t="s">
        <v>229</v>
      </c>
      <c r="D17" s="234" t="s">
        <v>234</v>
      </c>
      <c r="E17" s="234"/>
    </row>
    <row r="18" spans="1:16">
      <c r="A18" s="230"/>
      <c r="B18" s="230"/>
      <c r="C18" s="230"/>
      <c r="E18" s="234"/>
    </row>
    <row r="19" spans="1:16">
      <c r="A19" s="230"/>
      <c r="B19" s="233" t="s">
        <v>610</v>
      </c>
    </row>
    <row r="20" spans="1:16" ht="12.75" customHeight="1" thickBot="1">
      <c r="A20" s="231">
        <f>A17+1</f>
        <v>12</v>
      </c>
      <c r="D20" s="237"/>
      <c r="E20" s="237"/>
      <c r="F20" s="237"/>
      <c r="H20" s="238" t="s">
        <v>235</v>
      </c>
      <c r="I20" s="237"/>
      <c r="N20" s="239"/>
      <c r="O20" s="239"/>
      <c r="P20" s="239"/>
    </row>
    <row r="21" spans="1:16" ht="12.75" customHeight="1">
      <c r="A21" s="231">
        <f>A20+1</f>
        <v>13</v>
      </c>
      <c r="C21" s="230" t="s">
        <v>236</v>
      </c>
      <c r="E21" s="237"/>
      <c r="F21" s="240"/>
      <c r="H21" s="406">
        <v>25192782.562656257</v>
      </c>
      <c r="I21" s="237"/>
      <c r="N21" s="242"/>
      <c r="O21" s="242"/>
      <c r="P21" s="242"/>
    </row>
    <row r="22" spans="1:16">
      <c r="A22" s="231">
        <f t="shared" ref="A22:A23" si="1">A21+1</f>
        <v>14</v>
      </c>
      <c r="B22" s="243"/>
      <c r="C22" s="230" t="s">
        <v>619</v>
      </c>
      <c r="F22" s="241"/>
      <c r="H22" s="406">
        <v>29026259.541905023</v>
      </c>
      <c r="I22" s="237"/>
      <c r="N22" s="244"/>
      <c r="O22" s="244"/>
      <c r="P22" s="244"/>
    </row>
    <row r="23" spans="1:16">
      <c r="A23" s="231">
        <f t="shared" si="1"/>
        <v>15</v>
      </c>
      <c r="C23" s="230" t="s">
        <v>764</v>
      </c>
      <c r="F23" s="245" t="s">
        <v>598</v>
      </c>
      <c r="H23" s="374">
        <f>+H21-H22</f>
        <v>-3833476.9792487659</v>
      </c>
      <c r="I23" s="237"/>
      <c r="N23" s="239"/>
      <c r="O23" s="239"/>
      <c r="P23" s="239"/>
    </row>
    <row r="24" spans="1:16">
      <c r="F24" s="245"/>
      <c r="I24" s="237"/>
    </row>
    <row r="25" spans="1:16">
      <c r="A25" s="230"/>
      <c r="B25" s="233" t="s">
        <v>611</v>
      </c>
    </row>
    <row r="26" spans="1:16" ht="12.75" customHeight="1" thickBot="1">
      <c r="A26" s="231">
        <f>A23+1</f>
        <v>16</v>
      </c>
      <c r="D26" s="237"/>
      <c r="E26" s="237"/>
      <c r="F26" s="237"/>
      <c r="H26" s="238" t="s">
        <v>235</v>
      </c>
      <c r="I26" s="237"/>
      <c r="N26" s="239"/>
      <c r="O26" s="239"/>
      <c r="P26" s="239"/>
    </row>
    <row r="27" spans="1:16">
      <c r="A27" s="231">
        <f>A26+1</f>
        <v>17</v>
      </c>
      <c r="C27" s="230" t="s">
        <v>614</v>
      </c>
      <c r="E27" s="237"/>
      <c r="F27" s="240"/>
      <c r="H27" s="506">
        <v>407583.33333333331</v>
      </c>
      <c r="I27" s="237" t="s">
        <v>613</v>
      </c>
      <c r="N27" s="242"/>
      <c r="O27" s="242"/>
      <c r="P27" s="242"/>
    </row>
    <row r="28" spans="1:16">
      <c r="A28" s="231">
        <f t="shared" ref="A28:A33" si="2">A27+1</f>
        <v>18</v>
      </c>
      <c r="B28" s="243"/>
      <c r="C28" s="230" t="s">
        <v>620</v>
      </c>
      <c r="F28" s="241"/>
      <c r="H28" s="506">
        <v>333471.35032003938</v>
      </c>
      <c r="I28" s="237" t="s">
        <v>613</v>
      </c>
      <c r="N28" s="244"/>
      <c r="O28" s="244"/>
      <c r="P28" s="244"/>
    </row>
    <row r="29" spans="1:16">
      <c r="A29" s="231">
        <f t="shared" si="2"/>
        <v>19</v>
      </c>
      <c r="C29" s="230" t="s">
        <v>707</v>
      </c>
      <c r="F29" s="245" t="s">
        <v>618</v>
      </c>
      <c r="H29" s="507">
        <f>H28-H27</f>
        <v>-74111.983013293939</v>
      </c>
      <c r="I29" s="237" t="s">
        <v>613</v>
      </c>
      <c r="N29" s="239"/>
      <c r="O29" s="239"/>
      <c r="P29" s="239"/>
    </row>
    <row r="30" spans="1:16" ht="12.75" customHeight="1">
      <c r="A30" s="231">
        <f t="shared" si="2"/>
        <v>20</v>
      </c>
      <c r="C30" s="230"/>
      <c r="D30" s="237"/>
      <c r="E30" s="237"/>
      <c r="F30" s="245"/>
      <c r="H30" s="508"/>
      <c r="I30" s="237"/>
      <c r="N30" s="239"/>
      <c r="O30" s="239"/>
      <c r="P30" s="239"/>
    </row>
    <row r="31" spans="1:16">
      <c r="A31" s="231">
        <f t="shared" si="2"/>
        <v>21</v>
      </c>
      <c r="C31" s="230" t="s">
        <v>621</v>
      </c>
      <c r="E31" s="237"/>
      <c r="F31" s="245" t="s">
        <v>615</v>
      </c>
      <c r="H31" s="508">
        <f>IF(H28=0,0,ROUND(H22/H28,6))</f>
        <v>87.042738</v>
      </c>
      <c r="I31" s="237" t="s">
        <v>616</v>
      </c>
      <c r="N31" s="242"/>
      <c r="O31" s="242"/>
      <c r="P31" s="242"/>
    </row>
    <row r="32" spans="1:16">
      <c r="A32" s="231">
        <f t="shared" si="2"/>
        <v>22</v>
      </c>
      <c r="B32" s="243"/>
      <c r="C32" s="230" t="s">
        <v>612</v>
      </c>
      <c r="F32" s="245" t="s">
        <v>626</v>
      </c>
      <c r="H32" s="374">
        <f>H29*H31</f>
        <v>-6450909.9200865952</v>
      </c>
      <c r="I32" s="237"/>
      <c r="N32" s="244"/>
      <c r="O32" s="244"/>
      <c r="P32" s="244"/>
    </row>
    <row r="33" spans="1:16">
      <c r="A33" s="231">
        <f t="shared" si="2"/>
        <v>23</v>
      </c>
      <c r="C33" s="230"/>
      <c r="F33" s="245"/>
      <c r="H33" s="505"/>
      <c r="I33" s="237"/>
      <c r="N33" s="239"/>
      <c r="O33" s="239"/>
      <c r="P33" s="239"/>
    </row>
    <row r="34" spans="1:16">
      <c r="B34" s="233" t="s">
        <v>754</v>
      </c>
      <c r="C34" s="230"/>
      <c r="F34" s="245"/>
      <c r="H34" s="505"/>
      <c r="I34" s="237"/>
      <c r="N34" s="239"/>
      <c r="O34" s="239"/>
      <c r="P34" s="239"/>
    </row>
    <row r="35" spans="1:16">
      <c r="A35" s="231" t="s">
        <v>292</v>
      </c>
      <c r="C35" s="230" t="s">
        <v>756</v>
      </c>
      <c r="F35" s="245"/>
      <c r="H35" s="406">
        <v>0</v>
      </c>
      <c r="I35" s="237"/>
      <c r="N35" s="239"/>
      <c r="O35" s="239"/>
      <c r="P35" s="239"/>
    </row>
    <row r="36" spans="1:16">
      <c r="C36" s="230"/>
      <c r="F36" s="245"/>
      <c r="H36" s="505"/>
      <c r="I36" s="237"/>
      <c r="N36" s="239"/>
      <c r="O36" s="239"/>
      <c r="P36" s="239"/>
    </row>
    <row r="37" spans="1:16">
      <c r="A37" s="231">
        <f>A33+1</f>
        <v>24</v>
      </c>
      <c r="B37" s="230" t="s">
        <v>708</v>
      </c>
      <c r="C37" s="230"/>
      <c r="D37" s="234"/>
      <c r="E37" s="231"/>
      <c r="F37" s="237" t="s">
        <v>755</v>
      </c>
      <c r="G37" s="237"/>
      <c r="H37" s="509">
        <f>H23+H32+H35</f>
        <v>-10284386.899335362</v>
      </c>
      <c r="I37" s="237"/>
      <c r="J37" s="896"/>
      <c r="K37" s="237"/>
      <c r="L37" s="237"/>
    </row>
    <row r="38" spans="1:16">
      <c r="C38" s="230"/>
      <c r="D38" s="234"/>
      <c r="E38" s="231"/>
      <c r="F38" s="237"/>
      <c r="G38" s="237"/>
      <c r="H38" s="237"/>
      <c r="I38" s="237"/>
      <c r="J38" s="896"/>
      <c r="K38" s="237"/>
      <c r="L38" s="237"/>
    </row>
    <row r="39" spans="1:16">
      <c r="C39" s="241"/>
      <c r="D39" s="231"/>
      <c r="E39" s="234"/>
      <c r="G39" s="231"/>
      <c r="H39" s="246"/>
      <c r="I39" s="234"/>
      <c r="J39" s="246"/>
    </row>
    <row r="40" spans="1:16">
      <c r="A40" s="231" t="s">
        <v>172</v>
      </c>
    </row>
    <row r="41" spans="1:16" s="618" customFormat="1" ht="15.75" customHeight="1">
      <c r="A41" s="247" t="s">
        <v>76</v>
      </c>
      <c r="B41" s="956" t="s">
        <v>1247</v>
      </c>
      <c r="C41" s="956"/>
      <c r="D41" s="956"/>
      <c r="E41" s="956"/>
      <c r="F41" s="956"/>
      <c r="G41" s="956"/>
      <c r="H41" s="956"/>
    </row>
    <row r="42" spans="1:16" s="618" customFormat="1">
      <c r="A42" s="247" t="s">
        <v>77</v>
      </c>
      <c r="B42" s="956" t="s">
        <v>1247</v>
      </c>
      <c r="C42" s="956"/>
      <c r="D42" s="956"/>
      <c r="E42" s="956"/>
      <c r="F42" s="956"/>
      <c r="G42" s="956"/>
      <c r="H42" s="956"/>
    </row>
    <row r="43" spans="1:16" s="618" customFormat="1">
      <c r="A43" s="247" t="s">
        <v>78</v>
      </c>
      <c r="B43" s="956" t="s">
        <v>1247</v>
      </c>
      <c r="C43" s="956"/>
      <c r="D43" s="956"/>
      <c r="E43" s="956"/>
      <c r="F43" s="956"/>
      <c r="G43" s="956"/>
      <c r="H43" s="956"/>
    </row>
    <row r="44" spans="1:16" s="618" customFormat="1" ht="13.2" customHeight="1">
      <c r="A44" s="247" t="s">
        <v>79</v>
      </c>
      <c r="B44" s="956" t="s">
        <v>1247</v>
      </c>
      <c r="C44" s="956"/>
      <c r="D44" s="956"/>
      <c r="E44" s="956"/>
      <c r="F44" s="956"/>
      <c r="G44" s="956"/>
      <c r="H44" s="956"/>
    </row>
    <row r="45" spans="1:16" s="618" customFormat="1" ht="14.25" customHeight="1">
      <c r="A45" s="247" t="s">
        <v>80</v>
      </c>
      <c r="B45" s="956" t="s">
        <v>1248</v>
      </c>
      <c r="C45" s="956"/>
      <c r="D45" s="956"/>
      <c r="E45" s="956"/>
      <c r="F45" s="956"/>
      <c r="G45" s="956"/>
      <c r="H45" s="956"/>
    </row>
    <row r="46" spans="1:16" s="618" customFormat="1" ht="122.4" customHeight="1">
      <c r="A46" s="247" t="s">
        <v>81</v>
      </c>
      <c r="B46" s="955" t="s">
        <v>1249</v>
      </c>
      <c r="C46" s="955"/>
      <c r="D46" s="955"/>
      <c r="E46" s="955"/>
      <c r="F46" s="955"/>
      <c r="G46" s="955"/>
      <c r="H46" s="955"/>
    </row>
    <row r="47" spans="1:16">
      <c r="B47" s="230"/>
    </row>
    <row r="97" spans="3:7" ht="15.6">
      <c r="C97" s="248"/>
      <c r="D97" s="249"/>
      <c r="E97" s="249"/>
      <c r="F97" s="249"/>
      <c r="G97" s="249"/>
    </row>
    <row r="98" spans="3:7" ht="99.75" customHeight="1">
      <c r="C98" s="248"/>
      <c r="D98" s="249"/>
      <c r="E98" s="249"/>
      <c r="F98" s="249"/>
      <c r="G98" s="249"/>
    </row>
    <row r="99" spans="3:7" ht="15.6">
      <c r="C99" s="248"/>
      <c r="D99" s="249"/>
      <c r="E99" s="249"/>
      <c r="F99" s="249"/>
      <c r="G99" s="249"/>
    </row>
    <row r="100" spans="3:7" ht="15.6">
      <c r="C100" s="248"/>
      <c r="D100" s="249"/>
      <c r="E100" s="249"/>
      <c r="F100" s="249"/>
      <c r="G100" s="249"/>
    </row>
    <row r="101" spans="3:7" ht="15.6">
      <c r="C101" s="248"/>
      <c r="D101" s="249"/>
      <c r="E101" s="249"/>
      <c r="F101" s="249"/>
      <c r="G101" s="249"/>
    </row>
    <row r="102" spans="3:7" ht="15.6">
      <c r="C102" s="248"/>
      <c r="D102" s="249"/>
      <c r="E102" s="249"/>
      <c r="F102" s="249"/>
      <c r="G102" s="249"/>
    </row>
    <row r="103" spans="3:7" ht="15.6">
      <c r="C103" s="248"/>
      <c r="D103" s="249"/>
      <c r="E103" s="249"/>
      <c r="F103" s="249"/>
      <c r="G103" s="249"/>
    </row>
    <row r="104" spans="3:7" ht="15.6">
      <c r="C104" s="248"/>
      <c r="D104" s="249"/>
      <c r="E104" s="249"/>
      <c r="F104" s="249"/>
      <c r="G104" s="249"/>
    </row>
    <row r="105" spans="3:7" ht="15.6">
      <c r="C105" s="248"/>
      <c r="D105" s="249"/>
      <c r="E105" s="249"/>
      <c r="F105" s="249"/>
      <c r="G105" s="249"/>
    </row>
    <row r="106" spans="3:7" ht="15.6">
      <c r="C106" s="248"/>
      <c r="D106" s="249"/>
      <c r="E106" s="249"/>
      <c r="F106" s="249"/>
      <c r="G106" s="249"/>
    </row>
    <row r="107" spans="3:7" ht="15.6">
      <c r="C107" s="248"/>
      <c r="D107" s="249"/>
      <c r="E107" s="249"/>
      <c r="F107" s="249"/>
      <c r="G107" s="249"/>
    </row>
    <row r="108" spans="3:7" ht="15.6">
      <c r="C108" s="248"/>
      <c r="D108" s="249"/>
      <c r="E108" s="249"/>
      <c r="F108" s="249"/>
      <c r="G108" s="249"/>
    </row>
    <row r="109" spans="3:7" ht="15.6">
      <c r="C109" s="248"/>
      <c r="D109" s="249"/>
      <c r="E109" s="249"/>
      <c r="F109" s="249"/>
      <c r="G109" s="249"/>
    </row>
    <row r="110" spans="3:7" ht="15.6">
      <c r="C110" s="248"/>
      <c r="D110" s="249"/>
      <c r="E110" s="249"/>
      <c r="F110" s="249"/>
      <c r="G110" s="249"/>
    </row>
    <row r="111" spans="3:7" ht="15.6">
      <c r="C111" s="248"/>
      <c r="D111" s="249"/>
      <c r="E111" s="249"/>
      <c r="F111" s="249"/>
      <c r="G111" s="249"/>
    </row>
    <row r="112" spans="3:7" ht="15.6">
      <c r="C112" s="248"/>
      <c r="D112" s="249"/>
      <c r="E112" s="249"/>
      <c r="F112" s="249"/>
      <c r="G112" s="249"/>
    </row>
    <row r="113" spans="3:7" ht="15.6">
      <c r="C113" s="248"/>
      <c r="D113" s="249"/>
      <c r="E113" s="249"/>
      <c r="F113" s="249"/>
      <c r="G113" s="249"/>
    </row>
    <row r="114" spans="3:7" ht="15.6">
      <c r="C114" s="248"/>
      <c r="D114" s="249"/>
      <c r="E114" s="249"/>
      <c r="F114" s="249"/>
      <c r="G114" s="249"/>
    </row>
    <row r="115" spans="3:7" ht="15.6">
      <c r="C115" s="248"/>
      <c r="D115" s="249"/>
      <c r="E115" s="249"/>
      <c r="F115" s="249"/>
      <c r="G115" s="249"/>
    </row>
    <row r="116" spans="3:7" ht="15.6">
      <c r="C116" s="248"/>
      <c r="D116" s="249"/>
      <c r="E116" s="249"/>
      <c r="F116" s="249"/>
      <c r="G116" s="249"/>
    </row>
    <row r="117" spans="3:7" ht="15.6">
      <c r="C117" s="248"/>
      <c r="D117" s="249"/>
      <c r="E117" s="249"/>
      <c r="F117" s="249"/>
      <c r="G117" s="249"/>
    </row>
    <row r="118" spans="3:7" ht="15.6">
      <c r="C118" s="248"/>
      <c r="D118" s="249"/>
      <c r="E118" s="249"/>
      <c r="F118" s="249"/>
      <c r="G118" s="249"/>
    </row>
    <row r="119" spans="3:7" ht="40.5" customHeight="1">
      <c r="C119" s="248"/>
      <c r="D119" s="249"/>
      <c r="E119" s="249"/>
      <c r="F119" s="249"/>
      <c r="G119" s="249"/>
    </row>
    <row r="120" spans="3:7" ht="15.6">
      <c r="C120" s="248"/>
      <c r="D120" s="249"/>
      <c r="E120" s="249"/>
      <c r="F120" s="249"/>
      <c r="G120" s="249"/>
    </row>
  </sheetData>
  <mergeCells count="9">
    <mergeCell ref="B46:H46"/>
    <mergeCell ref="B43:H43"/>
    <mergeCell ref="B44:H44"/>
    <mergeCell ref="B45:H45"/>
    <mergeCell ref="A1:H1"/>
    <mergeCell ref="A2:H2"/>
    <mergeCell ref="A3:H3"/>
    <mergeCell ref="B41:H41"/>
    <mergeCell ref="B42:H42"/>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60"/>
  <sheetViews>
    <sheetView tabSelected="1" zoomScale="80" zoomScaleNormal="80" workbookViewId="0">
      <selection activeCell="L30" sqref="L30"/>
    </sheetView>
  </sheetViews>
  <sheetFormatPr defaultColWidth="8.6328125" defaultRowHeight="13.2"/>
  <cols>
    <col min="1" max="1" width="4.1796875" style="93" customWidth="1"/>
    <col min="2" max="2" width="47.90625" style="93" customWidth="1"/>
    <col min="3" max="3" width="39.08984375" style="93" customWidth="1"/>
    <col min="4" max="4" width="17.08984375" style="93" bestFit="1" customWidth="1"/>
    <col min="5" max="5" width="4.08984375" style="93" customWidth="1"/>
    <col min="6" max="6" width="3.81640625" style="93" customWidth="1"/>
    <col min="7" max="7" width="7.90625" style="93" customWidth="1"/>
    <col min="8" max="8" width="3.6328125" style="93" bestFit="1" customWidth="1"/>
    <col min="9" max="9" width="12.453125" style="93" customWidth="1"/>
    <col min="10" max="10" width="1.453125" style="93" customWidth="1"/>
    <col min="11" max="11" width="7.90625" style="93" customWidth="1"/>
    <col min="12" max="12" width="10.08984375" style="93" bestFit="1" customWidth="1"/>
    <col min="13" max="14" width="10.6328125" style="93" customWidth="1"/>
    <col min="15" max="16" width="8.6328125" style="93"/>
    <col min="17" max="17" width="10.1796875" style="93" customWidth="1"/>
    <col min="18" max="18" width="8.6328125" style="93"/>
    <col min="19" max="19" width="10.1796875" style="93" customWidth="1"/>
    <col min="20" max="16384" width="8.6328125" style="93"/>
  </cols>
  <sheetData>
    <row r="1" spans="1:11">
      <c r="B1" s="62"/>
      <c r="C1" s="62"/>
      <c r="D1" s="94"/>
      <c r="E1" s="62"/>
      <c r="F1" s="62"/>
      <c r="G1" s="62"/>
      <c r="H1" s="62"/>
      <c r="I1" s="912" t="s">
        <v>370</v>
      </c>
      <c r="J1" s="912"/>
      <c r="K1" s="912"/>
    </row>
    <row r="2" spans="1:11">
      <c r="B2" s="62"/>
      <c r="C2" s="62"/>
      <c r="D2" s="94"/>
      <c r="E2" s="62"/>
      <c r="F2" s="62"/>
      <c r="G2" s="62"/>
      <c r="H2" s="62"/>
      <c r="I2" s="62"/>
      <c r="J2" s="911" t="s">
        <v>193</v>
      </c>
      <c r="K2" s="911"/>
    </row>
    <row r="3" spans="1:11">
      <c r="B3" s="62"/>
      <c r="C3" s="62"/>
      <c r="D3" s="94"/>
      <c r="E3" s="62"/>
      <c r="F3" s="62"/>
      <c r="G3" s="62"/>
      <c r="H3" s="62"/>
      <c r="I3" s="62"/>
      <c r="J3" s="62"/>
      <c r="K3" s="95"/>
    </row>
    <row r="4" spans="1:11">
      <c r="B4" s="94" t="s">
        <v>0</v>
      </c>
      <c r="C4" s="68" t="s">
        <v>112</v>
      </c>
      <c r="E4" s="62"/>
      <c r="F4" s="62"/>
      <c r="G4" s="62"/>
      <c r="H4" s="62"/>
      <c r="I4" s="62"/>
      <c r="J4" s="62"/>
      <c r="K4" s="96" t="s">
        <v>1264</v>
      </c>
    </row>
    <row r="5" spans="1:11">
      <c r="B5" s="62"/>
      <c r="C5" s="98" t="s">
        <v>113</v>
      </c>
      <c r="E5" s="97"/>
      <c r="F5" s="97"/>
      <c r="G5" s="97"/>
      <c r="H5" s="62"/>
      <c r="I5" s="62"/>
      <c r="J5" s="62"/>
      <c r="K5" s="62"/>
    </row>
    <row r="6" spans="1:11">
      <c r="B6" s="62"/>
      <c r="C6" s="97"/>
      <c r="D6" s="97"/>
      <c r="E6" s="97"/>
      <c r="F6" s="97"/>
      <c r="G6" s="97"/>
      <c r="H6" s="62"/>
      <c r="I6" s="62"/>
      <c r="J6" s="62"/>
      <c r="K6" s="62"/>
    </row>
    <row r="7" spans="1:11">
      <c r="B7" s="62"/>
      <c r="C7" s="99" t="s">
        <v>912</v>
      </c>
      <c r="E7" s="97"/>
      <c r="F7" s="97"/>
      <c r="G7" s="97"/>
      <c r="H7" s="97"/>
      <c r="I7" s="97"/>
      <c r="J7" s="97"/>
      <c r="K7" s="97"/>
    </row>
    <row r="8" spans="1:11">
      <c r="A8" s="68" t="s">
        <v>4</v>
      </c>
      <c r="B8" s="62"/>
      <c r="C8" s="62"/>
      <c r="D8" s="100"/>
      <c r="E8" s="62"/>
      <c r="F8" s="62"/>
      <c r="G8" s="62"/>
      <c r="H8" s="62"/>
      <c r="I8" s="68" t="s">
        <v>5</v>
      </c>
      <c r="J8" s="62"/>
      <c r="K8" s="62"/>
    </row>
    <row r="9" spans="1:11" ht="13.8" thickBot="1">
      <c r="A9" s="101" t="s">
        <v>6</v>
      </c>
      <c r="B9" s="62"/>
      <c r="C9" s="62"/>
      <c r="D9" s="62"/>
      <c r="E9" s="62"/>
      <c r="F9" s="62"/>
      <c r="G9" s="62"/>
      <c r="H9" s="62"/>
      <c r="I9" s="101" t="s">
        <v>7</v>
      </c>
      <c r="J9" s="62"/>
      <c r="K9" s="62"/>
    </row>
    <row r="10" spans="1:11">
      <c r="A10" s="68">
        <v>1</v>
      </c>
      <c r="B10" s="62" t="s">
        <v>709</v>
      </c>
      <c r="C10" s="62"/>
      <c r="D10" s="97"/>
      <c r="E10" s="62"/>
      <c r="F10" s="62"/>
      <c r="G10" s="62"/>
      <c r="H10" s="62"/>
      <c r="I10" s="102">
        <f>'Proj Att-H'!I151</f>
        <v>32447858.704528175</v>
      </c>
      <c r="J10" s="62"/>
      <c r="K10" s="62"/>
    </row>
    <row r="11" spans="1:11">
      <c r="A11" s="68"/>
      <c r="B11" s="62"/>
      <c r="C11" s="62"/>
      <c r="D11" s="62"/>
      <c r="E11" s="62"/>
      <c r="F11" s="62"/>
      <c r="G11" s="62"/>
      <c r="H11" s="62"/>
      <c r="I11" s="97"/>
      <c r="J11" s="62"/>
      <c r="K11" s="62"/>
    </row>
    <row r="12" spans="1:11" ht="13.8" thickBot="1">
      <c r="A12" s="68" t="s">
        <v>2</v>
      </c>
      <c r="B12" s="62" t="s">
        <v>8</v>
      </c>
      <c r="C12" s="97"/>
      <c r="D12" s="101" t="s">
        <v>9</v>
      </c>
      <c r="E12" s="97"/>
      <c r="F12" s="103" t="s">
        <v>10</v>
      </c>
      <c r="G12" s="103"/>
      <c r="H12" s="62"/>
      <c r="I12" s="97"/>
      <c r="J12" s="62"/>
      <c r="K12" s="62"/>
    </row>
    <row r="13" spans="1:11">
      <c r="A13" s="68">
        <v>2</v>
      </c>
      <c r="B13" s="62" t="s">
        <v>12</v>
      </c>
      <c r="C13" s="97" t="s">
        <v>676</v>
      </c>
      <c r="D13" s="160">
        <f>'Act Att-H'!D13</f>
        <v>502.17343589929112</v>
      </c>
      <c r="E13" s="97"/>
      <c r="F13" s="97" t="s">
        <v>290</v>
      </c>
      <c r="G13" s="104">
        <v>1</v>
      </c>
      <c r="H13" s="97"/>
      <c r="I13" s="54">
        <f>+G13*D13</f>
        <v>502.17343589929112</v>
      </c>
      <c r="J13" s="62"/>
      <c r="K13" s="62"/>
    </row>
    <row r="14" spans="1:11">
      <c r="A14" s="68">
        <v>3</v>
      </c>
      <c r="B14" s="62" t="s">
        <v>102</v>
      </c>
      <c r="C14" s="97" t="s">
        <v>677</v>
      </c>
      <c r="D14" s="160">
        <f>'Act Att-H'!D14</f>
        <v>468959</v>
      </c>
      <c r="E14" s="97"/>
      <c r="F14" s="105" t="s">
        <v>290</v>
      </c>
      <c r="G14" s="104">
        <v>1</v>
      </c>
      <c r="H14" s="97"/>
      <c r="I14" s="54">
        <f>+G14*D14</f>
        <v>468959</v>
      </c>
      <c r="J14" s="62"/>
      <c r="K14" s="62"/>
    </row>
    <row r="15" spans="1:11">
      <c r="A15" s="68">
        <v>4</v>
      </c>
      <c r="B15" s="2" t="s">
        <v>441</v>
      </c>
      <c r="C15" s="2"/>
      <c r="D15" s="163"/>
      <c r="E15" s="97"/>
      <c r="F15" s="105"/>
      <c r="G15" s="164"/>
      <c r="H15" s="97"/>
      <c r="I15" s="54"/>
      <c r="J15" s="62"/>
      <c r="K15" s="62"/>
    </row>
    <row r="16" spans="1:11" ht="13.8" thickBot="1">
      <c r="A16" s="68">
        <v>5</v>
      </c>
      <c r="B16" s="2" t="s">
        <v>441</v>
      </c>
      <c r="C16" s="2"/>
      <c r="D16" s="163"/>
      <c r="E16" s="97"/>
      <c r="F16" s="105"/>
      <c r="G16" s="164"/>
      <c r="H16" s="97"/>
      <c r="I16" s="55"/>
      <c r="J16" s="62"/>
      <c r="K16" s="62"/>
    </row>
    <row r="17" spans="1:11">
      <c r="A17" s="68">
        <v>6</v>
      </c>
      <c r="B17" s="62" t="s">
        <v>88</v>
      </c>
      <c r="C17" s="62"/>
      <c r="D17" s="107" t="s">
        <v>2</v>
      </c>
      <c r="E17" s="97"/>
      <c r="F17" s="97"/>
      <c r="G17" s="108"/>
      <c r="H17" s="97"/>
      <c r="I17" s="54">
        <f>SUM(I13:I16)</f>
        <v>469461.17343589931</v>
      </c>
      <c r="J17" s="62"/>
      <c r="K17" s="62"/>
    </row>
    <row r="18" spans="1:11">
      <c r="A18" s="68"/>
      <c r="B18" s="62"/>
      <c r="C18" s="62"/>
      <c r="I18" s="54"/>
      <c r="J18" s="62"/>
      <c r="K18" s="62"/>
    </row>
    <row r="19" spans="1:11" ht="13.8" thickBot="1">
      <c r="A19" s="68">
        <v>7</v>
      </c>
      <c r="B19" s="62" t="s">
        <v>13</v>
      </c>
      <c r="C19" s="62" t="s">
        <v>617</v>
      </c>
      <c r="D19" s="107"/>
      <c r="E19" s="97"/>
      <c r="F19" s="97"/>
      <c r="G19" s="97"/>
      <c r="H19" s="97"/>
      <c r="I19" s="109">
        <f>I10-I17</f>
        <v>31978397.531092275</v>
      </c>
      <c r="J19" s="62"/>
      <c r="K19" s="62"/>
    </row>
    <row r="20" spans="1:11" ht="13.8" thickTop="1">
      <c r="A20" s="68"/>
      <c r="C20" s="62"/>
      <c r="D20" s="107"/>
      <c r="E20" s="97"/>
      <c r="F20" s="97"/>
      <c r="G20" s="97"/>
      <c r="H20" s="97"/>
      <c r="J20" s="62"/>
      <c r="K20" s="62"/>
    </row>
    <row r="21" spans="1:11">
      <c r="A21" s="68"/>
      <c r="B21" s="62" t="s">
        <v>14</v>
      </c>
      <c r="C21" s="62"/>
      <c r="D21" s="97"/>
      <c r="E21" s="62"/>
      <c r="F21" s="62"/>
      <c r="G21" s="62"/>
      <c r="H21" s="62"/>
      <c r="I21" s="97"/>
      <c r="J21" s="62"/>
      <c r="K21" s="62"/>
    </row>
    <row r="22" spans="1:11">
      <c r="A22" s="68">
        <v>8</v>
      </c>
      <c r="B22" s="62" t="s">
        <v>206</v>
      </c>
      <c r="C22" s="93" t="s">
        <v>678</v>
      </c>
      <c r="D22" s="97"/>
      <c r="E22" s="62"/>
      <c r="F22" s="62"/>
      <c r="G22" s="62"/>
      <c r="H22" s="62"/>
      <c r="I22" s="160">
        <f>'P3-Divisor'!G24</f>
        <v>390969.88224637677</v>
      </c>
      <c r="J22" s="62"/>
      <c r="K22" s="62"/>
    </row>
    <row r="23" spans="1:11">
      <c r="A23" s="68">
        <v>9</v>
      </c>
      <c r="B23" s="62"/>
      <c r="C23" s="97"/>
      <c r="D23" s="97"/>
      <c r="E23" s="97"/>
      <c r="F23" s="97"/>
      <c r="G23" s="97"/>
      <c r="H23" s="97"/>
      <c r="I23" s="97"/>
      <c r="J23" s="62"/>
      <c r="K23" s="62"/>
    </row>
    <row r="24" spans="1:11">
      <c r="A24" s="68">
        <v>10</v>
      </c>
      <c r="B24" s="97" t="s">
        <v>205</v>
      </c>
      <c r="C24" s="97"/>
      <c r="D24" s="97"/>
      <c r="E24" s="97"/>
      <c r="F24" s="97"/>
      <c r="G24" s="97"/>
      <c r="H24" s="97"/>
      <c r="I24" s="97"/>
      <c r="J24" s="97"/>
      <c r="K24" s="62"/>
    </row>
    <row r="25" spans="1:11">
      <c r="A25" s="68">
        <v>11</v>
      </c>
      <c r="B25" s="62" t="s">
        <v>207</v>
      </c>
      <c r="C25" s="62"/>
      <c r="D25" s="538">
        <f>ROUND(I19/I22,2)</f>
        <v>81.790000000000006</v>
      </c>
      <c r="E25" s="62" t="s">
        <v>197</v>
      </c>
      <c r="F25" s="97"/>
      <c r="G25" s="97"/>
      <c r="H25" s="97"/>
      <c r="I25" s="97"/>
      <c r="J25" s="97"/>
      <c r="K25" s="62"/>
    </row>
    <row r="26" spans="1:11">
      <c r="A26" s="68">
        <v>12</v>
      </c>
      <c r="B26" s="62" t="s">
        <v>208</v>
      </c>
      <c r="C26" s="62" t="s">
        <v>603</v>
      </c>
      <c r="D26" s="538">
        <f>ROUND(D25/12,2)</f>
        <v>6.82</v>
      </c>
      <c r="E26" s="62" t="s">
        <v>198</v>
      </c>
      <c r="F26" s="97"/>
      <c r="G26" s="97"/>
      <c r="H26" s="97"/>
      <c r="I26" s="97"/>
      <c r="J26" s="97"/>
      <c r="K26" s="62"/>
    </row>
    <row r="27" spans="1:11">
      <c r="A27" s="68">
        <v>13</v>
      </c>
      <c r="B27" s="62" t="s">
        <v>209</v>
      </c>
      <c r="C27" s="62" t="s">
        <v>604</v>
      </c>
      <c r="D27" s="538">
        <f>ROUND(D25/52,2)</f>
        <v>1.57</v>
      </c>
      <c r="E27" s="62" t="s">
        <v>199</v>
      </c>
      <c r="F27" s="97"/>
      <c r="G27" s="97"/>
      <c r="H27" s="97"/>
      <c r="I27" s="97"/>
      <c r="J27" s="97"/>
      <c r="K27" s="62"/>
    </row>
    <row r="28" spans="1:11">
      <c r="A28" s="68">
        <v>14</v>
      </c>
      <c r="B28" s="62" t="s">
        <v>210</v>
      </c>
      <c r="C28" s="62" t="s">
        <v>200</v>
      </c>
      <c r="D28" s="989">
        <f>+D27/6</f>
        <v>0.26166666666666666</v>
      </c>
      <c r="E28" s="62" t="s">
        <v>201</v>
      </c>
      <c r="F28" s="97"/>
      <c r="G28" s="97"/>
      <c r="H28" s="97"/>
      <c r="I28" s="97"/>
      <c r="J28" s="97"/>
      <c r="K28" s="62"/>
    </row>
    <row r="29" spans="1:11">
      <c r="A29" s="68">
        <v>15</v>
      </c>
      <c r="B29" s="62" t="s">
        <v>211</v>
      </c>
      <c r="C29" s="62" t="s">
        <v>202</v>
      </c>
      <c r="D29" s="989">
        <f>+D27/7</f>
        <v>0.22428571428571428</v>
      </c>
      <c r="E29" s="62" t="s">
        <v>201</v>
      </c>
      <c r="F29" s="97"/>
      <c r="G29" s="97"/>
      <c r="H29" s="97"/>
      <c r="I29" s="97"/>
      <c r="J29" s="97"/>
      <c r="K29" s="62"/>
    </row>
    <row r="30" spans="1:11">
      <c r="A30" s="68">
        <v>16</v>
      </c>
      <c r="B30" s="62" t="s">
        <v>212</v>
      </c>
      <c r="C30" s="62" t="s">
        <v>203</v>
      </c>
      <c r="D30" s="989">
        <f>+D28/16*1000</f>
        <v>16.354166666666668</v>
      </c>
      <c r="E30" s="62" t="s">
        <v>668</v>
      </c>
      <c r="F30" s="97"/>
      <c r="G30" s="97"/>
      <c r="H30" s="97"/>
      <c r="I30" s="97"/>
      <c r="J30" s="97"/>
      <c r="K30" s="62"/>
    </row>
    <row r="31" spans="1:11">
      <c r="A31" s="68">
        <v>17</v>
      </c>
      <c r="B31" s="62" t="s">
        <v>213</v>
      </c>
      <c r="C31" s="62" t="s">
        <v>204</v>
      </c>
      <c r="D31" s="989">
        <f>+D29/24*1000</f>
        <v>9.3452380952380949</v>
      </c>
      <c r="E31" s="62" t="s">
        <v>668</v>
      </c>
      <c r="F31" s="97"/>
      <c r="G31" s="97"/>
      <c r="H31" s="97"/>
      <c r="I31" s="97"/>
      <c r="J31" s="97"/>
      <c r="K31" s="62"/>
    </row>
    <row r="32" spans="1:11">
      <c r="B32" s="62"/>
      <c r="C32" s="62"/>
      <c r="D32" s="94"/>
      <c r="E32" s="62"/>
      <c r="F32" s="62"/>
      <c r="G32" s="62"/>
      <c r="H32" s="62"/>
      <c r="I32" s="912" t="str">
        <f>I1</f>
        <v>Projected Attachment H</v>
      </c>
      <c r="J32" s="912"/>
      <c r="K32" s="912"/>
    </row>
    <row r="33" spans="1:11">
      <c r="B33" s="62"/>
      <c r="C33" s="62"/>
      <c r="D33" s="94"/>
      <c r="E33" s="62"/>
      <c r="F33" s="62"/>
      <c r="G33" s="62"/>
      <c r="H33" s="62"/>
      <c r="I33" s="62"/>
      <c r="J33" s="911" t="s">
        <v>194</v>
      </c>
      <c r="K33" s="911"/>
    </row>
    <row r="34" spans="1:11">
      <c r="B34" s="62"/>
      <c r="C34" s="62"/>
      <c r="D34" s="94"/>
      <c r="E34" s="62"/>
      <c r="F34" s="62"/>
      <c r="G34" s="62"/>
      <c r="H34" s="62"/>
      <c r="I34" s="62"/>
      <c r="J34" s="62"/>
      <c r="K34" s="95"/>
    </row>
    <row r="35" spans="1:11">
      <c r="B35" s="94" t="s">
        <v>0</v>
      </c>
      <c r="C35" s="68" t="s">
        <v>1</v>
      </c>
      <c r="E35" s="62"/>
      <c r="F35" s="62"/>
      <c r="G35" s="62"/>
      <c r="H35" s="62"/>
      <c r="I35" s="62"/>
      <c r="J35" s="62"/>
      <c r="K35" s="110" t="str">
        <f>K4</f>
        <v>Estimated - For the 12 months ended 12/31/2024</v>
      </c>
    </row>
    <row r="36" spans="1:11">
      <c r="B36" s="62"/>
      <c r="C36" s="98" t="s">
        <v>3</v>
      </c>
      <c r="E36" s="97"/>
      <c r="F36" s="97"/>
      <c r="G36" s="97"/>
      <c r="H36" s="62"/>
      <c r="I36" s="62"/>
      <c r="J36" s="62"/>
      <c r="K36" s="62"/>
    </row>
    <row r="37" spans="1:11">
      <c r="B37" s="62"/>
      <c r="C37" s="97"/>
      <c r="E37" s="97"/>
      <c r="F37" s="97"/>
      <c r="G37" s="97"/>
      <c r="H37" s="62"/>
      <c r="I37" s="62"/>
      <c r="J37" s="62"/>
      <c r="K37" s="62"/>
    </row>
    <row r="38" spans="1:11">
      <c r="A38" s="68"/>
      <c r="C38" s="111" t="str">
        <f>C7</f>
        <v>Black Hills Colorado Electric, LLC</v>
      </c>
      <c r="J38" s="97"/>
      <c r="K38" s="97"/>
    </row>
    <row r="39" spans="1:11">
      <c r="B39" s="62"/>
      <c r="C39" s="62"/>
      <c r="D39" s="62"/>
      <c r="E39" s="62"/>
      <c r="F39" s="62"/>
      <c r="G39" s="62"/>
      <c r="H39" s="62"/>
      <c r="J39" s="62"/>
      <c r="K39" s="62"/>
    </row>
    <row r="40" spans="1:11">
      <c r="B40" s="68" t="s">
        <v>15</v>
      </c>
      <c r="C40" s="68" t="s">
        <v>16</v>
      </c>
      <c r="D40" s="68" t="s">
        <v>17</v>
      </c>
      <c r="E40" s="97" t="s">
        <v>2</v>
      </c>
      <c r="F40" s="97"/>
      <c r="G40" s="112" t="s">
        <v>18</v>
      </c>
      <c r="H40" s="97"/>
      <c r="I40" s="113" t="s">
        <v>19</v>
      </c>
      <c r="J40" s="97"/>
      <c r="K40" s="68"/>
    </row>
    <row r="41" spans="1:11">
      <c r="B41" s="62"/>
      <c r="C41" s="114" t="s">
        <v>20</v>
      </c>
      <c r="D41" s="97"/>
      <c r="E41" s="97"/>
      <c r="F41" s="97"/>
      <c r="G41" s="68"/>
      <c r="H41" s="97"/>
      <c r="I41" s="115" t="s">
        <v>21</v>
      </c>
      <c r="J41" s="97"/>
      <c r="K41" s="68"/>
    </row>
    <row r="42" spans="1:11">
      <c r="A42" s="68" t="s">
        <v>4</v>
      </c>
      <c r="B42" s="62"/>
      <c r="C42" s="116" t="s">
        <v>22</v>
      </c>
      <c r="D42" s="115" t="s">
        <v>23</v>
      </c>
      <c r="E42" s="117"/>
      <c r="F42" s="115" t="s">
        <v>24</v>
      </c>
      <c r="H42" s="117"/>
      <c r="I42" s="68" t="s">
        <v>25</v>
      </c>
      <c r="J42" s="97"/>
      <c r="K42" s="68"/>
    </row>
    <row r="43" spans="1:11" ht="13.8" thickBot="1">
      <c r="A43" s="101" t="s">
        <v>6</v>
      </c>
      <c r="B43" s="118" t="s">
        <v>445</v>
      </c>
      <c r="C43" s="97"/>
      <c r="D43" s="97"/>
      <c r="E43" s="97"/>
      <c r="F43" s="97"/>
      <c r="G43" s="97"/>
      <c r="H43" s="97"/>
      <c r="I43" s="97"/>
      <c r="J43" s="97"/>
      <c r="K43" s="97"/>
    </row>
    <row r="44" spans="1:11">
      <c r="A44" s="68"/>
      <c r="B44" s="62" t="s">
        <v>486</v>
      </c>
      <c r="C44" s="97"/>
      <c r="D44" s="97"/>
      <c r="E44" s="97"/>
      <c r="F44" s="97"/>
      <c r="G44" s="97"/>
      <c r="H44" s="97"/>
      <c r="I44" s="97"/>
      <c r="J44" s="97"/>
      <c r="K44" s="97"/>
    </row>
    <row r="45" spans="1:11">
      <c r="A45" s="843">
        <v>1</v>
      </c>
      <c r="B45" s="844" t="s">
        <v>28</v>
      </c>
      <c r="C45" s="845" t="s">
        <v>825</v>
      </c>
      <c r="D45" s="258">
        <f>'P1-Trans Plant'!H44</f>
        <v>316090895.07231909</v>
      </c>
      <c r="E45" s="97"/>
      <c r="F45" s="97" t="s">
        <v>11</v>
      </c>
      <c r="G45" s="120">
        <f>$I$170</f>
        <v>0.93124420194583424</v>
      </c>
      <c r="H45" s="97"/>
      <c r="I45" s="850">
        <f>+G45*D45</f>
        <v>294357813.32396621</v>
      </c>
      <c r="J45" s="97"/>
      <c r="K45" s="97"/>
    </row>
    <row r="46" spans="1:11">
      <c r="A46" s="843">
        <v>2</v>
      </c>
      <c r="B46" s="844" t="s">
        <v>30</v>
      </c>
      <c r="C46" s="844" t="s">
        <v>969</v>
      </c>
      <c r="D46" s="258">
        <f>'A4-Rate Base'!F22</f>
        <v>44386551.700000055</v>
      </c>
      <c r="E46" s="97"/>
      <c r="F46" s="848" t="s">
        <v>31</v>
      </c>
      <c r="G46" s="849">
        <f>$I$187</f>
        <v>0.12706661096257854</v>
      </c>
      <c r="H46" s="97"/>
      <c r="I46" s="850">
        <f>+G46*D46</f>
        <v>5640048.6968342857</v>
      </c>
      <c r="J46" s="97"/>
      <c r="K46" s="97"/>
    </row>
    <row r="47" spans="1:11">
      <c r="A47" s="843" t="s">
        <v>130</v>
      </c>
      <c r="B47" s="844" t="s">
        <v>58</v>
      </c>
      <c r="C47" s="844" t="s">
        <v>968</v>
      </c>
      <c r="D47" s="847">
        <f>'A4-Rate Base'!G22</f>
        <v>22745275</v>
      </c>
      <c r="E47" s="97"/>
      <c r="F47" s="848" t="s">
        <v>1256</v>
      </c>
      <c r="G47" s="849">
        <f>$K$191</f>
        <v>0.12451406279937895</v>
      </c>
      <c r="H47" s="97"/>
      <c r="I47" s="850">
        <f>+G47*D47</f>
        <v>2832106.5997391441</v>
      </c>
      <c r="J47" s="97"/>
      <c r="K47" s="97"/>
    </row>
    <row r="48" spans="1:11">
      <c r="A48" s="843">
        <v>3</v>
      </c>
      <c r="B48" s="844" t="s">
        <v>281</v>
      </c>
      <c r="C48" s="846" t="s">
        <v>1102</v>
      </c>
      <c r="D48" s="545">
        <f>SUM(D45:D47)</f>
        <v>383222721.77231914</v>
      </c>
      <c r="E48" s="97"/>
      <c r="F48" s="97" t="s">
        <v>36</v>
      </c>
      <c r="G48" s="120">
        <f>$G$222</f>
        <v>0.25172374063863684</v>
      </c>
      <c r="H48" s="97"/>
      <c r="I48" s="851">
        <f>SUM(I45:I47)</f>
        <v>302829968.62053961</v>
      </c>
      <c r="J48" s="97"/>
      <c r="K48" s="122"/>
    </row>
    <row r="49" spans="1:11">
      <c r="B49" s="62"/>
      <c r="C49" s="97"/>
      <c r="D49" s="97"/>
      <c r="E49" s="97"/>
      <c r="F49" s="97"/>
      <c r="G49" s="120"/>
      <c r="H49" s="97"/>
      <c r="I49" s="50"/>
      <c r="J49" s="97"/>
      <c r="K49" s="122"/>
    </row>
    <row r="50" spans="1:11">
      <c r="B50" s="62" t="s">
        <v>487</v>
      </c>
      <c r="C50" s="97"/>
      <c r="D50" s="97"/>
      <c r="E50" s="97"/>
      <c r="F50" s="97"/>
      <c r="G50" s="120"/>
      <c r="H50" s="97"/>
      <c r="I50" s="97"/>
      <c r="J50" s="97"/>
      <c r="K50" s="97"/>
    </row>
    <row r="51" spans="1:11">
      <c r="A51" s="843">
        <v>4</v>
      </c>
      <c r="B51" s="852" t="str">
        <f>+B45</f>
        <v xml:space="preserve">  Transmission</v>
      </c>
      <c r="C51" s="845" t="s">
        <v>826</v>
      </c>
      <c r="D51" s="847">
        <f>'P1-Trans Plant'!J44</f>
        <v>56437514.541661449</v>
      </c>
      <c r="E51" s="848"/>
      <c r="F51" s="853" t="str">
        <f>+F45</f>
        <v>TP</v>
      </c>
      <c r="G51" s="849">
        <f>$I$170</f>
        <v>0.93124420194583424</v>
      </c>
      <c r="H51" s="848"/>
      <c r="I51" s="850">
        <f>+G51*D51</f>
        <v>52557108.189155929</v>
      </c>
      <c r="J51" s="97"/>
      <c r="K51" s="97"/>
    </row>
    <row r="52" spans="1:11">
      <c r="A52" s="843">
        <v>5</v>
      </c>
      <c r="B52" s="852" t="str">
        <f>+B46</f>
        <v xml:space="preserve">  General &amp; Intangible</v>
      </c>
      <c r="C52" s="844" t="s">
        <v>970</v>
      </c>
      <c r="D52" s="847">
        <f>'A4-Rate Base'!H45</f>
        <v>22580427.327506546</v>
      </c>
      <c r="E52" s="848"/>
      <c r="F52" s="853" t="str">
        <f>+F46</f>
        <v>W/S</v>
      </c>
      <c r="G52" s="849">
        <f>$I$187</f>
        <v>0.12706661096257854</v>
      </c>
      <c r="H52" s="848"/>
      <c r="I52" s="850">
        <f>+G52*D52</f>
        <v>2869218.3745930512</v>
      </c>
      <c r="J52" s="97"/>
      <c r="K52" s="97"/>
    </row>
    <row r="53" spans="1:11">
      <c r="A53" s="843" t="s">
        <v>99</v>
      </c>
      <c r="B53" s="844" t="s">
        <v>58</v>
      </c>
      <c r="C53" s="844" t="s">
        <v>1103</v>
      </c>
      <c r="D53" s="847">
        <f>'A4-Rate Base'!I45</f>
        <v>6269229</v>
      </c>
      <c r="E53" s="848"/>
      <c r="F53" s="848" t="s">
        <v>1256</v>
      </c>
      <c r="G53" s="849">
        <f>$K$191</f>
        <v>0.12451406279937895</v>
      </c>
      <c r="H53" s="848"/>
      <c r="I53" s="850">
        <f>+G53*D53</f>
        <v>780607.1734096877</v>
      </c>
      <c r="J53" s="97"/>
      <c r="K53" s="97"/>
    </row>
    <row r="54" spans="1:11">
      <c r="A54" s="843">
        <v>6</v>
      </c>
      <c r="B54" s="844" t="s">
        <v>283</v>
      </c>
      <c r="C54" s="846" t="s">
        <v>1104</v>
      </c>
      <c r="D54" s="854">
        <f>SUM(D51:D53)</f>
        <v>85287170.869167998</v>
      </c>
      <c r="E54" s="848"/>
      <c r="F54" s="848"/>
      <c r="G54" s="849"/>
      <c r="H54" s="848"/>
      <c r="I54" s="851">
        <f>SUM(I51:I53)</f>
        <v>56206933.737158664</v>
      </c>
      <c r="J54" s="97"/>
      <c r="K54" s="97"/>
    </row>
    <row r="55" spans="1:11">
      <c r="A55" s="68"/>
      <c r="C55" s="97" t="s">
        <v>2</v>
      </c>
      <c r="D55" s="858"/>
      <c r="E55" s="848"/>
      <c r="F55" s="848"/>
      <c r="G55" s="849"/>
      <c r="H55" s="848"/>
      <c r="I55" s="858"/>
      <c r="J55" s="97"/>
      <c r="K55" s="122"/>
    </row>
    <row r="56" spans="1:11">
      <c r="A56" s="68"/>
      <c r="B56" s="62" t="s">
        <v>126</v>
      </c>
      <c r="C56" s="97"/>
      <c r="D56" s="848"/>
      <c r="E56" s="848"/>
      <c r="F56" s="848"/>
      <c r="G56" s="849"/>
      <c r="H56" s="848"/>
      <c r="I56" s="848"/>
      <c r="J56" s="97"/>
      <c r="K56" s="97"/>
    </row>
    <row r="57" spans="1:11">
      <c r="A57" s="843">
        <v>7</v>
      </c>
      <c r="B57" s="852" t="str">
        <f>+B51</f>
        <v xml:space="preserve">  Transmission</v>
      </c>
      <c r="C57" s="855" t="s">
        <v>471</v>
      </c>
      <c r="D57" s="856">
        <f>D45-D51</f>
        <v>259653380.53065765</v>
      </c>
      <c r="E57" s="848"/>
      <c r="F57" s="848"/>
      <c r="G57" s="849"/>
      <c r="H57" s="848"/>
      <c r="I57" s="850">
        <f>I45-I51</f>
        <v>241800705.13481027</v>
      </c>
      <c r="J57" s="97"/>
      <c r="K57" s="122"/>
    </row>
    <row r="58" spans="1:11">
      <c r="A58" s="843">
        <v>8</v>
      </c>
      <c r="B58" s="852" t="str">
        <f>+B52</f>
        <v xml:space="preserve">  General &amp; Intangible</v>
      </c>
      <c r="C58" s="855" t="s">
        <v>470</v>
      </c>
      <c r="D58" s="856">
        <f>D46-D52</f>
        <v>21806124.372493509</v>
      </c>
      <c r="E58" s="848"/>
      <c r="F58" s="848"/>
      <c r="G58" s="849"/>
      <c r="H58" s="848"/>
      <c r="I58" s="850">
        <f>I46-I52</f>
        <v>2770830.3222412346</v>
      </c>
      <c r="J58" s="97"/>
      <c r="K58" s="122"/>
    </row>
    <row r="59" spans="1:11">
      <c r="A59" s="843" t="s">
        <v>971</v>
      </c>
      <c r="B59" s="844" t="s">
        <v>58</v>
      </c>
      <c r="C59" s="844" t="s">
        <v>972</v>
      </c>
      <c r="D59" s="856">
        <f>D47-D53</f>
        <v>16476046</v>
      </c>
      <c r="E59" s="848"/>
      <c r="F59" s="848"/>
      <c r="G59" s="849"/>
      <c r="H59" s="848"/>
      <c r="I59" s="850">
        <f>I47-I53</f>
        <v>2051499.4263294563</v>
      </c>
      <c r="J59" s="97"/>
      <c r="K59" s="122"/>
    </row>
    <row r="60" spans="1:11">
      <c r="A60" s="843">
        <v>9</v>
      </c>
      <c r="B60" s="844" t="s">
        <v>285</v>
      </c>
      <c r="C60" s="846" t="s">
        <v>1105</v>
      </c>
      <c r="D60" s="857">
        <f>SUM(D57:D59)</f>
        <v>297935550.90315115</v>
      </c>
      <c r="E60" s="848"/>
      <c r="F60" s="848" t="s">
        <v>33</v>
      </c>
      <c r="G60" s="849">
        <f>$G$230</f>
        <v>0.29252080305545519</v>
      </c>
      <c r="H60" s="848"/>
      <c r="I60" s="851">
        <f>SUM(I57:I59)</f>
        <v>246623034.88338098</v>
      </c>
      <c r="J60" s="97"/>
      <c r="K60" s="97"/>
    </row>
    <row r="61" spans="1:11" s="2" customFormat="1">
      <c r="A61" s="44"/>
      <c r="B61" s="45"/>
      <c r="C61" s="43"/>
      <c r="D61" s="46"/>
      <c r="E61" s="42"/>
      <c r="F61" s="42"/>
      <c r="G61" s="120"/>
      <c r="H61" s="42"/>
      <c r="I61" s="54"/>
      <c r="J61" s="43"/>
      <c r="K61" s="43"/>
    </row>
    <row r="62" spans="1:11" s="2" customFormat="1">
      <c r="A62" s="44">
        <v>10</v>
      </c>
      <c r="B62" s="48" t="s">
        <v>287</v>
      </c>
      <c r="C62" s="49" t="s">
        <v>1149</v>
      </c>
      <c r="D62" s="258">
        <f>'A4-Rate Base'!H23</f>
        <v>0</v>
      </c>
      <c r="E62" s="49"/>
      <c r="F62" s="64"/>
      <c r="G62" s="608"/>
      <c r="H62" s="49"/>
      <c r="I62" s="51">
        <f>+G62*D62</f>
        <v>0</v>
      </c>
      <c r="J62" s="43"/>
      <c r="K62" s="43"/>
    </row>
    <row r="63" spans="1:11" s="2" customFormat="1">
      <c r="A63" s="44"/>
      <c r="B63" s="52"/>
      <c r="C63" s="43"/>
      <c r="D63" s="46"/>
      <c r="E63" s="43"/>
      <c r="F63" s="52"/>
      <c r="G63" s="120"/>
      <c r="H63" s="43"/>
      <c r="I63" s="46"/>
      <c r="J63" s="43"/>
      <c r="K63" s="53"/>
    </row>
    <row r="64" spans="1:11">
      <c r="A64" s="68"/>
      <c r="B64" s="62" t="s">
        <v>356</v>
      </c>
      <c r="C64" s="97"/>
      <c r="D64" s="97"/>
      <c r="E64" s="97"/>
      <c r="F64" s="97"/>
      <c r="G64" s="120"/>
      <c r="H64" s="97"/>
      <c r="I64" s="97"/>
      <c r="J64" s="97"/>
      <c r="K64" s="97"/>
    </row>
    <row r="65" spans="1:11">
      <c r="A65" s="44">
        <v>11</v>
      </c>
      <c r="B65" s="123" t="s">
        <v>772</v>
      </c>
      <c r="C65" s="62" t="s">
        <v>751</v>
      </c>
      <c r="D65" s="258">
        <f>'P5-ADIT'!J72</f>
        <v>0</v>
      </c>
      <c r="E65" s="43"/>
      <c r="F65" s="43" t="s">
        <v>36</v>
      </c>
      <c r="G65" s="120">
        <f>$G$222</f>
        <v>0.25172374063863684</v>
      </c>
      <c r="H65" s="42"/>
      <c r="I65" s="46">
        <f>D65*G65</f>
        <v>0</v>
      </c>
      <c r="J65" s="97"/>
      <c r="K65" s="122"/>
    </row>
    <row r="66" spans="1:11">
      <c r="A66" s="44">
        <v>12</v>
      </c>
      <c r="B66" s="123" t="s">
        <v>777</v>
      </c>
      <c r="C66" s="62" t="s">
        <v>752</v>
      </c>
      <c r="D66" s="258">
        <f>'P5-ADIT'!J106</f>
        <v>-34428871.308606967</v>
      </c>
      <c r="E66" s="43"/>
      <c r="F66" s="43" t="s">
        <v>11</v>
      </c>
      <c r="G66" s="120">
        <f>$I$170</f>
        <v>0.93124420194583424</v>
      </c>
      <c r="H66" s="42"/>
      <c r="I66" s="46">
        <f>D66*G66</f>
        <v>-32061686.785679527</v>
      </c>
      <c r="J66" s="97"/>
      <c r="K66" s="122"/>
    </row>
    <row r="67" spans="1:11">
      <c r="A67" s="44">
        <v>13</v>
      </c>
      <c r="B67" s="123" t="s">
        <v>778</v>
      </c>
      <c r="C67" s="62" t="s">
        <v>753</v>
      </c>
      <c r="D67" s="258">
        <f>'P5-ADIT'!J140</f>
        <v>-56136196</v>
      </c>
      <c r="E67" s="43"/>
      <c r="F67" s="43" t="s">
        <v>36</v>
      </c>
      <c r="G67" s="120">
        <f>$G$222</f>
        <v>0.25172374063863684</v>
      </c>
      <c r="H67" s="42"/>
      <c r="I67" s="46">
        <f>D67*G67</f>
        <v>-14130813.242343683</v>
      </c>
      <c r="J67" s="97"/>
      <c r="K67" s="122"/>
    </row>
    <row r="68" spans="1:11">
      <c r="A68" s="44">
        <v>14</v>
      </c>
      <c r="B68" s="45" t="s">
        <v>121</v>
      </c>
      <c r="C68" s="62" t="s">
        <v>740</v>
      </c>
      <c r="D68" s="258">
        <f>'P5-ADIT'!J28</f>
        <v>70988734.984520003</v>
      </c>
      <c r="E68" s="43"/>
      <c r="F68" s="43" t="s">
        <v>36</v>
      </c>
      <c r="G68" s="120">
        <f>$G$222</f>
        <v>0.25172374063863684</v>
      </c>
      <c r="H68" s="42"/>
      <c r="I68" s="54">
        <f>D68*G68</f>
        <v>17869549.91350824</v>
      </c>
      <c r="J68" s="97"/>
      <c r="K68" s="122"/>
    </row>
    <row r="69" spans="1:11">
      <c r="A69" s="44" t="s">
        <v>742</v>
      </c>
      <c r="B69" s="45" t="s">
        <v>743</v>
      </c>
      <c r="C69" s="62" t="s">
        <v>741</v>
      </c>
      <c r="D69" s="258">
        <f>'P5-ADIT'!J35</f>
        <v>454635.53419094591</v>
      </c>
      <c r="E69" s="43"/>
      <c r="F69" s="43"/>
      <c r="G69" s="120"/>
      <c r="H69" s="42"/>
      <c r="I69" s="54">
        <f>D69</f>
        <v>454635.53419094591</v>
      </c>
      <c r="J69" s="97"/>
      <c r="K69" s="122"/>
    </row>
    <row r="70" spans="1:11">
      <c r="A70" s="44">
        <v>15</v>
      </c>
      <c r="B70" s="52" t="s">
        <v>734</v>
      </c>
      <c r="C70" s="62"/>
      <c r="D70" s="546">
        <v>0</v>
      </c>
      <c r="E70" s="43"/>
      <c r="F70" s="43"/>
      <c r="G70" s="120"/>
      <c r="H70" s="42"/>
      <c r="I70" s="50">
        <f>D70*G70</f>
        <v>0</v>
      </c>
      <c r="J70" s="97"/>
      <c r="K70" s="122"/>
    </row>
    <row r="71" spans="1:11">
      <c r="A71" s="44">
        <v>16</v>
      </c>
      <c r="B71" s="48" t="s">
        <v>288</v>
      </c>
      <c r="C71" s="62" t="s">
        <v>1106</v>
      </c>
      <c r="D71" s="258">
        <f>'A4-Rate Base'!C89</f>
        <v>0</v>
      </c>
      <c r="E71" s="49"/>
      <c r="F71" s="64"/>
      <c r="G71" s="608"/>
      <c r="H71" s="49"/>
      <c r="I71" s="51">
        <f>D71*G71</f>
        <v>0</v>
      </c>
      <c r="J71" s="97"/>
      <c r="K71" s="122"/>
    </row>
    <row r="72" spans="1:11">
      <c r="A72" s="44" t="s">
        <v>1144</v>
      </c>
      <c r="B72" s="48" t="s">
        <v>1125</v>
      </c>
      <c r="C72" s="62" t="s">
        <v>1145</v>
      </c>
      <c r="D72" s="258">
        <f>'A4-Rate Base'!I66</f>
        <v>0</v>
      </c>
      <c r="E72" s="49"/>
      <c r="F72" s="64"/>
      <c r="G72" s="608"/>
      <c r="H72" s="49"/>
      <c r="I72" s="51">
        <f>D72*G72</f>
        <v>0</v>
      </c>
      <c r="J72" s="97"/>
      <c r="K72" s="122"/>
    </row>
    <row r="73" spans="1:11">
      <c r="A73" s="44">
        <v>17</v>
      </c>
      <c r="B73" s="48" t="s">
        <v>289</v>
      </c>
      <c r="C73" s="62" t="s">
        <v>1107</v>
      </c>
      <c r="D73" s="258">
        <f>'A4-Rate Base'!D89</f>
        <v>0</v>
      </c>
      <c r="E73" s="49"/>
      <c r="F73" s="64"/>
      <c r="G73" s="608"/>
      <c r="H73" s="49"/>
      <c r="I73" s="51">
        <f>D73*G73</f>
        <v>0</v>
      </c>
      <c r="J73" s="97"/>
      <c r="K73" s="122"/>
    </row>
    <row r="74" spans="1:11">
      <c r="A74" s="44">
        <v>18</v>
      </c>
      <c r="B74" s="48" t="s">
        <v>291</v>
      </c>
      <c r="C74" s="62" t="s">
        <v>469</v>
      </c>
      <c r="D74" s="258">
        <f>'Act Att-H'!D79</f>
        <v>-763487.19957563549</v>
      </c>
      <c r="E74" s="49"/>
      <c r="F74" s="49"/>
      <c r="G74" s="120"/>
      <c r="H74" s="49"/>
      <c r="I74" s="51">
        <f t="shared" ref="I74" si="0">D74</f>
        <v>-763487.19957563549</v>
      </c>
      <c r="J74" s="97"/>
      <c r="K74" s="122"/>
    </row>
    <row r="75" spans="1:11">
      <c r="A75" s="44">
        <v>19</v>
      </c>
      <c r="B75" s="123" t="s">
        <v>122</v>
      </c>
      <c r="C75" s="62" t="s">
        <v>468</v>
      </c>
      <c r="D75" s="258">
        <f>'Act Att-H'!D80</f>
        <v>2895605.8200000105</v>
      </c>
      <c r="E75" s="97"/>
      <c r="F75" s="43" t="s">
        <v>36</v>
      </c>
      <c r="G75" s="120">
        <f>$G$222</f>
        <v>0.25172374063863684</v>
      </c>
      <c r="H75" s="97"/>
      <c r="I75" s="51">
        <f t="shared" ref="I75" si="1">D75*G75</f>
        <v>728892.72842540999</v>
      </c>
      <c r="J75" s="97"/>
      <c r="K75" s="122"/>
    </row>
    <row r="76" spans="1:11" ht="13.8" thickBot="1">
      <c r="A76" s="68">
        <v>20</v>
      </c>
      <c r="B76" s="123" t="s">
        <v>1046</v>
      </c>
      <c r="C76" s="62" t="s">
        <v>911</v>
      </c>
      <c r="D76" s="258">
        <f>'P5-ADIT'!J175</f>
        <v>-8653269.5480635036</v>
      </c>
      <c r="E76" s="97"/>
      <c r="F76" s="97"/>
      <c r="G76" s="97"/>
      <c r="H76" s="97"/>
      <c r="I76" s="55">
        <f>D76</f>
        <v>-8653269.5480635036</v>
      </c>
      <c r="J76" s="97"/>
      <c r="K76" s="122"/>
    </row>
    <row r="77" spans="1:11">
      <c r="A77" s="68">
        <v>21</v>
      </c>
      <c r="B77" s="62" t="s">
        <v>297</v>
      </c>
      <c r="C77" s="165" t="s">
        <v>763</v>
      </c>
      <c r="D77" s="547">
        <f>SUM(D65:D76)</f>
        <v>-25642847.717535146</v>
      </c>
      <c r="E77" s="97"/>
      <c r="F77" s="97"/>
      <c r="G77" s="120"/>
      <c r="H77" s="97"/>
      <c r="I77" s="54">
        <f>SUM(I65:I76)</f>
        <v>-36556178.59953776</v>
      </c>
      <c r="J77" s="97"/>
      <c r="K77" s="97"/>
    </row>
    <row r="78" spans="1:11">
      <c r="A78" s="68"/>
      <c r="C78" s="97"/>
      <c r="E78" s="97"/>
      <c r="F78" s="97"/>
      <c r="G78" s="120"/>
      <c r="H78" s="97"/>
      <c r="J78" s="97"/>
      <c r="K78" s="122"/>
    </row>
    <row r="79" spans="1:11">
      <c r="A79" s="68">
        <v>22</v>
      </c>
      <c r="B79" s="62" t="s">
        <v>34</v>
      </c>
      <c r="C79" s="62" t="s">
        <v>597</v>
      </c>
      <c r="D79" s="258">
        <f>'A4-Rate Base'!I22</f>
        <v>0</v>
      </c>
      <c r="E79" s="97"/>
      <c r="F79" s="105" t="str">
        <f>+F51</f>
        <v>TP</v>
      </c>
      <c r="G79" s="120">
        <f>$I$170</f>
        <v>0.93124420194583424</v>
      </c>
      <c r="H79" s="97"/>
      <c r="I79" s="54">
        <f>+G79*D79</f>
        <v>0</v>
      </c>
      <c r="J79" s="97"/>
      <c r="K79" s="97"/>
    </row>
    <row r="80" spans="1:11">
      <c r="A80" s="68"/>
      <c r="B80" s="62"/>
      <c r="C80" s="97"/>
      <c r="D80" s="97"/>
      <c r="E80" s="97"/>
      <c r="F80" s="97"/>
      <c r="G80" s="120"/>
      <c r="H80" s="97"/>
      <c r="I80" s="97"/>
      <c r="J80" s="97"/>
      <c r="K80" s="97"/>
    </row>
    <row r="81" spans="1:11">
      <c r="A81" s="68"/>
      <c r="B81" s="62" t="s">
        <v>127</v>
      </c>
      <c r="C81" s="43"/>
      <c r="D81" s="97"/>
      <c r="E81" s="97"/>
      <c r="F81" s="97"/>
      <c r="G81" s="120"/>
      <c r="H81" s="97"/>
      <c r="I81" s="97"/>
      <c r="J81" s="97"/>
      <c r="K81" s="97"/>
    </row>
    <row r="82" spans="1:11">
      <c r="A82" s="68">
        <v>23</v>
      </c>
      <c r="B82" s="62" t="s">
        <v>98</v>
      </c>
      <c r="C82" s="52" t="s">
        <v>472</v>
      </c>
      <c r="D82" s="546">
        <f>D112/8</f>
        <v>4511580.5704152398</v>
      </c>
      <c r="E82" s="97"/>
      <c r="F82" s="97"/>
      <c r="G82" s="120"/>
      <c r="H82" s="97"/>
      <c r="I82" s="54">
        <f>I112/8</f>
        <v>844344.83547378029</v>
      </c>
      <c r="J82" s="62"/>
      <c r="K82" s="122"/>
    </row>
    <row r="83" spans="1:11">
      <c r="A83" s="68">
        <v>24</v>
      </c>
      <c r="B83" s="62" t="s">
        <v>128</v>
      </c>
      <c r="C83" s="60" t="s">
        <v>1080</v>
      </c>
      <c r="D83" s="258">
        <f>'A4-Rate Base'!F129</f>
        <v>166099.40547235648</v>
      </c>
      <c r="E83" s="97"/>
      <c r="F83" s="97"/>
      <c r="G83" s="120"/>
      <c r="H83" s="97"/>
      <c r="I83" s="54">
        <f>D83</f>
        <v>166099.40547235648</v>
      </c>
      <c r="J83" s="97" t="s">
        <v>2</v>
      </c>
      <c r="K83" s="122"/>
    </row>
    <row r="84" spans="1:11" ht="13.8" thickBot="1">
      <c r="A84" s="68">
        <v>25</v>
      </c>
      <c r="B84" s="62" t="s">
        <v>123</v>
      </c>
      <c r="C84" s="42" t="s">
        <v>1108</v>
      </c>
      <c r="D84" s="258">
        <f>'A8-Prepmts'!H16</f>
        <v>176248.09127380204</v>
      </c>
      <c r="E84" s="97"/>
      <c r="F84" s="97"/>
      <c r="G84" s="120"/>
      <c r="H84" s="97"/>
      <c r="I84" s="55">
        <f>D84</f>
        <v>176248.09127380204</v>
      </c>
      <c r="J84" s="97"/>
      <c r="K84" s="122"/>
    </row>
    <row r="85" spans="1:11">
      <c r="A85" s="68">
        <v>26</v>
      </c>
      <c r="B85" s="62" t="s">
        <v>295</v>
      </c>
      <c r="C85" s="43"/>
      <c r="D85" s="547">
        <f>D82+D83+D84</f>
        <v>4853928.0671613989</v>
      </c>
      <c r="E85" s="62"/>
      <c r="F85" s="62"/>
      <c r="G85" s="62"/>
      <c r="H85" s="62"/>
      <c r="I85" s="54">
        <f>I82+I83+I84</f>
        <v>1186692.3322199387</v>
      </c>
      <c r="J85" s="62"/>
      <c r="K85" s="62"/>
    </row>
    <row r="86" spans="1:11" ht="13.8" thickBot="1">
      <c r="C86" s="97"/>
      <c r="E86" s="97"/>
      <c r="F86" s="97"/>
      <c r="G86" s="97"/>
      <c r="H86" s="97"/>
      <c r="I86" s="124"/>
      <c r="J86" s="97"/>
      <c r="K86" s="97"/>
    </row>
    <row r="87" spans="1:11" ht="13.8" thickBot="1">
      <c r="A87" s="68">
        <v>27</v>
      </c>
      <c r="B87" s="62" t="s">
        <v>442</v>
      </c>
      <c r="C87" s="97" t="s">
        <v>1152</v>
      </c>
      <c r="D87" s="61">
        <f>+D85+D79+D77+D60</f>
        <v>277146631.2527774</v>
      </c>
      <c r="E87" s="97"/>
      <c r="F87" s="97"/>
      <c r="G87" s="122"/>
      <c r="H87" s="97"/>
      <c r="I87" s="61">
        <f>+I85+I79+I77+I60</f>
        <v>211253548.61606315</v>
      </c>
      <c r="J87" s="97"/>
      <c r="K87" s="122"/>
    </row>
    <row r="88" spans="1:11" ht="13.8" thickTop="1">
      <c r="B88" s="62"/>
      <c r="C88" s="62"/>
      <c r="D88" s="94"/>
      <c r="E88" s="62"/>
      <c r="F88" s="62"/>
      <c r="G88" s="62"/>
      <c r="H88" s="62"/>
      <c r="I88" s="95"/>
      <c r="J88" s="95"/>
      <c r="K88" s="95"/>
    </row>
    <row r="89" spans="1:11">
      <c r="B89" s="62"/>
      <c r="C89" s="62"/>
      <c r="D89" s="94"/>
      <c r="E89" s="62"/>
      <c r="F89" s="62"/>
      <c r="G89" s="62"/>
      <c r="H89" s="62"/>
      <c r="I89" s="912" t="str">
        <f>I1</f>
        <v>Projected Attachment H</v>
      </c>
      <c r="J89" s="912"/>
      <c r="K89" s="912"/>
    </row>
    <row r="90" spans="1:11">
      <c r="B90" s="62"/>
      <c r="C90" s="62"/>
      <c r="D90" s="94"/>
      <c r="E90" s="62"/>
      <c r="F90" s="62"/>
      <c r="G90" s="62"/>
      <c r="H90" s="62"/>
      <c r="I90" s="62"/>
      <c r="J90" s="911" t="s">
        <v>195</v>
      </c>
      <c r="K90" s="911"/>
    </row>
    <row r="91" spans="1:11">
      <c r="B91" s="62"/>
      <c r="C91" s="62"/>
      <c r="D91" s="94"/>
      <c r="E91" s="62"/>
      <c r="F91" s="62"/>
      <c r="G91" s="62"/>
      <c r="H91" s="62"/>
      <c r="I91" s="62"/>
      <c r="J91" s="62"/>
      <c r="K91" s="95"/>
    </row>
    <row r="92" spans="1:11">
      <c r="B92" s="94" t="s">
        <v>0</v>
      </c>
      <c r="C92" s="68" t="s">
        <v>1</v>
      </c>
      <c r="E92" s="62"/>
      <c r="F92" s="62"/>
      <c r="G92" s="62"/>
      <c r="H92" s="62"/>
      <c r="I92" s="62"/>
      <c r="J92" s="62"/>
      <c r="K92" s="110" t="str">
        <f>K4</f>
        <v>Estimated - For the 12 months ended 12/31/2024</v>
      </c>
    </row>
    <row r="93" spans="1:11">
      <c r="B93" s="62"/>
      <c r="C93" s="98" t="s">
        <v>3</v>
      </c>
      <c r="E93" s="97"/>
      <c r="F93" s="97"/>
      <c r="G93" s="97"/>
      <c r="H93" s="62"/>
      <c r="I93" s="62"/>
      <c r="J93" s="62"/>
      <c r="K93" s="62"/>
    </row>
    <row r="94" spans="1:11">
      <c r="B94" s="62"/>
      <c r="C94" s="97"/>
      <c r="E94" s="97"/>
      <c r="F94" s="97"/>
      <c r="G94" s="97"/>
      <c r="H94" s="62"/>
      <c r="I94" s="62"/>
      <c r="J94" s="62"/>
      <c r="K94" s="62"/>
    </row>
    <row r="95" spans="1:11">
      <c r="A95" s="68"/>
      <c r="C95" s="111" t="str">
        <f>C7</f>
        <v>Black Hills Colorado Electric, LLC</v>
      </c>
      <c r="J95" s="97"/>
      <c r="K95" s="97"/>
    </row>
    <row r="96" spans="1:11">
      <c r="A96" s="68"/>
      <c r="D96" s="125"/>
      <c r="J96" s="97"/>
      <c r="K96" s="97"/>
    </row>
    <row r="97" spans="1:11">
      <c r="A97" s="68"/>
      <c r="B97" s="68" t="s">
        <v>15</v>
      </c>
      <c r="C97" s="68" t="s">
        <v>16</v>
      </c>
      <c r="D97" s="68" t="s">
        <v>17</v>
      </c>
      <c r="E97" s="97" t="s">
        <v>2</v>
      </c>
      <c r="F97" s="97"/>
      <c r="G97" s="112" t="s">
        <v>18</v>
      </c>
      <c r="H97" s="97"/>
      <c r="I97" s="113" t="s">
        <v>19</v>
      </c>
      <c r="J97" s="97"/>
      <c r="K97" s="97"/>
    </row>
    <row r="98" spans="1:11">
      <c r="A98" s="68" t="s">
        <v>4</v>
      </c>
      <c r="B98" s="62"/>
      <c r="C98" s="114" t="s">
        <v>20</v>
      </c>
      <c r="D98" s="97"/>
      <c r="E98" s="97"/>
      <c r="F98" s="97"/>
      <c r="G98" s="68"/>
      <c r="H98" s="97"/>
      <c r="I98" s="115" t="s">
        <v>21</v>
      </c>
      <c r="J98" s="97"/>
      <c r="K98" s="115"/>
    </row>
    <row r="99" spans="1:11" ht="13.8" thickBot="1">
      <c r="A99" s="101" t="s">
        <v>6</v>
      </c>
      <c r="B99" s="62"/>
      <c r="C99" s="116" t="s">
        <v>22</v>
      </c>
      <c r="D99" s="115" t="s">
        <v>23</v>
      </c>
      <c r="E99" s="117"/>
      <c r="F99" s="115" t="s">
        <v>24</v>
      </c>
      <c r="H99" s="117"/>
      <c r="I99" s="68" t="s">
        <v>25</v>
      </c>
      <c r="J99" s="97"/>
      <c r="K99" s="115"/>
    </row>
    <row r="100" spans="1:11">
      <c r="A100" s="68"/>
      <c r="B100" s="62" t="s">
        <v>131</v>
      </c>
      <c r="C100" s="97"/>
      <c r="D100" s="97"/>
      <c r="E100" s="97"/>
      <c r="F100" s="97"/>
      <c r="G100" s="97"/>
      <c r="H100" s="97"/>
      <c r="I100" s="97"/>
      <c r="J100" s="97"/>
      <c r="K100" s="97"/>
    </row>
    <row r="101" spans="1:11">
      <c r="A101" s="68">
        <v>1</v>
      </c>
      <c r="B101" s="62" t="s">
        <v>37</v>
      </c>
      <c r="C101" s="62" t="s">
        <v>473</v>
      </c>
      <c r="D101" s="258">
        <f>'P2-Exp. &amp; Rev. Credits'!F16</f>
        <v>6610061.1879192637</v>
      </c>
      <c r="E101" s="97"/>
      <c r="F101" s="97" t="s">
        <v>35</v>
      </c>
      <c r="G101" s="120">
        <f>$I$179</f>
        <v>0.93124420194583424</v>
      </c>
      <c r="H101" s="97"/>
      <c r="I101" s="54">
        <f>+G101*D101</f>
        <v>6155581.1557570081</v>
      </c>
      <c r="J101" s="62"/>
      <c r="K101" s="97"/>
    </row>
    <row r="102" spans="1:11">
      <c r="A102" s="68">
        <v>2</v>
      </c>
      <c r="B102" s="62" t="s">
        <v>129</v>
      </c>
      <c r="C102" s="62" t="s">
        <v>474</v>
      </c>
      <c r="D102" s="258">
        <f>'P2-Exp. &amp; Rev. Credits'!F17</f>
        <v>1131129.64836778</v>
      </c>
      <c r="E102" s="97"/>
      <c r="F102" s="97" t="s">
        <v>35</v>
      </c>
      <c r="G102" s="120">
        <f>$I$179</f>
        <v>0.93124420194583424</v>
      </c>
      <c r="H102" s="97"/>
      <c r="I102" s="46">
        <f t="shared" ref="I102:I111" si="2">+G102*D102</f>
        <v>1053357.9266915254</v>
      </c>
      <c r="J102" s="62"/>
      <c r="K102" s="97"/>
    </row>
    <row r="103" spans="1:11">
      <c r="A103" s="68" t="s">
        <v>130</v>
      </c>
      <c r="B103" s="62" t="s">
        <v>38</v>
      </c>
      <c r="C103" s="62" t="s">
        <v>475</v>
      </c>
      <c r="D103" s="258">
        <f>'P2-Exp. &amp; Rev. Credits'!F18</f>
        <v>2782277.6128976829</v>
      </c>
      <c r="E103" s="97"/>
      <c r="F103" s="97" t="s">
        <v>35</v>
      </c>
      <c r="G103" s="120">
        <f>$I$179</f>
        <v>0.93124420194583424</v>
      </c>
      <c r="H103" s="97"/>
      <c r="I103" s="46">
        <f t="shared" si="2"/>
        <v>2590979.8952146634</v>
      </c>
      <c r="J103" s="62"/>
      <c r="K103" s="97"/>
    </row>
    <row r="104" spans="1:11">
      <c r="A104" s="68">
        <v>3</v>
      </c>
      <c r="B104" s="62" t="s">
        <v>39</v>
      </c>
      <c r="C104" s="62" t="s">
        <v>476</v>
      </c>
      <c r="D104" s="258">
        <f>'P2-Exp. &amp; Rev. Credits'!F19</f>
        <v>35135175.729516223</v>
      </c>
      <c r="E104" s="97"/>
      <c r="F104" s="97" t="s">
        <v>31</v>
      </c>
      <c r="G104" s="120">
        <f>$I$187</f>
        <v>0.12706661096257854</v>
      </c>
      <c r="H104" s="97"/>
      <c r="I104" s="54">
        <f t="shared" si="2"/>
        <v>4464507.7055242695</v>
      </c>
      <c r="J104" s="97"/>
      <c r="K104" s="97" t="s">
        <v>2</v>
      </c>
    </row>
    <row r="105" spans="1:11">
      <c r="A105" s="68">
        <v>4</v>
      </c>
      <c r="B105" s="62" t="s">
        <v>832</v>
      </c>
      <c r="C105" s="62"/>
      <c r="D105" s="97"/>
      <c r="E105" s="97"/>
      <c r="F105" s="105"/>
      <c r="G105" s="120"/>
      <c r="H105" s="97"/>
      <c r="I105" s="46"/>
      <c r="J105" s="97"/>
      <c r="K105" s="97"/>
    </row>
    <row r="106" spans="1:11">
      <c r="A106" s="68">
        <v>5</v>
      </c>
      <c r="B106" s="62" t="s">
        <v>488</v>
      </c>
      <c r="C106" s="62" t="s">
        <v>477</v>
      </c>
      <c r="D106" s="258">
        <f>'P2-Exp. &amp; Rev. Credits'!F21</f>
        <v>2009606.3003414555</v>
      </c>
      <c r="E106" s="97"/>
      <c r="F106" s="105" t="s">
        <v>31</v>
      </c>
      <c r="G106" s="120">
        <f>$I$187</f>
        <v>0.12706661096257854</v>
      </c>
      <c r="H106" s="97"/>
      <c r="I106" s="46">
        <f t="shared" si="2"/>
        <v>255353.86195343451</v>
      </c>
      <c r="J106" s="97"/>
      <c r="K106" s="97"/>
    </row>
    <row r="107" spans="1:11">
      <c r="A107" s="68" t="s">
        <v>99</v>
      </c>
      <c r="B107" s="62" t="s">
        <v>489</v>
      </c>
      <c r="C107" s="62" t="s">
        <v>478</v>
      </c>
      <c r="D107" s="258">
        <f>'P2-Exp. &amp; Rev. Credits'!F22</f>
        <v>0</v>
      </c>
      <c r="E107" s="97"/>
      <c r="F107" s="126" t="str">
        <f>+F101</f>
        <v>TE</v>
      </c>
      <c r="G107" s="120">
        <f>$I$179</f>
        <v>0.93124420194583424</v>
      </c>
      <c r="H107" s="97"/>
      <c r="I107" s="46">
        <f>+G107*D107</f>
        <v>0</v>
      </c>
      <c r="J107" s="97"/>
      <c r="K107" s="97"/>
    </row>
    <row r="108" spans="1:11">
      <c r="A108" s="68" t="s">
        <v>133</v>
      </c>
      <c r="B108" s="62" t="s">
        <v>694</v>
      </c>
      <c r="C108" s="62" t="s">
        <v>479</v>
      </c>
      <c r="D108" s="258">
        <f>'P2-Exp. &amp; Rev. Credits'!F23</f>
        <v>489249.84179999999</v>
      </c>
      <c r="E108" s="97"/>
      <c r="F108" s="105" t="s">
        <v>31</v>
      </c>
      <c r="G108" s="120">
        <f>$I$187</f>
        <v>0.12706661096257854</v>
      </c>
      <c r="H108" s="97"/>
      <c r="I108" s="51">
        <f t="shared" ref="I108:I109" si="3">+G108*D108</f>
        <v>62167.319311503699</v>
      </c>
      <c r="J108" s="97"/>
      <c r="K108" s="97"/>
    </row>
    <row r="109" spans="1:11">
      <c r="A109" s="68" t="s">
        <v>134</v>
      </c>
      <c r="B109" s="62" t="s">
        <v>695</v>
      </c>
      <c r="C109" s="62" t="s">
        <v>480</v>
      </c>
      <c r="D109" s="258">
        <f>'P2-Exp. &amp; Rev. Credits'!F24</f>
        <v>218828.63430665349</v>
      </c>
      <c r="E109" s="97"/>
      <c r="F109" s="105" t="str">
        <f>+F108</f>
        <v>W/S</v>
      </c>
      <c r="G109" s="120">
        <f>$I$187</f>
        <v>0.12706661096257854</v>
      </c>
      <c r="H109" s="97"/>
      <c r="I109" s="51">
        <f t="shared" si="3"/>
        <v>27805.812942915905</v>
      </c>
      <c r="J109" s="97"/>
      <c r="K109" s="97"/>
    </row>
    <row r="110" spans="1:11">
      <c r="A110" s="68">
        <v>6</v>
      </c>
      <c r="B110" s="62" t="s">
        <v>58</v>
      </c>
      <c r="C110" s="62" t="s">
        <v>481</v>
      </c>
      <c r="D110" s="258">
        <f>'P2-Exp. &amp; Rev. Credits'!F25</f>
        <v>0</v>
      </c>
      <c r="E110" s="97"/>
      <c r="F110" s="97" t="s">
        <v>1256</v>
      </c>
      <c r="G110" s="120">
        <f>K191</f>
        <v>0.12451406279937895</v>
      </c>
      <c r="H110" s="97"/>
      <c r="I110" s="54">
        <f t="shared" si="2"/>
        <v>0</v>
      </c>
      <c r="J110" s="97"/>
      <c r="K110" s="97"/>
    </row>
    <row r="111" spans="1:11" ht="13.8" thickBot="1">
      <c r="A111" s="68">
        <v>7</v>
      </c>
      <c r="B111" s="62" t="s">
        <v>40</v>
      </c>
      <c r="C111" s="62" t="s">
        <v>482</v>
      </c>
      <c r="D111" s="258">
        <f>'P2-Exp. &amp; Rev. Credits'!F26</f>
        <v>0</v>
      </c>
      <c r="E111" s="97"/>
      <c r="F111" s="97" t="s">
        <v>290</v>
      </c>
      <c r="G111" s="120">
        <v>1</v>
      </c>
      <c r="H111" s="97"/>
      <c r="I111" s="55">
        <f t="shared" si="2"/>
        <v>0</v>
      </c>
      <c r="J111" s="97"/>
      <c r="K111" s="97"/>
    </row>
    <row r="112" spans="1:11">
      <c r="A112" s="68">
        <v>8</v>
      </c>
      <c r="B112" s="62" t="s">
        <v>1151</v>
      </c>
      <c r="C112" s="167" t="s">
        <v>1150</v>
      </c>
      <c r="D112" s="547">
        <f>D101+D104+D107+D108+D110+D111-D102-D103-D106-D109</f>
        <v>36092644.563321918</v>
      </c>
      <c r="E112" s="97"/>
      <c r="F112" s="97"/>
      <c r="G112" s="120"/>
      <c r="H112" s="97"/>
      <c r="I112" s="54">
        <f>+I101-I102-I103+I104-I106+I110+I111+I107+I108-I109</f>
        <v>6754758.6837902423</v>
      </c>
      <c r="J112" s="97"/>
      <c r="K112" s="97"/>
    </row>
    <row r="113" spans="1:11">
      <c r="A113" s="68"/>
      <c r="C113" s="97"/>
      <c r="E113" s="97"/>
      <c r="F113" s="97"/>
      <c r="G113" s="120"/>
      <c r="H113" s="97"/>
      <c r="J113" s="97"/>
      <c r="K113" s="97"/>
    </row>
    <row r="114" spans="1:11">
      <c r="A114" s="68"/>
      <c r="B114" s="62" t="s">
        <v>490</v>
      </c>
      <c r="C114" s="97"/>
      <c r="D114" s="97"/>
      <c r="E114" s="97"/>
      <c r="F114" s="97"/>
      <c r="G114" s="120"/>
      <c r="H114" s="97"/>
      <c r="I114" s="97"/>
      <c r="J114" s="97"/>
      <c r="K114" s="97"/>
    </row>
    <row r="115" spans="1:11">
      <c r="A115" s="68">
        <v>9</v>
      </c>
      <c r="B115" s="123" t="str">
        <f>+B101</f>
        <v xml:space="preserve">  Transmission </v>
      </c>
      <c r="C115" s="42" t="s">
        <v>827</v>
      </c>
      <c r="D115" s="258">
        <f>'P1-Trans Plant'!E43</f>
        <v>5376777.0005999897</v>
      </c>
      <c r="E115" s="97"/>
      <c r="F115" s="97" t="s">
        <v>11</v>
      </c>
      <c r="G115" s="120">
        <f>$I$170</f>
        <v>0.93124420194583424</v>
      </c>
      <c r="H115" s="97"/>
      <c r="I115" s="54">
        <f>+G115*D115</f>
        <v>5007092.4069644539</v>
      </c>
      <c r="J115" s="97"/>
      <c r="K115" s="122"/>
    </row>
    <row r="116" spans="1:11">
      <c r="A116" s="68">
        <v>10</v>
      </c>
      <c r="B116" s="62" t="s">
        <v>114</v>
      </c>
      <c r="C116" s="62" t="s">
        <v>450</v>
      </c>
      <c r="D116" s="258">
        <f>'Act Att-H'!D121</f>
        <v>4443300</v>
      </c>
      <c r="E116" s="97"/>
      <c r="F116" s="97" t="s">
        <v>31</v>
      </c>
      <c r="G116" s="120">
        <f>+G104</f>
        <v>0.12706661096257854</v>
      </c>
      <c r="H116" s="97"/>
      <c r="I116" s="54">
        <f>+G116*D116</f>
        <v>564595.0724900252</v>
      </c>
      <c r="J116" s="97"/>
      <c r="K116" s="122"/>
    </row>
    <row r="117" spans="1:11">
      <c r="A117" s="68">
        <v>11</v>
      </c>
      <c r="B117" s="123" t="str">
        <f>+B110</f>
        <v xml:space="preserve">  Other</v>
      </c>
      <c r="C117" s="62" t="s">
        <v>452</v>
      </c>
      <c r="D117" s="258">
        <f>'Act Att-H'!D122</f>
        <v>0</v>
      </c>
      <c r="E117" s="97"/>
      <c r="F117" s="97" t="s">
        <v>1256</v>
      </c>
      <c r="G117" s="120">
        <f>+G110</f>
        <v>0.12451406279937895</v>
      </c>
      <c r="H117" s="97"/>
      <c r="I117" s="54">
        <f>+G117*D117</f>
        <v>0</v>
      </c>
      <c r="J117" s="97"/>
      <c r="K117" s="122"/>
    </row>
    <row r="118" spans="1:11" s="2" customFormat="1" ht="13.8" thickBot="1">
      <c r="A118" s="65" t="s">
        <v>299</v>
      </c>
      <c r="B118" s="48" t="s">
        <v>303</v>
      </c>
      <c r="C118" s="62" t="s">
        <v>792</v>
      </c>
      <c r="D118" s="258">
        <f>'Act Att-H'!D123</f>
        <v>0</v>
      </c>
      <c r="E118" s="46"/>
      <c r="F118" s="64"/>
      <c r="G118" s="608"/>
      <c r="H118" s="46"/>
      <c r="I118" s="59">
        <f>+G118*D118</f>
        <v>0</v>
      </c>
      <c r="J118" s="43"/>
      <c r="K118" s="53"/>
    </row>
    <row r="119" spans="1:11">
      <c r="A119" s="68">
        <v>12</v>
      </c>
      <c r="B119" s="62" t="s">
        <v>304</v>
      </c>
      <c r="C119" s="165" t="s">
        <v>305</v>
      </c>
      <c r="D119" s="547">
        <f>SUM(D115:D118)</f>
        <v>9820077.0005999897</v>
      </c>
      <c r="E119" s="97"/>
      <c r="F119" s="97"/>
      <c r="G119" s="120"/>
      <c r="H119" s="97"/>
      <c r="I119" s="54">
        <f>SUM(I115:I118)</f>
        <v>5571687.4794544792</v>
      </c>
      <c r="J119" s="97"/>
      <c r="K119" s="97"/>
    </row>
    <row r="120" spans="1:11">
      <c r="A120" s="68"/>
      <c r="B120" s="62"/>
      <c r="C120" s="97"/>
      <c r="D120" s="97"/>
      <c r="E120" s="97"/>
      <c r="F120" s="97"/>
      <c r="G120" s="120"/>
      <c r="H120" s="97"/>
      <c r="I120" s="97"/>
      <c r="J120" s="97"/>
      <c r="K120" s="97"/>
    </row>
    <row r="121" spans="1:11">
      <c r="A121" s="68" t="s">
        <v>2</v>
      </c>
      <c r="B121" s="62" t="s">
        <v>491</v>
      </c>
      <c r="D121" s="97"/>
      <c r="E121" s="97"/>
      <c r="F121" s="97"/>
      <c r="G121" s="120"/>
      <c r="H121" s="97"/>
      <c r="I121" s="97"/>
      <c r="J121" s="97"/>
      <c r="K121" s="97"/>
    </row>
    <row r="122" spans="1:11">
      <c r="A122" s="68"/>
      <c r="B122" s="62" t="s">
        <v>41</v>
      </c>
      <c r="C122" s="62"/>
      <c r="E122" s="97"/>
      <c r="F122" s="97"/>
      <c r="G122" s="120"/>
      <c r="H122" s="97"/>
      <c r="J122" s="97"/>
      <c r="K122" s="122"/>
    </row>
    <row r="123" spans="1:11">
      <c r="A123" s="68">
        <v>13</v>
      </c>
      <c r="B123" s="62" t="s">
        <v>42</v>
      </c>
      <c r="C123" s="62" t="s">
        <v>1109</v>
      </c>
      <c r="D123" s="258">
        <f>'P2-Exp. &amp; Rev. Credits'!F32</f>
        <v>1891966.0561782345</v>
      </c>
      <c r="E123" s="97"/>
      <c r="F123" s="97" t="s">
        <v>31</v>
      </c>
      <c r="G123" s="120">
        <f>+G116</f>
        <v>0.12706661096257854</v>
      </c>
      <c r="H123" s="97"/>
      <c r="I123" s="54">
        <f>+G123*D123</f>
        <v>240405.71481480374</v>
      </c>
      <c r="J123" s="97"/>
      <c r="K123" s="122"/>
    </row>
    <row r="124" spans="1:11">
      <c r="A124" s="68">
        <v>14</v>
      </c>
      <c r="B124" s="62" t="s">
        <v>43</v>
      </c>
      <c r="C124" s="62" t="s">
        <v>1110</v>
      </c>
      <c r="D124" s="258">
        <f>'P2-Exp. &amp; Rev. Credits'!F33</f>
        <v>0</v>
      </c>
      <c r="E124" s="97"/>
      <c r="F124" s="105" t="str">
        <f>+F123</f>
        <v>W/S</v>
      </c>
      <c r="G124" s="120">
        <f>+G123</f>
        <v>0.12706661096257854</v>
      </c>
      <c r="H124" s="97"/>
      <c r="I124" s="54">
        <f>+G124*D124</f>
        <v>0</v>
      </c>
      <c r="J124" s="97"/>
      <c r="K124" s="122"/>
    </row>
    <row r="125" spans="1:11">
      <c r="A125" s="68">
        <v>15</v>
      </c>
      <c r="B125" s="62" t="s">
        <v>44</v>
      </c>
      <c r="C125" s="62" t="s">
        <v>2</v>
      </c>
      <c r="D125" s="97" t="s">
        <v>2</v>
      </c>
      <c r="E125" s="97"/>
      <c r="F125" s="97"/>
      <c r="G125" s="120"/>
      <c r="H125" s="97"/>
      <c r="J125" s="97"/>
      <c r="K125" s="122"/>
    </row>
    <row r="126" spans="1:11">
      <c r="A126" s="68">
        <v>16</v>
      </c>
      <c r="B126" s="62" t="s">
        <v>45</v>
      </c>
      <c r="C126" s="62" t="s">
        <v>1111</v>
      </c>
      <c r="D126" s="258">
        <f>'P2-Exp. &amp; Rev. Credits'!F35</f>
        <v>14278589.13515674</v>
      </c>
      <c r="E126" s="97"/>
      <c r="F126" s="97" t="s">
        <v>36</v>
      </c>
      <c r="G126" s="120">
        <f>$G$222</f>
        <v>0.25172374063863684</v>
      </c>
      <c r="H126" s="97"/>
      <c r="I126" s="54">
        <f>+G126*D126</f>
        <v>3594259.8681438528</v>
      </c>
      <c r="J126" s="97"/>
      <c r="K126" s="122"/>
    </row>
    <row r="127" spans="1:11">
      <c r="A127" s="68">
        <v>17</v>
      </c>
      <c r="B127" s="62" t="s">
        <v>46</v>
      </c>
      <c r="C127" s="62" t="s">
        <v>1112</v>
      </c>
      <c r="D127" s="258">
        <f>'P2-Exp. &amp; Rev. Credits'!F36</f>
        <v>-63494.375681380589</v>
      </c>
      <c r="E127" s="97"/>
      <c r="F127" s="105" t="s">
        <v>27</v>
      </c>
      <c r="G127" s="120">
        <v>0</v>
      </c>
      <c r="H127" s="97"/>
      <c r="I127" s="54">
        <v>0</v>
      </c>
      <c r="J127" s="97"/>
      <c r="K127" s="122"/>
    </row>
    <row r="128" spans="1:11">
      <c r="A128" s="68">
        <v>18</v>
      </c>
      <c r="B128" s="62" t="s">
        <v>58</v>
      </c>
      <c r="C128" s="62" t="s">
        <v>1113</v>
      </c>
      <c r="D128" s="258">
        <f>'P2-Exp. &amp; Rev. Credits'!F37</f>
        <v>0</v>
      </c>
      <c r="E128" s="97"/>
      <c r="F128" s="624"/>
      <c r="G128" s="608"/>
      <c r="H128" s="97"/>
      <c r="I128" s="54">
        <f>+G128*D128</f>
        <v>0</v>
      </c>
      <c r="J128" s="97"/>
      <c r="K128" s="122"/>
    </row>
    <row r="129" spans="1:11" ht="13.8" thickBot="1">
      <c r="A129" s="68">
        <v>19</v>
      </c>
      <c r="B129" s="62" t="s">
        <v>794</v>
      </c>
      <c r="C129" s="62"/>
      <c r="D129" s="546"/>
      <c r="E129" s="97"/>
      <c r="F129" s="97"/>
      <c r="G129" s="120"/>
      <c r="H129" s="97"/>
      <c r="I129" s="54"/>
      <c r="J129" s="97"/>
      <c r="K129" s="122"/>
    </row>
    <row r="130" spans="1:11">
      <c r="A130" s="68">
        <v>20</v>
      </c>
      <c r="B130" s="62" t="s">
        <v>307</v>
      </c>
      <c r="C130" s="165" t="s">
        <v>306</v>
      </c>
      <c r="D130" s="547">
        <f>SUM(D123:D129)</f>
        <v>16107060.815653594</v>
      </c>
      <c r="E130" s="97"/>
      <c r="F130" s="97"/>
      <c r="G130" s="120"/>
      <c r="H130" s="97"/>
      <c r="I130" s="63">
        <f>SUM(I123:I129)</f>
        <v>3834665.5829586564</v>
      </c>
      <c r="J130" s="97"/>
      <c r="K130" s="97"/>
    </row>
    <row r="131" spans="1:11">
      <c r="A131" s="68"/>
      <c r="B131" s="62"/>
      <c r="C131" s="97"/>
      <c r="D131" s="97"/>
      <c r="E131" s="97"/>
      <c r="F131" s="97"/>
      <c r="G131" s="120"/>
      <c r="H131" s="97"/>
      <c r="I131" s="97"/>
      <c r="J131" s="97"/>
      <c r="K131" s="97"/>
    </row>
    <row r="132" spans="1:11">
      <c r="A132" s="68" t="s">
        <v>2</v>
      </c>
      <c r="B132" s="62" t="s">
        <v>48</v>
      </c>
      <c r="C132" s="97" t="s">
        <v>483</v>
      </c>
      <c r="D132" s="97"/>
      <c r="E132" s="97"/>
      <c r="G132" s="120"/>
      <c r="H132" s="97"/>
      <c r="J132" s="97"/>
    </row>
    <row r="133" spans="1:11">
      <c r="A133" s="68">
        <v>21</v>
      </c>
      <c r="B133" s="129" t="s">
        <v>95</v>
      </c>
      <c r="C133" s="97"/>
      <c r="D133" s="130">
        <f>IF(D239&gt;0,1-(((1-D240)*(1-D239))/(1-D240*D239*D241)),0)</f>
        <v>0.24475999999999998</v>
      </c>
      <c r="E133" s="97"/>
      <c r="G133" s="120"/>
      <c r="H133" s="97"/>
      <c r="J133" s="97"/>
    </row>
    <row r="134" spans="1:11">
      <c r="A134" s="68">
        <v>22</v>
      </c>
      <c r="B134" s="93" t="s">
        <v>703</v>
      </c>
      <c r="C134" s="97"/>
      <c r="D134" s="130">
        <f>IF(I199&gt;0,(D133/(1-D133))*(1-I197/I199),0)</f>
        <v>0.23160596182462684</v>
      </c>
      <c r="E134" s="97"/>
      <c r="G134" s="120"/>
      <c r="H134" s="97"/>
      <c r="J134" s="97"/>
    </row>
    <row r="135" spans="1:11">
      <c r="A135" s="68"/>
      <c r="B135" s="62" t="s">
        <v>1083</v>
      </c>
      <c r="C135" s="97"/>
      <c r="D135" s="97"/>
      <c r="E135" s="97"/>
      <c r="G135" s="120"/>
      <c r="H135" s="97"/>
      <c r="J135" s="97"/>
    </row>
    <row r="136" spans="1:11">
      <c r="A136" s="68"/>
      <c r="B136" s="62" t="s">
        <v>484</v>
      </c>
      <c r="C136" s="97"/>
      <c r="D136" s="97"/>
      <c r="E136" s="97"/>
      <c r="G136" s="120"/>
      <c r="H136" s="97"/>
      <c r="J136" s="97"/>
    </row>
    <row r="137" spans="1:11">
      <c r="A137" s="68">
        <v>23</v>
      </c>
      <c r="B137" s="129" t="s">
        <v>96</v>
      </c>
      <c r="C137" s="97"/>
      <c r="D137" s="548">
        <f>IF(D133&gt;0,1/(1-D133),0)</f>
        <v>1.3240824108892537</v>
      </c>
      <c r="E137" s="97"/>
      <c r="G137" s="120"/>
      <c r="H137" s="97"/>
      <c r="J137" s="97"/>
    </row>
    <row r="138" spans="1:11">
      <c r="A138" s="68">
        <v>24</v>
      </c>
      <c r="B138" s="62" t="s">
        <v>701</v>
      </c>
      <c r="C138" s="62" t="s">
        <v>453</v>
      </c>
      <c r="D138" s="258">
        <f>'Act Att-H'!D143</f>
        <v>486651</v>
      </c>
      <c r="E138" s="97"/>
      <c r="G138" s="120"/>
      <c r="H138" s="97"/>
      <c r="J138" s="97"/>
    </row>
    <row r="139" spans="1:11">
      <c r="A139" s="68" t="s">
        <v>300</v>
      </c>
      <c r="B139" s="45" t="s">
        <v>1039</v>
      </c>
      <c r="C139" s="62" t="s">
        <v>736</v>
      </c>
      <c r="D139" s="258">
        <f>'Act Att-H'!D144</f>
        <v>243335.57745963894</v>
      </c>
      <c r="E139" s="97"/>
      <c r="G139" s="120"/>
      <c r="H139" s="97"/>
      <c r="J139" s="97"/>
    </row>
    <row r="140" spans="1:11">
      <c r="A140" s="68" t="s">
        <v>625</v>
      </c>
      <c r="B140" s="45" t="s">
        <v>1192</v>
      </c>
      <c r="C140" s="62" t="s">
        <v>745</v>
      </c>
      <c r="D140" s="258">
        <f>'Act Att-H'!D145</f>
        <v>6824</v>
      </c>
      <c r="E140" s="97"/>
      <c r="G140" s="120"/>
      <c r="H140" s="97"/>
      <c r="J140" s="97"/>
    </row>
    <row r="141" spans="1:11">
      <c r="A141" s="68" t="s">
        <v>301</v>
      </c>
      <c r="B141" s="45" t="s">
        <v>298</v>
      </c>
      <c r="C141" s="62" t="s">
        <v>454</v>
      </c>
      <c r="D141" s="258">
        <f>'Act Att-H'!D146</f>
        <v>1670.2422399999998</v>
      </c>
      <c r="E141" s="97"/>
      <c r="G141" s="120"/>
      <c r="H141" s="97"/>
      <c r="J141" s="97"/>
    </row>
    <row r="142" spans="1:11">
      <c r="A142" s="68">
        <v>25</v>
      </c>
      <c r="B142" s="129" t="s">
        <v>310</v>
      </c>
      <c r="C142" s="131" t="s">
        <v>308</v>
      </c>
      <c r="D142" s="546">
        <f>D134*D149</f>
        <v>4137033.1285123876</v>
      </c>
      <c r="E142" s="97"/>
      <c r="F142" s="97"/>
      <c r="G142" s="120"/>
      <c r="H142" s="97"/>
      <c r="I142" s="54">
        <f>D134*I149</f>
        <v>3153431.5434032436</v>
      </c>
      <c r="J142" s="97"/>
      <c r="K142" s="132" t="s">
        <v>2</v>
      </c>
    </row>
    <row r="143" spans="1:11">
      <c r="A143" s="68">
        <v>26</v>
      </c>
      <c r="B143" s="93" t="s">
        <v>311</v>
      </c>
      <c r="C143" s="131" t="s">
        <v>309</v>
      </c>
      <c r="D143" s="546">
        <f>D137*D138</f>
        <v>644366.02934166626</v>
      </c>
      <c r="E143" s="97"/>
      <c r="F143" s="43" t="s">
        <v>36</v>
      </c>
      <c r="G143" s="120">
        <f>$G$222</f>
        <v>0.25172374063863684</v>
      </c>
      <c r="H143" s="97"/>
      <c r="I143" s="54">
        <f>G143*D143</f>
        <v>162202.22724634985</v>
      </c>
      <c r="J143" s="97"/>
      <c r="K143" s="132"/>
    </row>
    <row r="144" spans="1:11">
      <c r="A144" s="68" t="s">
        <v>312</v>
      </c>
      <c r="B144" s="123" t="s">
        <v>1040</v>
      </c>
      <c r="C144" s="66" t="s">
        <v>315</v>
      </c>
      <c r="D144" s="546">
        <f>D137*D139</f>
        <v>322196.35805788747</v>
      </c>
      <c r="E144" s="97"/>
      <c r="G144" s="120"/>
      <c r="H144" s="97"/>
      <c r="I144" s="54">
        <f>D144</f>
        <v>322196.35805788747</v>
      </c>
      <c r="J144" s="97"/>
      <c r="K144" s="132"/>
    </row>
    <row r="145" spans="1:11">
      <c r="A145" s="68" t="s">
        <v>313</v>
      </c>
      <c r="B145" s="52" t="s">
        <v>314</v>
      </c>
      <c r="C145" s="66" t="s">
        <v>316</v>
      </c>
      <c r="D145" s="546">
        <f>D137*D141</f>
        <v>2211.5383719082674</v>
      </c>
      <c r="E145" s="97"/>
      <c r="G145" s="120"/>
      <c r="H145" s="97"/>
      <c r="I145" s="54">
        <f>D145</f>
        <v>2211.5383719082674</v>
      </c>
      <c r="J145" s="97"/>
      <c r="K145" s="132"/>
    </row>
    <row r="146" spans="1:11">
      <c r="A146" s="68">
        <v>27</v>
      </c>
      <c r="B146" s="129" t="s">
        <v>89</v>
      </c>
      <c r="C146" s="52" t="s">
        <v>702</v>
      </c>
      <c r="D146" s="547">
        <f>D142+D145-D143-D144</f>
        <v>3172682.2794847423</v>
      </c>
      <c r="E146" s="97"/>
      <c r="F146" s="97" t="s">
        <v>2</v>
      </c>
      <c r="G146" s="120" t="s">
        <v>2</v>
      </c>
      <c r="H146" s="97"/>
      <c r="I146" s="547">
        <f>I142+I145-I143-I144</f>
        <v>2671244.4964709152</v>
      </c>
      <c r="J146" s="97"/>
      <c r="K146" s="97"/>
    </row>
    <row r="147" spans="1:11">
      <c r="A147" s="68" t="s">
        <v>2</v>
      </c>
      <c r="C147" s="133"/>
      <c r="D147" s="546"/>
      <c r="E147" s="97"/>
      <c r="F147" s="97"/>
      <c r="G147" s="120"/>
      <c r="H147" s="97"/>
      <c r="I147" s="97"/>
      <c r="J147" s="97"/>
      <c r="K147" s="97"/>
    </row>
    <row r="148" spans="1:11">
      <c r="B148" s="62" t="s">
        <v>49</v>
      </c>
      <c r="C148" s="122"/>
      <c r="G148" s="120"/>
      <c r="J148" s="97"/>
    </row>
    <row r="149" spans="1:11">
      <c r="A149" s="68">
        <v>28</v>
      </c>
      <c r="B149" s="129" t="s">
        <v>545</v>
      </c>
      <c r="C149" s="649" t="s">
        <v>790</v>
      </c>
      <c r="D149" s="54">
        <f>+$I199*D87+I202</f>
        <v>17862377.530872755</v>
      </c>
      <c r="E149" s="97"/>
      <c r="F149" s="97"/>
      <c r="G149" s="120"/>
      <c r="H149" s="97"/>
      <c r="I149" s="54">
        <f>+$I199*I87+I202</f>
        <v>13615502.461853884</v>
      </c>
      <c r="J149" s="97"/>
      <c r="K149" s="122"/>
    </row>
    <row r="150" spans="1:11">
      <c r="A150" s="68"/>
      <c r="B150" s="62"/>
      <c r="D150" s="97"/>
      <c r="E150" s="97"/>
      <c r="F150" s="97"/>
      <c r="G150" s="128"/>
      <c r="H150" s="97"/>
      <c r="I150" s="97"/>
      <c r="J150" s="97"/>
      <c r="K150" s="122"/>
    </row>
    <row r="151" spans="1:11" ht="13.8" thickBot="1">
      <c r="A151" s="68">
        <v>29</v>
      </c>
      <c r="B151" s="62" t="s">
        <v>318</v>
      </c>
      <c r="C151" s="97" t="s">
        <v>317</v>
      </c>
      <c r="D151" s="67">
        <f>+D112+D119+D130+D146+D149</f>
        <v>83054842.189933002</v>
      </c>
      <c r="E151" s="97"/>
      <c r="F151" s="97"/>
      <c r="G151" s="97"/>
      <c r="H151" s="97"/>
      <c r="I151" s="67">
        <f>+I112+I119+I130+I146+I149</f>
        <v>32447858.704528175</v>
      </c>
      <c r="J151" s="62"/>
      <c r="K151" s="62"/>
    </row>
    <row r="152" spans="1:11" ht="13.8" thickTop="1">
      <c r="A152" s="68"/>
      <c r="B152" s="62"/>
      <c r="C152" s="97"/>
      <c r="D152" s="105"/>
      <c r="E152" s="97"/>
      <c r="F152" s="97"/>
      <c r="G152" s="97"/>
      <c r="H152" s="97"/>
      <c r="I152" s="105"/>
      <c r="J152" s="62"/>
      <c r="K152" s="62"/>
    </row>
    <row r="153" spans="1:11">
      <c r="B153" s="62"/>
      <c r="C153" s="62"/>
      <c r="D153" s="94"/>
      <c r="E153" s="62"/>
      <c r="F153" s="911"/>
      <c r="G153" s="911"/>
      <c r="H153" s="911"/>
      <c r="I153" s="911"/>
      <c r="J153" s="911"/>
      <c r="K153" s="911"/>
    </row>
    <row r="154" spans="1:11">
      <c r="B154" s="62"/>
      <c r="C154" s="62"/>
      <c r="D154" s="94"/>
      <c r="E154" s="62"/>
      <c r="F154" s="62"/>
      <c r="G154" s="62"/>
      <c r="H154" s="62"/>
      <c r="I154" s="912" t="str">
        <f>I1</f>
        <v>Projected Attachment H</v>
      </c>
      <c r="J154" s="912"/>
      <c r="K154" s="912"/>
    </row>
    <row r="155" spans="1:11">
      <c r="B155" s="62"/>
      <c r="C155" s="62"/>
      <c r="D155" s="94"/>
      <c r="E155" s="62"/>
      <c r="F155" s="62"/>
      <c r="G155" s="62"/>
      <c r="H155" s="62"/>
      <c r="I155" s="62"/>
      <c r="J155" s="911" t="s">
        <v>196</v>
      </c>
      <c r="K155" s="911"/>
    </row>
    <row r="156" spans="1:11">
      <c r="B156" s="62"/>
      <c r="C156" s="62"/>
      <c r="D156" s="94"/>
      <c r="E156" s="62"/>
      <c r="F156" s="62"/>
      <c r="G156" s="62"/>
      <c r="H156" s="62"/>
      <c r="I156" s="62"/>
      <c r="J156" s="95"/>
      <c r="K156" s="95"/>
    </row>
    <row r="157" spans="1:11">
      <c r="B157" s="94" t="s">
        <v>0</v>
      </c>
      <c r="C157" s="68" t="s">
        <v>1</v>
      </c>
      <c r="E157" s="62"/>
      <c r="F157" s="62"/>
      <c r="G157" s="960" t="str">
        <f>K4</f>
        <v>Estimated - For the 12 months ended 12/31/2024</v>
      </c>
      <c r="H157" s="960"/>
      <c r="I157" s="960"/>
      <c r="J157" s="960"/>
      <c r="K157" s="960"/>
    </row>
    <row r="158" spans="1:11">
      <c r="B158" s="62"/>
      <c r="C158" s="98" t="s">
        <v>3</v>
      </c>
      <c r="E158" s="97"/>
      <c r="F158" s="97"/>
      <c r="G158" s="97"/>
      <c r="H158" s="62"/>
      <c r="I158" s="62"/>
      <c r="J158" s="62"/>
      <c r="K158" s="62"/>
    </row>
    <row r="159" spans="1:11" ht="9" customHeight="1">
      <c r="A159" s="68"/>
      <c r="J159" s="97"/>
      <c r="K159" s="97"/>
    </row>
    <row r="160" spans="1:11">
      <c r="A160" s="68"/>
      <c r="C160" s="111" t="str">
        <f>C7</f>
        <v>Black Hills Colorado Electric, LLC</v>
      </c>
      <c r="J160" s="97"/>
      <c r="K160" s="97"/>
    </row>
    <row r="161" spans="1:19">
      <c r="A161" s="68"/>
      <c r="C161" s="125"/>
      <c r="J161" s="97"/>
      <c r="K161" s="97"/>
    </row>
    <row r="162" spans="1:19">
      <c r="A162" s="68"/>
      <c r="C162" s="115" t="s">
        <v>124</v>
      </c>
      <c r="E162" s="62"/>
      <c r="F162" s="62"/>
      <c r="G162" s="62"/>
      <c r="H162" s="62"/>
      <c r="I162" s="62"/>
      <c r="J162" s="97"/>
      <c r="K162" s="97"/>
    </row>
    <row r="163" spans="1:19">
      <c r="A163" s="68" t="s">
        <v>4</v>
      </c>
      <c r="B163" s="68" t="s">
        <v>15</v>
      </c>
      <c r="C163" s="68" t="s">
        <v>16</v>
      </c>
      <c r="D163" s="68" t="s">
        <v>17</v>
      </c>
      <c r="E163" s="97" t="s">
        <v>2</v>
      </c>
      <c r="F163" s="97"/>
      <c r="G163" s="112" t="s">
        <v>18</v>
      </c>
      <c r="H163" s="97"/>
      <c r="I163" s="113" t="s">
        <v>19</v>
      </c>
      <c r="J163" s="97"/>
      <c r="K163" s="97"/>
    </row>
    <row r="164" spans="1:19" ht="13.8" thickBot="1">
      <c r="A164" s="101" t="s">
        <v>6</v>
      </c>
      <c r="B164" s="62" t="s">
        <v>116</v>
      </c>
      <c r="C164" s="62"/>
      <c r="D164" s="62"/>
      <c r="E164" s="62"/>
      <c r="F164" s="62"/>
      <c r="G164" s="62"/>
      <c r="J164" s="97"/>
      <c r="K164" s="97"/>
    </row>
    <row r="165" spans="1:19">
      <c r="A165" s="68">
        <v>1</v>
      </c>
      <c r="B165" s="62" t="s">
        <v>320</v>
      </c>
      <c r="C165" s="62" t="s">
        <v>464</v>
      </c>
      <c r="D165" s="97"/>
      <c r="E165" s="97"/>
      <c r="F165" s="97"/>
      <c r="G165" s="97"/>
      <c r="H165" s="97"/>
      <c r="I165" s="258">
        <f>'Act Att-H'!I170</f>
        <v>255097845.26384613</v>
      </c>
      <c r="J165" s="97"/>
      <c r="K165" s="97"/>
    </row>
    <row r="166" spans="1:19">
      <c r="A166" s="68">
        <v>2</v>
      </c>
      <c r="B166" s="62" t="s">
        <v>321</v>
      </c>
      <c r="C166" s="62" t="s">
        <v>465</v>
      </c>
      <c r="I166" s="258">
        <f>'Act Att-H'!I171</f>
        <v>9295935.7530138269</v>
      </c>
      <c r="J166" s="97"/>
      <c r="K166" s="97"/>
    </row>
    <row r="167" spans="1:19">
      <c r="A167" s="68">
        <v>3</v>
      </c>
      <c r="B167" s="62" t="s">
        <v>322</v>
      </c>
      <c r="C167" s="62" t="s">
        <v>466</v>
      </c>
      <c r="D167" s="97"/>
      <c r="E167" s="97"/>
      <c r="F167" s="97"/>
      <c r="G167" s="98"/>
      <c r="H167" s="97"/>
      <c r="I167" s="258">
        <f>'Act Att-H'!I172</f>
        <v>8243520.1799999997</v>
      </c>
      <c r="J167" s="97"/>
      <c r="K167" s="97"/>
    </row>
    <row r="168" spans="1:19">
      <c r="A168" s="68">
        <v>4</v>
      </c>
      <c r="B168" s="167" t="s">
        <v>323</v>
      </c>
      <c r="C168" s="167" t="s">
        <v>324</v>
      </c>
      <c r="D168" s="97"/>
      <c r="E168" s="97"/>
      <c r="F168" s="97"/>
      <c r="G168" s="98"/>
      <c r="H168" s="97"/>
      <c r="I168" s="166">
        <f>I165-I166-I167</f>
        <v>237558389.3308323</v>
      </c>
      <c r="J168" s="97"/>
      <c r="K168" s="97"/>
    </row>
    <row r="169" spans="1:19" ht="9" customHeight="1">
      <c r="A169" s="68"/>
      <c r="C169" s="62"/>
      <c r="D169" s="97"/>
      <c r="E169" s="97"/>
      <c r="F169" s="97"/>
      <c r="G169" s="98"/>
      <c r="H169" s="97"/>
      <c r="J169" s="97"/>
      <c r="K169" s="97"/>
    </row>
    <row r="170" spans="1:19">
      <c r="A170" s="68">
        <v>5</v>
      </c>
      <c r="B170" s="62" t="s">
        <v>325</v>
      </c>
      <c r="C170" s="100" t="s">
        <v>326</v>
      </c>
      <c r="D170" s="100"/>
      <c r="E170" s="100"/>
      <c r="F170" s="100"/>
      <c r="G170" s="113"/>
      <c r="H170" s="97" t="s">
        <v>52</v>
      </c>
      <c r="I170" s="136">
        <f>IF(I165&gt;0,I168/I165,0)</f>
        <v>0.93124420194583424</v>
      </c>
      <c r="J170" s="97"/>
      <c r="K170" s="97"/>
      <c r="N170" s="137"/>
      <c r="O170" s="137"/>
      <c r="P170" s="137"/>
    </row>
    <row r="171" spans="1:19" ht="9" customHeight="1">
      <c r="A171" s="68"/>
      <c r="J171" s="97"/>
      <c r="K171" s="97"/>
      <c r="N171" s="62"/>
      <c r="P171" s="97"/>
      <c r="Q171" s="62"/>
    </row>
    <row r="172" spans="1:19">
      <c r="A172" s="68"/>
      <c r="B172" s="62" t="s">
        <v>50</v>
      </c>
      <c r="J172" s="97"/>
      <c r="K172" s="97"/>
      <c r="N172" s="915"/>
      <c r="O172" s="915"/>
      <c r="P172" s="915"/>
      <c r="Q172" s="915"/>
      <c r="R172" s="915"/>
      <c r="S172" s="915"/>
    </row>
    <row r="173" spans="1:19">
      <c r="A173" s="68">
        <v>6</v>
      </c>
      <c r="B173" s="93" t="s">
        <v>327</v>
      </c>
      <c r="C173" s="93" t="s">
        <v>337</v>
      </c>
      <c r="D173" s="62"/>
      <c r="E173" s="62"/>
      <c r="F173" s="62"/>
      <c r="G173" s="68"/>
      <c r="H173" s="62"/>
      <c r="I173" s="258">
        <f>D101</f>
        <v>6610061.1879192637</v>
      </c>
      <c r="J173" s="97"/>
      <c r="K173" s="97"/>
      <c r="P173" s="97"/>
      <c r="Q173" s="62"/>
    </row>
    <row r="174" spans="1:19">
      <c r="A174" s="68">
        <v>7</v>
      </c>
      <c r="B174" s="62" t="s">
        <v>336</v>
      </c>
      <c r="C174" s="62" t="s">
        <v>467</v>
      </c>
      <c r="D174" s="97"/>
      <c r="E174" s="97"/>
      <c r="F174" s="97"/>
      <c r="G174" s="97"/>
      <c r="H174" s="97"/>
      <c r="I174" s="258">
        <f>'Act Att-H'!I179</f>
        <v>0</v>
      </c>
      <c r="J174" s="97"/>
      <c r="K174" s="97"/>
      <c r="N174" s="139"/>
      <c r="O174" s="140"/>
      <c r="P174" s="97"/>
      <c r="Q174" s="62"/>
    </row>
    <row r="175" spans="1:19">
      <c r="A175" s="68">
        <v>8</v>
      </c>
      <c r="B175" s="167" t="s">
        <v>329</v>
      </c>
      <c r="C175" s="169" t="s">
        <v>328</v>
      </c>
      <c r="D175" s="100"/>
      <c r="E175" s="100"/>
      <c r="F175" s="100"/>
      <c r="G175" s="113"/>
      <c r="H175" s="100"/>
      <c r="I175" s="166">
        <f>+I173-I174</f>
        <v>6610061.1879192637</v>
      </c>
      <c r="N175" s="141"/>
      <c r="O175" s="142"/>
      <c r="P175" s="143"/>
      <c r="Q175" s="143"/>
    </row>
    <row r="176" spans="1:19">
      <c r="A176" s="68"/>
      <c r="B176" s="62"/>
      <c r="C176" s="62"/>
      <c r="D176" s="97"/>
      <c r="E176" s="97"/>
      <c r="F176" s="97"/>
      <c r="G176" s="97"/>
      <c r="N176" s="141"/>
      <c r="O176" s="142"/>
    </row>
    <row r="177" spans="1:17">
      <c r="A177" s="68">
        <v>9</v>
      </c>
      <c r="B177" s="62" t="s">
        <v>330</v>
      </c>
      <c r="C177" s="62" t="s">
        <v>338</v>
      </c>
      <c r="D177" s="97"/>
      <c r="E177" s="97"/>
      <c r="F177" s="97"/>
      <c r="G177" s="97"/>
      <c r="H177" s="97"/>
      <c r="I177" s="120">
        <f>IF(I173&gt;0,I175/I173,0)</f>
        <v>1</v>
      </c>
      <c r="N177" s="62"/>
      <c r="O177" s="144"/>
      <c r="P177" s="142"/>
      <c r="Q177" s="142"/>
    </row>
    <row r="178" spans="1:17">
      <c r="A178" s="68">
        <v>10</v>
      </c>
      <c r="B178" s="62" t="s">
        <v>331</v>
      </c>
      <c r="C178" s="62" t="s">
        <v>332</v>
      </c>
      <c r="D178" s="97"/>
      <c r="E178" s="97"/>
      <c r="F178" s="97"/>
      <c r="G178" s="97"/>
      <c r="H178" s="62" t="s">
        <v>11</v>
      </c>
      <c r="I178" s="120">
        <f>I170</f>
        <v>0.93124420194583424</v>
      </c>
      <c r="N178" s="139"/>
      <c r="O178" s="142"/>
      <c r="Q178" s="142"/>
    </row>
    <row r="179" spans="1:17">
      <c r="A179" s="68">
        <v>11</v>
      </c>
      <c r="B179" s="62" t="s">
        <v>334</v>
      </c>
      <c r="C179" s="62" t="s">
        <v>333</v>
      </c>
      <c r="D179" s="62"/>
      <c r="E179" s="62"/>
      <c r="F179" s="62"/>
      <c r="G179" s="62"/>
      <c r="H179" s="62" t="s">
        <v>51</v>
      </c>
      <c r="I179" s="104">
        <f>+I178*I177</f>
        <v>0.93124420194583424</v>
      </c>
      <c r="N179" s="139"/>
      <c r="O179" s="142"/>
      <c r="Q179" s="142"/>
    </row>
    <row r="180" spans="1:17">
      <c r="A180" s="68"/>
      <c r="C180" s="62"/>
      <c r="D180" s="97"/>
      <c r="E180" s="97"/>
      <c r="F180" s="97"/>
      <c r="G180" s="98"/>
      <c r="H180" s="97"/>
      <c r="N180" s="139"/>
      <c r="O180" s="142"/>
      <c r="Q180" s="145"/>
    </row>
    <row r="181" spans="1:17">
      <c r="A181" s="68" t="s">
        <v>2</v>
      </c>
      <c r="B181" s="62" t="s">
        <v>53</v>
      </c>
      <c r="C181" s="97"/>
      <c r="D181" s="97"/>
      <c r="E181" s="97"/>
      <c r="F181" s="97"/>
      <c r="G181" s="97"/>
      <c r="H181" s="97"/>
      <c r="I181" s="97"/>
      <c r="J181" s="97"/>
      <c r="K181" s="97"/>
      <c r="N181" s="141"/>
      <c r="O181" s="142"/>
      <c r="P181" s="97"/>
      <c r="Q181" s="62"/>
    </row>
    <row r="182" spans="1:17" ht="13.8" thickBot="1">
      <c r="A182" s="68" t="s">
        <v>2</v>
      </c>
      <c r="B182" s="62"/>
      <c r="C182" s="146" t="s">
        <v>449</v>
      </c>
      <c r="D182" s="147" t="s">
        <v>55</v>
      </c>
      <c r="E182" s="147" t="s">
        <v>11</v>
      </c>
      <c r="F182" s="97"/>
      <c r="G182" s="147" t="s">
        <v>56</v>
      </c>
      <c r="H182" s="97"/>
      <c r="I182" s="97"/>
      <c r="J182" s="97"/>
      <c r="K182" s="97"/>
      <c r="N182" s="141"/>
      <c r="O182" s="142"/>
      <c r="P182" s="97"/>
      <c r="Q182" s="62"/>
    </row>
    <row r="183" spans="1:17">
      <c r="A183" s="68">
        <v>12</v>
      </c>
      <c r="B183" s="62" t="s">
        <v>26</v>
      </c>
      <c r="C183" s="62" t="s">
        <v>455</v>
      </c>
      <c r="D183" s="258">
        <f>'Act Att-H'!D188</f>
        <v>2151894</v>
      </c>
      <c r="E183" s="148">
        <v>0</v>
      </c>
      <c r="F183" s="148"/>
      <c r="G183" s="105">
        <f>D183*E183</f>
        <v>0</v>
      </c>
      <c r="H183" s="97"/>
      <c r="I183" s="97"/>
      <c r="J183" s="97"/>
      <c r="K183" s="97"/>
    </row>
    <row r="184" spans="1:17">
      <c r="A184" s="68">
        <v>13</v>
      </c>
      <c r="B184" s="62" t="s">
        <v>28</v>
      </c>
      <c r="C184" s="62" t="s">
        <v>456</v>
      </c>
      <c r="D184" s="258">
        <f>'Act Att-H'!D189</f>
        <v>1533817</v>
      </c>
      <c r="E184" s="149">
        <f>+I170</f>
        <v>0.93124420194583424</v>
      </c>
      <c r="F184" s="148"/>
      <c r="G184" s="105">
        <f>D184*E184</f>
        <v>1428358.1880959535</v>
      </c>
      <c r="H184" s="97"/>
      <c r="I184" s="97"/>
      <c r="J184" s="97"/>
      <c r="K184" s="97"/>
    </row>
    <row r="185" spans="1:17">
      <c r="A185" s="68">
        <v>14</v>
      </c>
      <c r="B185" s="62" t="s">
        <v>29</v>
      </c>
      <c r="C185" s="62" t="s">
        <v>457</v>
      </c>
      <c r="D185" s="258">
        <f>'Act Att-H'!D190</f>
        <v>6309022</v>
      </c>
      <c r="E185" s="148">
        <v>0</v>
      </c>
      <c r="F185" s="148"/>
      <c r="G185" s="105">
        <f>D185*E185</f>
        <v>0</v>
      </c>
      <c r="H185" s="97"/>
      <c r="I185" s="98" t="s">
        <v>57</v>
      </c>
      <c r="J185" s="97"/>
      <c r="K185" s="97"/>
    </row>
    <row r="186" spans="1:17" ht="13.8" thickBot="1">
      <c r="A186" s="68">
        <v>15</v>
      </c>
      <c r="B186" s="62" t="s">
        <v>58</v>
      </c>
      <c r="C186" s="62" t="s">
        <v>458</v>
      </c>
      <c r="D186" s="258">
        <f>'Act Att-H'!D191</f>
        <v>1246286</v>
      </c>
      <c r="E186" s="148">
        <v>0</v>
      </c>
      <c r="F186" s="148"/>
      <c r="G186" s="150">
        <f>D186*E186</f>
        <v>0</v>
      </c>
      <c r="H186" s="97"/>
      <c r="I186" s="101" t="s">
        <v>59</v>
      </c>
      <c r="J186" s="97"/>
      <c r="K186" s="97"/>
    </row>
    <row r="187" spans="1:17">
      <c r="A187" s="68">
        <v>16</v>
      </c>
      <c r="B187" s="62" t="s">
        <v>339</v>
      </c>
      <c r="C187" s="97" t="s">
        <v>967</v>
      </c>
      <c r="D187" s="166">
        <f>SUM(D183:D186)</f>
        <v>11241019</v>
      </c>
      <c r="E187" s="97"/>
      <c r="F187" s="97"/>
      <c r="G187" s="105">
        <f>SUM(G183:G186)</f>
        <v>1428358.1880959535</v>
      </c>
      <c r="H187" s="68" t="s">
        <v>60</v>
      </c>
      <c r="I187" s="120">
        <f>IF(G187&gt;0,G187/D187,0)</f>
        <v>0.12706661096257854</v>
      </c>
      <c r="J187" s="98" t="s">
        <v>60</v>
      </c>
      <c r="K187" s="132" t="s">
        <v>97</v>
      </c>
    </row>
    <row r="188" spans="1:17" ht="9" customHeight="1">
      <c r="A188" s="68"/>
      <c r="B188" s="62"/>
      <c r="C188" s="97"/>
      <c r="D188" s="97"/>
      <c r="E188" s="97"/>
      <c r="F188" s="97"/>
      <c r="G188" s="97"/>
      <c r="H188" s="97"/>
      <c r="I188" s="97"/>
      <c r="J188" s="97"/>
      <c r="K188" s="97"/>
    </row>
    <row r="189" spans="1:17">
      <c r="A189" s="68"/>
      <c r="B189" s="62" t="s">
        <v>1255</v>
      </c>
      <c r="C189" s="97"/>
      <c r="D189" s="98" t="s">
        <v>55</v>
      </c>
      <c r="E189" s="97"/>
      <c r="F189" s="97"/>
      <c r="G189" s="98" t="s">
        <v>61</v>
      </c>
      <c r="H189" s="128" t="s">
        <v>2</v>
      </c>
      <c r="I189" s="121" t="str">
        <f>+I185</f>
        <v>W&amp;S Allocator</v>
      </c>
      <c r="J189" s="97"/>
      <c r="K189" s="97"/>
    </row>
    <row r="190" spans="1:17">
      <c r="A190" s="68">
        <v>17</v>
      </c>
      <c r="B190" s="62" t="s">
        <v>62</v>
      </c>
      <c r="C190" s="62" t="s">
        <v>459</v>
      </c>
      <c r="D190" s="258">
        <f>'Act Att-H'!D195</f>
        <v>1109521317</v>
      </c>
      <c r="E190" s="97"/>
      <c r="G190" s="68" t="s">
        <v>64</v>
      </c>
      <c r="H190" s="128"/>
      <c r="I190" s="68" t="s">
        <v>65</v>
      </c>
      <c r="J190" s="97"/>
      <c r="K190" s="68" t="s">
        <v>1256</v>
      </c>
    </row>
    <row r="191" spans="1:17">
      <c r="A191" s="68">
        <v>18</v>
      </c>
      <c r="B191" s="62" t="s">
        <v>66</v>
      </c>
      <c r="C191" s="62" t="s">
        <v>460</v>
      </c>
      <c r="D191" s="258">
        <f>'Act Att-H'!D196</f>
        <v>0</v>
      </c>
      <c r="E191" s="97"/>
      <c r="G191" s="104">
        <f>IF(D193&gt;0,D190/D193,0)</f>
        <v>0.97991173177703361</v>
      </c>
      <c r="H191" s="98" t="s">
        <v>67</v>
      </c>
      <c r="I191" s="104">
        <f>I187</f>
        <v>0.12706661096257854</v>
      </c>
      <c r="J191" s="128" t="s">
        <v>60</v>
      </c>
      <c r="K191" s="151">
        <f>I191*G191</f>
        <v>0.12451406279937895</v>
      </c>
    </row>
    <row r="192" spans="1:17">
      <c r="A192" s="68">
        <v>19</v>
      </c>
      <c r="B192" s="62" t="s">
        <v>58</v>
      </c>
      <c r="C192" s="62" t="s">
        <v>461</v>
      </c>
      <c r="D192" s="258">
        <f>'Act Att-H'!D197</f>
        <v>22745275</v>
      </c>
      <c r="E192" s="97"/>
      <c r="F192" s="97"/>
      <c r="G192" s="97" t="s">
        <v>2</v>
      </c>
      <c r="H192" s="97"/>
      <c r="I192" s="97"/>
      <c r="J192" s="97"/>
      <c r="K192" s="97"/>
    </row>
    <row r="193" spans="1:11">
      <c r="A193" s="68">
        <v>20</v>
      </c>
      <c r="B193" s="167" t="s">
        <v>339</v>
      </c>
      <c r="C193" s="168" t="s">
        <v>340</v>
      </c>
      <c r="D193" s="166">
        <f>D190+D191+D192</f>
        <v>1132266592</v>
      </c>
      <c r="E193" s="97"/>
      <c r="F193" s="97"/>
      <c r="G193" s="97"/>
      <c r="H193" s="97"/>
      <c r="I193" s="97"/>
      <c r="J193" s="97"/>
      <c r="K193" s="97"/>
    </row>
    <row r="194" spans="1:11" ht="9" customHeight="1">
      <c r="A194" s="68"/>
      <c r="B194" s="62"/>
      <c r="C194" s="97"/>
      <c r="E194" s="97"/>
      <c r="F194" s="97"/>
      <c r="G194" s="97"/>
      <c r="H194" s="97"/>
      <c r="I194" s="97"/>
      <c r="J194" s="97"/>
      <c r="K194" s="97"/>
    </row>
    <row r="195" spans="1:11" ht="13.8" thickBot="1">
      <c r="A195" s="68"/>
      <c r="B195" s="62" t="s">
        <v>68</v>
      </c>
      <c r="C195" s="97"/>
      <c r="D195" s="97"/>
      <c r="E195" s="97"/>
      <c r="F195" s="97"/>
      <c r="G195" s="97"/>
      <c r="H195" s="97"/>
      <c r="I195" s="147" t="s">
        <v>55</v>
      </c>
      <c r="J195" s="97"/>
      <c r="K195" s="97"/>
    </row>
    <row r="196" spans="1:11" ht="13.8" thickBot="1">
      <c r="A196" s="68"/>
      <c r="B196" s="62"/>
      <c r="C196" s="97"/>
      <c r="D196" s="97"/>
      <c r="E196" s="101" t="s">
        <v>70</v>
      </c>
      <c r="F196" s="97"/>
      <c r="G196" s="171" t="s">
        <v>69</v>
      </c>
      <c r="H196" s="97"/>
      <c r="I196" s="101" t="s">
        <v>71</v>
      </c>
      <c r="J196" s="97"/>
      <c r="K196" s="97"/>
    </row>
    <row r="197" spans="1:11">
      <c r="A197" s="68">
        <v>21</v>
      </c>
      <c r="B197" s="62" t="s">
        <v>341</v>
      </c>
      <c r="C197" s="62" t="s">
        <v>462</v>
      </c>
      <c r="D197" s="97"/>
      <c r="E197" s="153">
        <v>0.53</v>
      </c>
      <c r="F197" s="154"/>
      <c r="G197" s="616">
        <f>'Act Att-H'!G203</f>
        <v>3.4700000000000002E-2</v>
      </c>
      <c r="I197" s="155">
        <f>G197*E197</f>
        <v>1.8391000000000001E-2</v>
      </c>
      <c r="J197" s="156" t="s">
        <v>72</v>
      </c>
    </row>
    <row r="198" spans="1:11" ht="13.8" thickBot="1">
      <c r="A198" s="68">
        <v>22</v>
      </c>
      <c r="B198" s="62" t="s">
        <v>342</v>
      </c>
      <c r="C198" s="62" t="s">
        <v>463</v>
      </c>
      <c r="D198" s="885"/>
      <c r="E198" s="153">
        <v>0.47</v>
      </c>
      <c r="F198" s="154"/>
      <c r="G198" s="616">
        <f>'Act Att-H'!G204</f>
        <v>9.8000000000000004E-2</v>
      </c>
      <c r="I198" s="157">
        <f>G198*E198</f>
        <v>4.6059999999999997E-2</v>
      </c>
      <c r="J198" s="97"/>
    </row>
    <row r="199" spans="1:11">
      <c r="A199" s="68">
        <v>23</v>
      </c>
      <c r="B199" s="167"/>
      <c r="C199" s="169"/>
      <c r="D199" s="97"/>
      <c r="E199" s="97" t="s">
        <v>2</v>
      </c>
      <c r="F199" s="97"/>
      <c r="G199" s="97"/>
      <c r="H199" s="97"/>
      <c r="I199" s="155">
        <f>SUM(I197:I198)</f>
        <v>6.4450999999999994E-2</v>
      </c>
      <c r="J199" s="156" t="s">
        <v>73</v>
      </c>
    </row>
    <row r="200" spans="1:11" ht="9" customHeight="1">
      <c r="E200" s="97"/>
      <c r="F200" s="97"/>
      <c r="G200" s="97"/>
      <c r="H200" s="97"/>
    </row>
    <row r="201" spans="1:11">
      <c r="A201" s="62"/>
      <c r="B201" s="62"/>
      <c r="C201" s="62"/>
      <c r="D201" s="97"/>
      <c r="E201" s="97"/>
      <c r="F201" s="122"/>
      <c r="G201" s="97"/>
      <c r="H201" s="97"/>
      <c r="I201" s="97"/>
      <c r="J201" s="97"/>
      <c r="K201" s="97"/>
    </row>
    <row r="202" spans="1:11">
      <c r="A202" s="68">
        <v>24</v>
      </c>
      <c r="B202" s="62" t="s">
        <v>541</v>
      </c>
      <c r="C202" s="62" t="s">
        <v>552</v>
      </c>
      <c r="D202" s="94"/>
      <c r="E202" s="62"/>
      <c r="F202" s="62"/>
      <c r="G202" s="62"/>
      <c r="H202" s="322"/>
      <c r="I202" s="258">
        <f>'P4-IncentPlant'!F47</f>
        <v>0</v>
      </c>
      <c r="J202" s="322"/>
      <c r="K202" s="322"/>
    </row>
    <row r="203" spans="1:11">
      <c r="B203" s="62"/>
      <c r="C203" s="62"/>
      <c r="D203" s="94"/>
      <c r="E203" s="62"/>
      <c r="F203" s="62"/>
      <c r="G203" s="911"/>
      <c r="H203" s="911"/>
      <c r="I203" s="911"/>
      <c r="J203" s="911"/>
      <c r="K203" s="911"/>
    </row>
    <row r="204" spans="1:11">
      <c r="B204" s="62"/>
      <c r="C204" s="62"/>
      <c r="D204" s="94"/>
      <c r="E204" s="62"/>
      <c r="F204" s="62"/>
      <c r="G204" s="62"/>
      <c r="H204" s="62"/>
      <c r="I204" s="912" t="str">
        <f>I1</f>
        <v>Projected Attachment H</v>
      </c>
      <c r="J204" s="912"/>
      <c r="K204" s="912"/>
    </row>
    <row r="205" spans="1:11">
      <c r="B205" s="62"/>
      <c r="C205" s="62"/>
      <c r="D205" s="94"/>
      <c r="E205" s="62"/>
      <c r="F205" s="62"/>
      <c r="G205" s="62"/>
      <c r="H205" s="62"/>
      <c r="I205" s="62"/>
      <c r="J205" s="911" t="s">
        <v>276</v>
      </c>
      <c r="K205" s="911"/>
    </row>
    <row r="206" spans="1:11">
      <c r="B206" s="62"/>
      <c r="C206" s="62"/>
      <c r="D206" s="94"/>
      <c r="E206" s="62"/>
      <c r="F206" s="62"/>
      <c r="G206" s="62"/>
      <c r="H206" s="62"/>
      <c r="I206" s="62"/>
      <c r="J206" s="62"/>
      <c r="K206" s="95"/>
    </row>
    <row r="207" spans="1:11">
      <c r="B207" s="94" t="s">
        <v>0</v>
      </c>
      <c r="C207" s="68" t="s">
        <v>1</v>
      </c>
      <c r="E207" s="62"/>
      <c r="F207" s="62"/>
      <c r="G207" s="62"/>
      <c r="H207" s="62"/>
      <c r="I207" s="62"/>
      <c r="J207" s="62"/>
      <c r="K207" s="110" t="str">
        <f>K4</f>
        <v>Estimated - For the 12 months ended 12/31/2024</v>
      </c>
    </row>
    <row r="208" spans="1:11">
      <c r="B208" s="62"/>
      <c r="C208" s="98" t="s">
        <v>3</v>
      </c>
      <c r="E208" s="97"/>
      <c r="F208" s="97"/>
      <c r="G208" s="97"/>
      <c r="H208" s="62"/>
      <c r="I208" s="62"/>
      <c r="J208" s="62"/>
      <c r="K208" s="62"/>
    </row>
    <row r="209" spans="1:11">
      <c r="A209" s="68"/>
      <c r="C209" s="97"/>
      <c r="E209" s="97"/>
      <c r="F209" s="97"/>
      <c r="G209" s="97"/>
      <c r="H209" s="62"/>
      <c r="I209" s="141"/>
      <c r="K209" s="97"/>
    </row>
    <row r="210" spans="1:11">
      <c r="A210" s="68"/>
      <c r="C210" s="158" t="str">
        <f>C7</f>
        <v>Black Hills Colorado Electric, LLC</v>
      </c>
      <c r="E210" s="97"/>
      <c r="F210" s="97"/>
      <c r="G210" s="97"/>
      <c r="H210" s="62"/>
      <c r="I210" s="141"/>
      <c r="K210" s="97"/>
    </row>
    <row r="211" spans="1:11">
      <c r="A211" s="68"/>
      <c r="C211" s="158"/>
      <c r="E211" s="97"/>
      <c r="F211" s="97"/>
      <c r="G211" s="97"/>
      <c r="H211" s="62"/>
      <c r="I211" s="141"/>
      <c r="K211" s="97"/>
    </row>
    <row r="212" spans="1:11" ht="15.75" customHeight="1">
      <c r="A212" s="68"/>
      <c r="B212" s="68" t="s">
        <v>15</v>
      </c>
      <c r="C212" s="68" t="s">
        <v>16</v>
      </c>
      <c r="D212" s="68" t="s">
        <v>17</v>
      </c>
      <c r="E212" s="97" t="s">
        <v>2</v>
      </c>
      <c r="F212" s="97"/>
      <c r="G212" s="112" t="s">
        <v>18</v>
      </c>
      <c r="H212" s="97"/>
      <c r="I212" s="113" t="s">
        <v>19</v>
      </c>
      <c r="K212" s="97"/>
    </row>
    <row r="213" spans="1:11">
      <c r="A213" s="68" t="s">
        <v>4</v>
      </c>
      <c r="B213" s="62"/>
      <c r="C213" s="114"/>
      <c r="D213" s="97"/>
      <c r="E213" s="97"/>
      <c r="F213" s="97"/>
      <c r="G213" s="68"/>
      <c r="H213" s="97"/>
      <c r="I213" s="115" t="s">
        <v>21</v>
      </c>
      <c r="J213" s="97"/>
      <c r="K213" s="97"/>
    </row>
    <row r="214" spans="1:11" ht="13.8" thickBot="1">
      <c r="A214" s="101" t="s">
        <v>6</v>
      </c>
      <c r="B214" s="62"/>
      <c r="C214" s="116" t="s">
        <v>449</v>
      </c>
      <c r="D214" s="115" t="s">
        <v>23</v>
      </c>
      <c r="E214" s="117"/>
      <c r="F214" s="115" t="s">
        <v>24</v>
      </c>
      <c r="H214" s="117"/>
      <c r="I214" s="68" t="s">
        <v>25</v>
      </c>
      <c r="J214" s="97"/>
      <c r="K214" s="97"/>
    </row>
    <row r="215" spans="1:11">
      <c r="A215" s="68"/>
      <c r="C215" s="68"/>
      <c r="D215" s="97"/>
      <c r="E215" s="97"/>
      <c r="F215" s="97"/>
      <c r="G215" s="97"/>
      <c r="H215" s="62"/>
      <c r="I215" s="141"/>
      <c r="J215" s="97"/>
      <c r="K215" s="97"/>
    </row>
    <row r="216" spans="1:11">
      <c r="A216" s="68"/>
      <c r="B216" s="62" t="s">
        <v>575</v>
      </c>
      <c r="C216" s="97"/>
      <c r="D216" s="98" t="s">
        <v>55</v>
      </c>
      <c r="E216" s="97"/>
      <c r="F216" s="97"/>
      <c r="G216" s="98"/>
      <c r="H216" s="128" t="s">
        <v>2</v>
      </c>
      <c r="I216" s="121"/>
      <c r="J216" s="97"/>
      <c r="K216" s="97"/>
    </row>
    <row r="217" spans="1:11">
      <c r="A217" s="68">
        <v>1</v>
      </c>
      <c r="B217" s="62" t="s">
        <v>26</v>
      </c>
      <c r="C217" s="97" t="s">
        <v>577</v>
      </c>
      <c r="D217" s="258">
        <f>'Act Att-H'!D45</f>
        <v>425332814.78615391</v>
      </c>
      <c r="E217" s="97"/>
      <c r="F217" s="97" t="s">
        <v>27</v>
      </c>
      <c r="G217" s="119" t="s">
        <v>2</v>
      </c>
      <c r="H217" s="97"/>
      <c r="I217" s="97" t="s">
        <v>2</v>
      </c>
      <c r="J217" s="97"/>
      <c r="K217" s="68"/>
    </row>
    <row r="218" spans="1:11">
      <c r="A218" s="68">
        <v>2</v>
      </c>
      <c r="B218" s="62" t="s">
        <v>28</v>
      </c>
      <c r="C218" s="97" t="s">
        <v>1114</v>
      </c>
      <c r="D218" s="258">
        <f>D45</f>
        <v>316090895.07231909</v>
      </c>
      <c r="E218" s="97"/>
      <c r="F218" s="97" t="s">
        <v>11</v>
      </c>
      <c r="G218" s="120">
        <f>I170</f>
        <v>0.93124420194583424</v>
      </c>
      <c r="H218" s="97"/>
      <c r="I218" s="54">
        <f>+G218*D218</f>
        <v>294357813.32396621</v>
      </c>
      <c r="J218" s="128"/>
      <c r="K218" s="151"/>
    </row>
    <row r="219" spans="1:11">
      <c r="A219" s="68">
        <v>3</v>
      </c>
      <c r="B219" s="62" t="s">
        <v>29</v>
      </c>
      <c r="C219" s="97" t="s">
        <v>582</v>
      </c>
      <c r="D219" s="258">
        <f>'Act Att-H'!D47</f>
        <v>395453458.89769226</v>
      </c>
      <c r="E219" s="97"/>
      <c r="F219" s="97" t="s">
        <v>27</v>
      </c>
      <c r="G219" s="119" t="s">
        <v>2</v>
      </c>
      <c r="H219" s="97"/>
      <c r="I219" s="54" t="s">
        <v>2</v>
      </c>
      <c r="J219" s="97"/>
      <c r="K219" s="97"/>
    </row>
    <row r="220" spans="1:11">
      <c r="A220" s="68">
        <v>4</v>
      </c>
      <c r="B220" s="62" t="s">
        <v>30</v>
      </c>
      <c r="C220" s="97" t="s">
        <v>583</v>
      </c>
      <c r="D220" s="258">
        <f>'Act Att-H'!D48</f>
        <v>42380370.828461543</v>
      </c>
      <c r="E220" s="97"/>
      <c r="F220" s="97" t="s">
        <v>31</v>
      </c>
      <c r="G220" s="120">
        <f>I187</f>
        <v>0.12706661096257854</v>
      </c>
      <c r="H220" s="97"/>
      <c r="I220" s="54">
        <f>+G220*D220</f>
        <v>5385130.0925099356</v>
      </c>
      <c r="J220" s="97"/>
      <c r="K220" s="97"/>
    </row>
    <row r="221" spans="1:11">
      <c r="A221" s="68">
        <v>5</v>
      </c>
      <c r="B221" s="62" t="s">
        <v>58</v>
      </c>
      <c r="C221" s="97" t="s">
        <v>584</v>
      </c>
      <c r="D221" s="258">
        <f>'Act Att-H'!D49</f>
        <v>22764182.923076924</v>
      </c>
      <c r="E221" s="97"/>
      <c r="F221" s="97" t="s">
        <v>1256</v>
      </c>
      <c r="G221" s="120">
        <f>K191</f>
        <v>0.12451406279937895</v>
      </c>
      <c r="H221" s="97"/>
      <c r="I221" s="54">
        <f>+G221*D221</f>
        <v>2834460.9020605497</v>
      </c>
      <c r="J221" s="97"/>
      <c r="K221" s="97"/>
    </row>
    <row r="222" spans="1:11">
      <c r="A222" s="68">
        <v>6</v>
      </c>
      <c r="B222" s="167" t="s">
        <v>339</v>
      </c>
      <c r="C222" s="168" t="s">
        <v>1115</v>
      </c>
      <c r="D222" s="166">
        <f>SUM(D217:D221)</f>
        <v>1202021722.5077038</v>
      </c>
      <c r="E222" s="97"/>
      <c r="F222" s="168" t="s">
        <v>32</v>
      </c>
      <c r="G222" s="511">
        <f>IF(I222&gt;0,I222/D222,0)</f>
        <v>0.25172374063863684</v>
      </c>
      <c r="H222" s="97"/>
      <c r="I222" s="170">
        <f>SUM(I217:I221)</f>
        <v>302577404.3185367</v>
      </c>
      <c r="J222" s="97"/>
      <c r="K222" s="97"/>
    </row>
    <row r="223" spans="1:11">
      <c r="A223" s="68"/>
      <c r="B223" s="62"/>
      <c r="C223" s="97"/>
      <c r="D223" s="105"/>
      <c r="E223" s="97"/>
      <c r="F223" s="97"/>
      <c r="G223" s="97"/>
      <c r="H223" s="97"/>
      <c r="I223" s="97"/>
      <c r="J223" s="97"/>
      <c r="K223" s="97"/>
    </row>
    <row r="224" spans="1:11">
      <c r="A224" s="68"/>
      <c r="B224" s="62" t="s">
        <v>576</v>
      </c>
      <c r="C224" s="97"/>
      <c r="D224" s="98" t="s">
        <v>55</v>
      </c>
      <c r="E224" s="97"/>
      <c r="F224" s="97"/>
      <c r="G224" s="98"/>
      <c r="H224" s="128" t="s">
        <v>2</v>
      </c>
      <c r="I224" s="121"/>
      <c r="J224" s="97"/>
      <c r="K224" s="97"/>
    </row>
    <row r="225" spans="1:11">
      <c r="A225" s="68">
        <v>7</v>
      </c>
      <c r="B225" s="62" t="s">
        <v>26</v>
      </c>
      <c r="C225" s="97" t="s">
        <v>578</v>
      </c>
      <c r="D225" s="258">
        <f>'Act Att-H'!D61</f>
        <v>304127563.86177427</v>
      </c>
      <c r="E225" s="97"/>
      <c r="F225" s="97" t="s">
        <v>27</v>
      </c>
      <c r="G225" s="119" t="s">
        <v>2</v>
      </c>
      <c r="H225" s="97"/>
      <c r="I225" s="97" t="s">
        <v>2</v>
      </c>
      <c r="J225" s="97"/>
      <c r="K225" s="68"/>
    </row>
    <row r="226" spans="1:11">
      <c r="A226" s="68">
        <v>8</v>
      </c>
      <c r="B226" s="62" t="s">
        <v>28</v>
      </c>
      <c r="C226" s="97" t="s">
        <v>585</v>
      </c>
      <c r="D226" s="258">
        <f>D57</f>
        <v>259653380.53065765</v>
      </c>
      <c r="E226" s="97"/>
      <c r="F226" s="97" t="s">
        <v>11</v>
      </c>
      <c r="G226" s="120">
        <f>G218</f>
        <v>0.93124420194583424</v>
      </c>
      <c r="H226" s="97"/>
      <c r="I226" s="54">
        <f>+G226*D226</f>
        <v>241800705.1348103</v>
      </c>
      <c r="J226" s="128"/>
      <c r="K226" s="151"/>
    </row>
    <row r="227" spans="1:11">
      <c r="A227" s="68">
        <v>9</v>
      </c>
      <c r="B227" s="62" t="s">
        <v>29</v>
      </c>
      <c r="C227" s="97" t="s">
        <v>579</v>
      </c>
      <c r="D227" s="258">
        <f>'Act Att-H'!D63</f>
        <v>240354543.11191005</v>
      </c>
      <c r="E227" s="97"/>
      <c r="F227" s="97" t="s">
        <v>27</v>
      </c>
      <c r="G227" s="119" t="s">
        <v>2</v>
      </c>
      <c r="H227" s="97"/>
      <c r="I227" s="54" t="s">
        <v>2</v>
      </c>
      <c r="J227" s="97"/>
      <c r="K227" s="97"/>
    </row>
    <row r="228" spans="1:11">
      <c r="A228" s="68">
        <v>10</v>
      </c>
      <c r="B228" s="62" t="s">
        <v>30</v>
      </c>
      <c r="C228" s="97" t="s">
        <v>580</v>
      </c>
      <c r="D228" s="258">
        <f>'Act Att-H'!D64</f>
        <v>21725796.280242976</v>
      </c>
      <c r="E228" s="97"/>
      <c r="F228" s="97" t="s">
        <v>31</v>
      </c>
      <c r="G228" s="120">
        <f>G220</f>
        <v>0.12706661096257854</v>
      </c>
      <c r="H228" s="97"/>
      <c r="I228" s="54">
        <f>+G228*D228</f>
        <v>2760623.3037938704</v>
      </c>
      <c r="J228" s="97"/>
      <c r="K228" s="97"/>
    </row>
    <row r="229" spans="1:11">
      <c r="A229" s="68">
        <v>11</v>
      </c>
      <c r="B229" s="62" t="s">
        <v>58</v>
      </c>
      <c r="C229" s="97" t="s">
        <v>581</v>
      </c>
      <c r="D229" s="258">
        <f>'Act Att-H'!D65</f>
        <v>17735731.846153848</v>
      </c>
      <c r="E229" s="97"/>
      <c r="F229" s="97" t="s">
        <v>1256</v>
      </c>
      <c r="G229" s="120">
        <f>G221</f>
        <v>0.12451406279937895</v>
      </c>
      <c r="H229" s="97"/>
      <c r="I229" s="54">
        <f>+G229*D229</f>
        <v>2208348.0288849454</v>
      </c>
      <c r="J229" s="97"/>
      <c r="K229" s="97"/>
    </row>
    <row r="230" spans="1:11">
      <c r="A230" s="68">
        <v>12</v>
      </c>
      <c r="B230" s="167" t="s">
        <v>339</v>
      </c>
      <c r="C230" s="168" t="s">
        <v>1116</v>
      </c>
      <c r="D230" s="166">
        <f>SUM(D225:D229)</f>
        <v>843597015.63073885</v>
      </c>
      <c r="E230" s="97"/>
      <c r="F230" s="168" t="s">
        <v>33</v>
      </c>
      <c r="G230" s="511">
        <f>IF(I230&gt;0,I230/D230,0)</f>
        <v>0.29252080305545519</v>
      </c>
      <c r="H230" s="97"/>
      <c r="I230" s="170">
        <f>SUM(I225:I229)</f>
        <v>246769676.46748912</v>
      </c>
      <c r="J230" s="97"/>
      <c r="K230" s="97"/>
    </row>
    <row r="231" spans="1:11">
      <c r="A231" s="68"/>
      <c r="B231" s="62"/>
      <c r="C231" s="97"/>
      <c r="D231" s="105"/>
      <c r="E231" s="97"/>
      <c r="F231" s="97"/>
      <c r="G231" s="97"/>
      <c r="H231" s="97"/>
      <c r="I231" s="97"/>
      <c r="J231" s="62"/>
      <c r="K231" s="97"/>
    </row>
    <row r="232" spans="1:11">
      <c r="A232" s="68"/>
      <c r="B232" s="62"/>
      <c r="C232" s="97"/>
      <c r="D232" s="105"/>
      <c r="E232" s="97"/>
      <c r="F232" s="97"/>
      <c r="G232" s="97"/>
      <c r="H232" s="97"/>
      <c r="I232" s="97"/>
      <c r="J232" s="62"/>
      <c r="K232" s="97"/>
    </row>
    <row r="233" spans="1:11">
      <c r="A233" s="68"/>
      <c r="B233" s="62"/>
      <c r="C233" s="97"/>
      <c r="D233" s="105"/>
      <c r="E233" s="97"/>
      <c r="F233" s="97"/>
      <c r="G233" s="97"/>
      <c r="H233" s="97"/>
      <c r="I233" s="97"/>
      <c r="J233" s="62"/>
      <c r="K233" s="97"/>
    </row>
    <row r="234" spans="1:11">
      <c r="A234" s="68"/>
      <c r="B234" s="62" t="s">
        <v>110</v>
      </c>
      <c r="C234" s="68"/>
      <c r="D234" s="97"/>
      <c r="E234" s="97"/>
      <c r="F234" s="97"/>
      <c r="G234" s="97"/>
      <c r="H234" s="62"/>
      <c r="I234" s="97"/>
      <c r="J234" s="62"/>
      <c r="K234" s="97"/>
    </row>
    <row r="235" spans="1:11" ht="12.75" customHeight="1">
      <c r="A235" s="68"/>
      <c r="B235" s="94" t="s">
        <v>109</v>
      </c>
      <c r="C235" s="68"/>
      <c r="D235" s="97"/>
      <c r="E235" s="97"/>
      <c r="F235" s="97"/>
      <c r="G235" s="97"/>
      <c r="H235" s="62"/>
      <c r="I235" s="97"/>
      <c r="J235" s="413"/>
      <c r="K235" s="413"/>
    </row>
    <row r="236" spans="1:11">
      <c r="A236" s="68" t="s">
        <v>74</v>
      </c>
      <c r="B236" s="62"/>
      <c r="C236" s="62"/>
      <c r="D236" s="97"/>
      <c r="E236" s="97"/>
      <c r="F236" s="97"/>
      <c r="G236" s="97"/>
      <c r="H236" s="62"/>
      <c r="I236" s="97"/>
      <c r="J236" s="62"/>
      <c r="K236" s="62"/>
    </row>
    <row r="237" spans="1:11" ht="13.8" thickBot="1">
      <c r="A237" s="101" t="s">
        <v>75</v>
      </c>
      <c r="B237" s="62"/>
      <c r="C237" s="62"/>
      <c r="D237" s="97"/>
      <c r="E237" s="97"/>
      <c r="F237" s="97"/>
      <c r="G237" s="97"/>
      <c r="H237" s="62"/>
      <c r="I237" s="97"/>
      <c r="J237" s="62"/>
      <c r="K237" s="62"/>
    </row>
    <row r="238" spans="1:11" ht="55.5" customHeight="1">
      <c r="A238" s="69" t="s">
        <v>76</v>
      </c>
      <c r="B238" s="902" t="s">
        <v>132</v>
      </c>
      <c r="C238" s="902"/>
      <c r="D238" s="902"/>
      <c r="E238" s="902"/>
      <c r="F238" s="902"/>
      <c r="G238" s="902"/>
      <c r="H238" s="902"/>
      <c r="I238" s="902"/>
      <c r="J238" s="62"/>
      <c r="K238" s="62"/>
    </row>
    <row r="239" spans="1:11">
      <c r="A239" s="75" t="s">
        <v>2</v>
      </c>
      <c r="B239" s="62" t="s">
        <v>344</v>
      </c>
      <c r="C239" s="62" t="s">
        <v>90</v>
      </c>
      <c r="D239" s="159">
        <v>0.21</v>
      </c>
      <c r="E239" s="62" t="s">
        <v>345</v>
      </c>
      <c r="F239" s="62"/>
      <c r="G239" s="62"/>
      <c r="H239" s="62"/>
      <c r="I239" s="62"/>
      <c r="J239" s="82"/>
      <c r="K239" s="82"/>
    </row>
    <row r="240" spans="1:11">
      <c r="A240" s="75"/>
      <c r="B240" s="62"/>
      <c r="C240" s="62" t="s">
        <v>91</v>
      </c>
      <c r="D240" s="159">
        <v>4.3999999999999997E-2</v>
      </c>
      <c r="E240" s="62" t="s">
        <v>92</v>
      </c>
      <c r="F240" s="62"/>
      <c r="G240" s="62"/>
      <c r="H240" s="62"/>
      <c r="I240" s="62"/>
      <c r="J240" s="82"/>
      <c r="K240" s="82"/>
    </row>
    <row r="241" spans="1:11">
      <c r="A241" s="75"/>
      <c r="B241" s="62"/>
      <c r="C241" s="62" t="s">
        <v>93</v>
      </c>
      <c r="D241" s="159">
        <v>0</v>
      </c>
      <c r="E241" s="62" t="s">
        <v>94</v>
      </c>
      <c r="F241" s="62"/>
      <c r="G241" s="62"/>
      <c r="H241" s="62"/>
      <c r="I241" s="62"/>
      <c r="J241" s="82"/>
      <c r="K241" s="82"/>
    </row>
    <row r="242" spans="1:11">
      <c r="A242" s="83"/>
      <c r="B242" s="957"/>
      <c r="C242" s="957"/>
      <c r="D242" s="957"/>
      <c r="E242" s="957"/>
      <c r="F242" s="957"/>
      <c r="G242" s="957"/>
      <c r="H242" s="957"/>
      <c r="I242" s="957"/>
      <c r="J242" s="82"/>
      <c r="K242" s="82"/>
    </row>
    <row r="243" spans="1:11">
      <c r="A243" s="71" t="s">
        <v>77</v>
      </c>
      <c r="B243" s="93" t="s">
        <v>749</v>
      </c>
      <c r="J243" s="82"/>
      <c r="K243" s="82"/>
    </row>
    <row r="244" spans="1:11">
      <c r="A244" s="28" t="s">
        <v>78</v>
      </c>
      <c r="B244" s="959" t="s">
        <v>1058</v>
      </c>
      <c r="C244" s="959"/>
      <c r="D244" s="959"/>
      <c r="E244" s="959"/>
      <c r="F244" s="959"/>
      <c r="G244" s="959"/>
      <c r="H244" s="959"/>
      <c r="I244" s="959"/>
      <c r="J244" s="82"/>
      <c r="K244" s="82"/>
    </row>
    <row r="245" spans="1:11">
      <c r="A245" s="28" t="s">
        <v>79</v>
      </c>
      <c r="B245" s="958" t="s">
        <v>1062</v>
      </c>
      <c r="C245" s="958"/>
      <c r="D245" s="958"/>
      <c r="E245" s="958"/>
      <c r="F245" s="958"/>
      <c r="G245" s="958"/>
      <c r="H245" s="958"/>
      <c r="I245" s="958"/>
      <c r="J245" s="79"/>
      <c r="K245" s="79"/>
    </row>
    <row r="246" spans="1:11">
      <c r="A246" s="83"/>
      <c r="B246" s="957"/>
      <c r="C246" s="957"/>
      <c r="D246" s="957"/>
      <c r="E246" s="957"/>
      <c r="F246" s="957"/>
      <c r="G246" s="957"/>
      <c r="H246" s="957"/>
      <c r="I246" s="957"/>
      <c r="J246" s="79"/>
      <c r="K246" s="79"/>
    </row>
    <row r="247" spans="1:11">
      <c r="A247" s="80"/>
      <c r="C247" s="82"/>
      <c r="D247" s="82"/>
      <c r="E247" s="82"/>
      <c r="F247" s="82"/>
      <c r="G247" s="82"/>
      <c r="H247" s="82"/>
      <c r="I247" s="82"/>
      <c r="J247" s="86"/>
      <c r="K247" s="86"/>
    </row>
    <row r="248" spans="1:11">
      <c r="A248" s="85"/>
      <c r="B248" s="84"/>
      <c r="C248" s="79"/>
      <c r="D248" s="79"/>
      <c r="E248" s="79"/>
      <c r="F248" s="79"/>
      <c r="G248" s="79"/>
      <c r="H248" s="79"/>
      <c r="I248" s="79"/>
    </row>
    <row r="249" spans="1:11">
      <c r="A249" s="85"/>
      <c r="B249" s="79"/>
      <c r="C249" s="79"/>
      <c r="D249" s="79"/>
      <c r="E249" s="79"/>
      <c r="F249" s="79"/>
      <c r="G249" s="79"/>
      <c r="H249" s="79"/>
      <c r="I249" s="79"/>
    </row>
    <row r="250" spans="1:11">
      <c r="A250" s="83"/>
      <c r="B250" s="906"/>
      <c r="C250" s="906"/>
      <c r="D250" s="906"/>
      <c r="E250" s="906"/>
      <c r="F250" s="906"/>
      <c r="G250" s="906"/>
      <c r="H250" s="906"/>
      <c r="I250" s="906"/>
      <c r="J250" s="90"/>
      <c r="K250" s="90"/>
    </row>
    <row r="251" spans="1:11" ht="25.5" customHeight="1">
      <c r="A251" s="83"/>
      <c r="J251" s="91"/>
      <c r="K251" s="91"/>
    </row>
    <row r="252" spans="1:11">
      <c r="A252" s="83"/>
      <c r="J252" s="79"/>
      <c r="K252" s="79"/>
    </row>
    <row r="253" spans="1:11">
      <c r="A253" s="80"/>
      <c r="B253" s="87"/>
      <c r="C253" s="87"/>
      <c r="D253" s="87"/>
      <c r="E253" s="87"/>
      <c r="F253" s="87"/>
      <c r="G253" s="87"/>
      <c r="H253" s="88"/>
      <c r="I253" s="89"/>
      <c r="J253" s="79"/>
      <c r="K253" s="79"/>
    </row>
    <row r="254" spans="1:11">
      <c r="A254" s="80"/>
      <c r="J254" s="79"/>
      <c r="K254" s="79"/>
    </row>
    <row r="255" spans="1:11">
      <c r="A255" s="80"/>
      <c r="B255" s="79"/>
      <c r="C255" s="79"/>
      <c r="D255" s="79"/>
      <c r="E255" s="79"/>
      <c r="F255" s="79"/>
      <c r="G255" s="79"/>
      <c r="H255" s="79"/>
      <c r="I255" s="79"/>
      <c r="J255" s="79"/>
      <c r="K255" s="79"/>
    </row>
    <row r="256" spans="1:11">
      <c r="A256" s="80"/>
      <c r="B256" s="79"/>
      <c r="C256" s="79"/>
      <c r="D256" s="79"/>
      <c r="E256" s="79"/>
      <c r="F256" s="79"/>
      <c r="G256" s="79"/>
      <c r="H256" s="79"/>
      <c r="I256" s="79"/>
      <c r="J256" s="79"/>
      <c r="K256" s="79"/>
    </row>
    <row r="257" spans="1:11">
      <c r="A257" s="80"/>
      <c r="C257" s="79"/>
      <c r="D257" s="79"/>
      <c r="E257" s="79"/>
      <c r="F257" s="79"/>
      <c r="G257" s="79"/>
      <c r="H257" s="79"/>
      <c r="I257" s="79"/>
      <c r="J257" s="79"/>
      <c r="K257" s="79"/>
    </row>
    <row r="258" spans="1:11">
      <c r="A258" s="83"/>
      <c r="B258" s="901"/>
      <c r="C258" s="901"/>
      <c r="D258" s="901"/>
      <c r="E258" s="901"/>
      <c r="F258" s="901"/>
      <c r="G258" s="901"/>
      <c r="H258" s="901"/>
      <c r="I258" s="901"/>
    </row>
    <row r="259" spans="1:11">
      <c r="A259" s="80"/>
      <c r="B259" s="92"/>
      <c r="C259" s="79"/>
      <c r="D259" s="79"/>
      <c r="E259" s="79"/>
      <c r="F259" s="79"/>
      <c r="G259" s="79"/>
      <c r="H259" s="79"/>
      <c r="I259" s="79"/>
    </row>
    <row r="260" spans="1:11">
      <c r="A260" s="79"/>
      <c r="B260" s="92"/>
      <c r="C260" s="79"/>
      <c r="D260" s="79"/>
      <c r="E260" s="79"/>
      <c r="F260" s="79"/>
      <c r="G260" s="79"/>
      <c r="H260" s="79"/>
      <c r="I260" s="79"/>
    </row>
  </sheetData>
  <sheetProtection formatCells="0" formatColumns="0"/>
  <mergeCells count="21">
    <mergeCell ref="N172:S172"/>
    <mergeCell ref="I1:K1"/>
    <mergeCell ref="J2:K2"/>
    <mergeCell ref="I32:K32"/>
    <mergeCell ref="J33:K33"/>
    <mergeCell ref="I89:K89"/>
    <mergeCell ref="J90:K90"/>
    <mergeCell ref="F153:K153"/>
    <mergeCell ref="I154:K154"/>
    <mergeCell ref="J155:K155"/>
    <mergeCell ref="G157:K157"/>
    <mergeCell ref="B250:I250"/>
    <mergeCell ref="B258:I258"/>
    <mergeCell ref="B242:I242"/>
    <mergeCell ref="B245:I245"/>
    <mergeCell ref="G203:K203"/>
    <mergeCell ref="I204:K204"/>
    <mergeCell ref="J205:K205"/>
    <mergeCell ref="B246:I246"/>
    <mergeCell ref="B238:I238"/>
    <mergeCell ref="B244:I244"/>
  </mergeCells>
  <pageMargins left="0.5" right="0.25" top="1" bottom="1" header="0.5" footer="0.5"/>
  <pageSetup scale="58" fitToHeight="5" orientation="portrait" r:id="rId1"/>
  <headerFooter alignWithMargins="0">
    <oddHeader xml:space="preserve">&amp;C&amp;"Times New Roman,Regular"&amp;KFF0000CUI//PRIV&amp;K000000
FOR SETTLEMENT PURPOSES ONLY 
SUBJECT TO RULES 602 AND 606
</oddHeader>
  </headerFooter>
  <rowBreaks count="4" manualBreakCount="4">
    <brk id="31" max="10" man="1"/>
    <brk id="88" max="10" man="1"/>
    <brk id="153" max="10" man="1"/>
    <brk id="203" max="10" man="1"/>
  </rowBreaks>
  <ignoredErrors>
    <ignoredError sqref="D101:D104 D115:D119 D123:D128 D62 I165:I167 I173:I174 D183:D186 I202 D217:D221 D225:D229 D79 D25:D31 I89 I154 I204 D190:D192 D74:D77 D82:D85 I32:K39 D137:D146 D130 D106:D112 J40:K40 D45:D60 G197:G198 D65:D73" unlockedFormula="1"/>
    <ignoredError sqref="I73:I75 G107 G66 I69:I71" formula="1"/>
    <ignoredError sqref="A40:G40 B97:I97 B212:I212 B163:I163" numberStoredAsText="1"/>
    <ignoredError sqref="I40" numberStoredAsText="1"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topLeftCell="A5" zoomScale="80" zoomScaleNormal="80" workbookViewId="0">
      <selection activeCell="Z35" sqref="Z35"/>
    </sheetView>
  </sheetViews>
  <sheetFormatPr defaultColWidth="8.6328125" defaultRowHeight="13.2"/>
  <cols>
    <col min="1" max="1" width="3.08984375" style="530" customWidth="1"/>
    <col min="2" max="2" width="8.54296875" style="250" customWidth="1"/>
    <col min="3" max="3" width="4.6328125" style="250" hidden="1" customWidth="1"/>
    <col min="4" max="4" width="12.1796875" style="250" customWidth="1"/>
    <col min="5" max="5" width="11.1796875" style="250" bestFit="1" customWidth="1"/>
    <col min="6" max="6" width="11.08984375" style="250" bestFit="1" customWidth="1"/>
    <col min="7" max="7" width="16.08984375" style="250" customWidth="1"/>
    <col min="8" max="8" width="14.26953125" style="250" bestFit="1" customWidth="1"/>
    <col min="9" max="9" width="13.08984375" style="250" bestFit="1" customWidth="1"/>
    <col min="10" max="10" width="11.1796875" style="250" bestFit="1" customWidth="1"/>
    <col min="11" max="11" width="11.26953125" style="250" bestFit="1" customWidth="1"/>
    <col min="12" max="12" width="10.1796875" style="250" customWidth="1"/>
    <col min="13" max="14" width="10.6328125" style="250" customWidth="1"/>
    <col min="15" max="15" width="10.81640625" style="250" bestFit="1" customWidth="1"/>
    <col min="16" max="16" width="11.08984375" style="250" customWidth="1"/>
    <col min="17" max="17" width="12.1796875" style="250" customWidth="1"/>
    <col min="18" max="18" width="11.08984375" style="250" customWidth="1"/>
    <col min="19" max="20" width="9.54296875" style="250" customWidth="1"/>
    <col min="21" max="21" width="11.08984375" style="250" customWidth="1"/>
    <col min="22" max="22" width="11.6328125" style="250" customWidth="1"/>
    <col min="23" max="27" width="11.08984375" style="250" customWidth="1"/>
    <col min="28" max="28" width="11.1796875" style="250" customWidth="1"/>
    <col min="29" max="29" width="10.1796875" style="250" customWidth="1"/>
    <col min="30" max="30" width="8.6328125" style="250"/>
    <col min="31" max="31" width="12.6328125" style="250" customWidth="1"/>
    <col min="32" max="32" width="13" style="250" customWidth="1"/>
    <col min="33" max="33" width="13.453125" style="250" customWidth="1"/>
    <col min="34" max="34" width="10.54296875" style="250" customWidth="1"/>
    <col min="35" max="35" width="8.6328125" style="250"/>
    <col min="36" max="36" width="9.54296875" style="250" customWidth="1"/>
    <col min="37" max="37" width="13.453125" style="250" customWidth="1"/>
    <col min="38" max="38" width="10.6328125" style="250" customWidth="1"/>
    <col min="39" max="39" width="10.1796875" style="250" customWidth="1"/>
    <col min="40" max="40" width="11.08984375" style="250" customWidth="1"/>
    <col min="41" max="16384" width="8.6328125" style="250"/>
  </cols>
  <sheetData>
    <row r="1" spans="1:38" ht="13.35" customHeight="1">
      <c r="A1" s="528"/>
      <c r="B1" s="501" t="s">
        <v>417</v>
      </c>
      <c r="C1" s="501"/>
      <c r="D1" s="501"/>
      <c r="E1" s="501"/>
      <c r="F1" s="501"/>
      <c r="G1" s="501"/>
      <c r="H1" s="501"/>
      <c r="I1" s="501"/>
      <c r="J1" s="501"/>
      <c r="K1" s="339"/>
      <c r="L1" s="339"/>
      <c r="M1" s="447"/>
      <c r="N1" s="447"/>
      <c r="Q1" s="447"/>
      <c r="AA1" s="973"/>
      <c r="AB1" s="973"/>
      <c r="AK1" s="973" t="s">
        <v>371</v>
      </c>
      <c r="AL1" s="973"/>
    </row>
    <row r="2" spans="1:38" ht="13.35" customHeight="1">
      <c r="A2" s="528"/>
      <c r="B2" s="501" t="s">
        <v>435</v>
      </c>
      <c r="C2" s="501"/>
      <c r="D2" s="501"/>
      <c r="E2" s="501"/>
      <c r="F2" s="501"/>
      <c r="G2" s="501"/>
      <c r="H2" s="501"/>
      <c r="I2" s="501"/>
      <c r="J2" s="501"/>
      <c r="K2" s="339"/>
      <c r="L2" s="339"/>
      <c r="M2" s="448"/>
      <c r="N2" s="448"/>
      <c r="Q2" s="448"/>
      <c r="AB2" s="448"/>
      <c r="AL2" s="448"/>
    </row>
    <row r="3" spans="1:38" ht="13.35" customHeight="1">
      <c r="A3" s="529"/>
      <c r="B3" s="501" t="str">
        <f>'Act Att-H'!C7</f>
        <v>Black Hills Colorado Electric, LLC</v>
      </c>
      <c r="C3" s="501"/>
      <c r="D3" s="501"/>
      <c r="E3" s="501"/>
      <c r="F3" s="501"/>
      <c r="G3" s="501"/>
      <c r="H3" s="501"/>
      <c r="I3" s="501"/>
      <c r="J3" s="501"/>
      <c r="K3" s="339"/>
      <c r="L3" s="339"/>
    </row>
    <row r="4" spans="1:38" ht="13.35" customHeight="1">
      <c r="I4" s="251"/>
      <c r="J4" s="251" t="s">
        <v>650</v>
      </c>
      <c r="K4" s="251"/>
      <c r="L4" s="251"/>
      <c r="P4" s="251"/>
      <c r="Q4" s="251" t="s">
        <v>372</v>
      </c>
      <c r="V4" s="251" t="s">
        <v>373</v>
      </c>
      <c r="AA4" s="251" t="s">
        <v>651</v>
      </c>
      <c r="AL4" s="250" t="s">
        <v>373</v>
      </c>
    </row>
    <row r="5" spans="1:38">
      <c r="G5" s="46"/>
      <c r="H5" s="46"/>
      <c r="I5" s="46"/>
      <c r="J5" s="46"/>
      <c r="K5" s="46"/>
      <c r="L5" s="46"/>
      <c r="AA5" s="251"/>
    </row>
    <row r="6" spans="1:38">
      <c r="B6" s="967"/>
      <c r="C6" s="967"/>
      <c r="D6" s="967"/>
      <c r="E6" s="967"/>
      <c r="F6" s="968"/>
      <c r="G6" s="449"/>
      <c r="H6" s="450"/>
      <c r="I6" s="450"/>
      <c r="J6" s="451"/>
      <c r="K6" s="254"/>
      <c r="L6" s="254"/>
      <c r="M6" s="254"/>
      <c r="N6" s="254"/>
      <c r="Q6" s="254"/>
      <c r="X6" s="255"/>
    </row>
    <row r="7" spans="1:38">
      <c r="B7" s="969" t="s">
        <v>557</v>
      </c>
      <c r="C7" s="969"/>
      <c r="D7" s="969"/>
      <c r="E7" s="969"/>
      <c r="F7" s="969"/>
      <c r="G7" s="970" t="s">
        <v>379</v>
      </c>
      <c r="H7" s="971"/>
      <c r="I7" s="971"/>
      <c r="J7" s="972"/>
      <c r="K7" s="520"/>
      <c r="L7" s="520"/>
      <c r="M7" s="323"/>
      <c r="N7" s="323"/>
      <c r="Q7" s="323"/>
      <c r="R7" s="890"/>
      <c r="S7" s="965" t="s">
        <v>679</v>
      </c>
      <c r="T7" s="965"/>
      <c r="U7" s="965"/>
      <c r="V7" s="966"/>
      <c r="W7" s="974" t="s">
        <v>680</v>
      </c>
      <c r="X7" s="965"/>
      <c r="Y7" s="965"/>
      <c r="Z7" s="965"/>
      <c r="AA7" s="966"/>
    </row>
    <row r="8" spans="1:38">
      <c r="B8" s="795" t="s">
        <v>138</v>
      </c>
      <c r="C8" s="795"/>
      <c r="D8" s="795" t="s">
        <v>139</v>
      </c>
      <c r="E8" s="795" t="s">
        <v>1156</v>
      </c>
      <c r="F8" s="795" t="s">
        <v>141</v>
      </c>
      <c r="G8" s="452" t="s">
        <v>542</v>
      </c>
      <c r="H8" s="385" t="s">
        <v>143</v>
      </c>
      <c r="I8" s="385" t="s">
        <v>144</v>
      </c>
      <c r="J8" s="535" t="s">
        <v>145</v>
      </c>
      <c r="K8" s="541" t="s">
        <v>161</v>
      </c>
      <c r="L8" s="542" t="s">
        <v>162</v>
      </c>
      <c r="M8" s="891" t="s">
        <v>872</v>
      </c>
      <c r="N8" s="891" t="s">
        <v>871</v>
      </c>
      <c r="O8" s="891" t="s">
        <v>929</v>
      </c>
      <c r="P8" s="542" t="s">
        <v>976</v>
      </c>
      <c r="Q8" s="535" t="s">
        <v>977</v>
      </c>
      <c r="R8" s="454" t="s">
        <v>978</v>
      </c>
      <c r="S8" s="795" t="s">
        <v>979</v>
      </c>
      <c r="T8" s="795" t="s">
        <v>1243</v>
      </c>
      <c r="U8" s="795" t="s">
        <v>981</v>
      </c>
      <c r="V8" s="795" t="s">
        <v>982</v>
      </c>
      <c r="W8" s="454" t="s">
        <v>983</v>
      </c>
      <c r="X8" s="795" t="s">
        <v>984</v>
      </c>
      <c r="Y8" s="795" t="s">
        <v>985</v>
      </c>
      <c r="Z8" s="795" t="s">
        <v>986</v>
      </c>
      <c r="AA8" s="892" t="s">
        <v>987</v>
      </c>
    </row>
    <row r="9" spans="1:38">
      <c r="G9" s="324"/>
      <c r="H9" s="385"/>
      <c r="I9" s="385" t="s">
        <v>380</v>
      </c>
      <c r="J9" s="453" t="s">
        <v>380</v>
      </c>
      <c r="K9" s="454"/>
      <c r="L9" s="961" t="s">
        <v>657</v>
      </c>
      <c r="M9" s="961"/>
      <c r="N9" s="274"/>
      <c r="O9" s="274"/>
      <c r="P9" s="963" t="s">
        <v>670</v>
      </c>
      <c r="Q9" s="964"/>
      <c r="R9" s="325"/>
      <c r="S9" s="253"/>
      <c r="T9" s="253"/>
      <c r="U9" s="253"/>
      <c r="V9" s="260"/>
      <c r="W9" s="325"/>
      <c r="X9" s="253"/>
      <c r="Y9" s="253"/>
      <c r="Z9" s="253"/>
      <c r="AA9" s="260"/>
    </row>
    <row r="10" spans="1:38">
      <c r="B10" s="363" t="s">
        <v>219</v>
      </c>
      <c r="G10" s="454" t="s">
        <v>381</v>
      </c>
      <c r="H10" s="274"/>
      <c r="I10" s="274" t="s">
        <v>375</v>
      </c>
      <c r="J10" s="455" t="s">
        <v>382</v>
      </c>
      <c r="K10" s="454" t="s">
        <v>664</v>
      </c>
      <c r="L10" s="961" t="s">
        <v>656</v>
      </c>
      <c r="M10" s="961"/>
      <c r="N10" s="961" t="s">
        <v>669</v>
      </c>
      <c r="O10" s="961"/>
      <c r="P10" s="963" t="s">
        <v>681</v>
      </c>
      <c r="Q10" s="964"/>
      <c r="R10" s="454" t="s">
        <v>665</v>
      </c>
      <c r="S10" s="274" t="s">
        <v>659</v>
      </c>
      <c r="T10" s="274" t="s">
        <v>660</v>
      </c>
      <c r="U10" s="274"/>
      <c r="V10" s="455"/>
      <c r="W10" s="454" t="s">
        <v>665</v>
      </c>
      <c r="X10" s="274" t="s">
        <v>659</v>
      </c>
      <c r="Y10" s="274" t="s">
        <v>660</v>
      </c>
      <c r="Z10" s="274"/>
      <c r="AA10" s="455"/>
    </row>
    <row r="11" spans="1:38" ht="13.2" customHeight="1" thickBot="1">
      <c r="A11" s="532" t="s">
        <v>666</v>
      </c>
      <c r="B11" s="456" t="s">
        <v>988</v>
      </c>
      <c r="C11" s="456"/>
      <c r="D11" s="456" t="s">
        <v>374</v>
      </c>
      <c r="E11" s="456" t="s">
        <v>375</v>
      </c>
      <c r="F11" s="456" t="s">
        <v>376</v>
      </c>
      <c r="G11" s="457" t="s">
        <v>492</v>
      </c>
      <c r="H11" s="458" t="s">
        <v>383</v>
      </c>
      <c r="I11" s="458" t="s">
        <v>493</v>
      </c>
      <c r="J11" s="459" t="s">
        <v>375</v>
      </c>
      <c r="K11" s="522" t="s">
        <v>663</v>
      </c>
      <c r="L11" s="523" t="s">
        <v>679</v>
      </c>
      <c r="M11" s="523" t="s">
        <v>680</v>
      </c>
      <c r="N11" s="523" t="s">
        <v>679</v>
      </c>
      <c r="O11" s="523" t="s">
        <v>680</v>
      </c>
      <c r="P11" s="523" t="s">
        <v>679</v>
      </c>
      <c r="Q11" s="625" t="s">
        <v>680</v>
      </c>
      <c r="R11" s="526" t="s">
        <v>438</v>
      </c>
      <c r="S11" s="524" t="s">
        <v>375</v>
      </c>
      <c r="T11" s="524" t="s">
        <v>653</v>
      </c>
      <c r="U11" s="524" t="s">
        <v>654</v>
      </c>
      <c r="V11" s="527" t="s">
        <v>655</v>
      </c>
      <c r="W11" s="526" t="s">
        <v>438</v>
      </c>
      <c r="X11" s="524" t="s">
        <v>375</v>
      </c>
      <c r="Y11" s="524" t="s">
        <v>653</v>
      </c>
      <c r="Z11" s="524" t="s">
        <v>654</v>
      </c>
      <c r="AA11" s="527" t="s">
        <v>655</v>
      </c>
    </row>
    <row r="12" spans="1:38" ht="39.6">
      <c r="A12" s="531">
        <v>1</v>
      </c>
      <c r="G12" s="325"/>
      <c r="H12" s="868" t="s">
        <v>1241</v>
      </c>
      <c r="I12" s="460">
        <f>IF('Act Att-H'!D46=0,0,ROUND('Act Att-H'!D120/'Act Att-H'!D46,6)/12)</f>
        <v>1.4199166666666665E-3</v>
      </c>
      <c r="J12" s="869" t="s">
        <v>1242</v>
      </c>
      <c r="K12" s="325"/>
      <c r="L12" s="253"/>
      <c r="M12" s="253"/>
      <c r="N12" s="867" t="s">
        <v>1153</v>
      </c>
      <c r="O12" s="867" t="s">
        <v>1154</v>
      </c>
      <c r="P12" s="730">
        <v>24843578</v>
      </c>
      <c r="Q12" s="731">
        <v>22554611</v>
      </c>
      <c r="R12" s="873" t="s">
        <v>1155</v>
      </c>
      <c r="S12" s="867" t="s">
        <v>1156</v>
      </c>
      <c r="T12" s="867" t="s">
        <v>1157</v>
      </c>
      <c r="U12" s="871" t="s">
        <v>1158</v>
      </c>
      <c r="V12" s="866" t="s">
        <v>1159</v>
      </c>
      <c r="W12" s="870" t="s">
        <v>1160</v>
      </c>
      <c r="X12" s="867" t="s">
        <v>1156</v>
      </c>
      <c r="Y12" s="867" t="s">
        <v>1161</v>
      </c>
      <c r="Z12" s="871" t="s">
        <v>1158</v>
      </c>
      <c r="AA12" s="872" t="s">
        <v>1162</v>
      </c>
    </row>
    <row r="13" spans="1:38">
      <c r="A13" s="531">
        <v>2</v>
      </c>
      <c r="G13" s="325"/>
      <c r="H13" s="253"/>
      <c r="I13" s="461"/>
      <c r="J13" s="260"/>
      <c r="K13" s="325"/>
      <c r="L13" s="253"/>
      <c r="M13" s="253"/>
      <c r="N13" s="253" t="s">
        <v>658</v>
      </c>
      <c r="O13" s="253"/>
      <c r="P13" s="734">
        <f>'Act Att-H'!G50</f>
        <v>0.21540035426453175</v>
      </c>
      <c r="Q13" s="859">
        <f>'Proj Att-H'!G222</f>
        <v>0.25172374063863684</v>
      </c>
      <c r="R13" s="870"/>
      <c r="S13" s="253"/>
      <c r="T13" s="253"/>
      <c r="U13" s="865"/>
      <c r="V13" s="260"/>
      <c r="W13" s="325"/>
      <c r="X13" s="253"/>
      <c r="Y13" s="253"/>
      <c r="Z13" s="253"/>
      <c r="AA13" s="260"/>
    </row>
    <row r="14" spans="1:38" ht="25.5" customHeight="1">
      <c r="A14" s="531">
        <v>3</v>
      </c>
      <c r="B14" s="268"/>
      <c r="C14" s="268"/>
      <c r="D14" s="462"/>
      <c r="E14" s="463"/>
      <c r="F14" s="259"/>
      <c r="G14" s="537" t="s">
        <v>1265</v>
      </c>
      <c r="H14" s="732">
        <f>'A4-Rate Base'!D22</f>
        <v>264303962.91</v>
      </c>
      <c r="I14" s="463"/>
      <c r="J14" s="733">
        <f>'A4-Rate Base'!F45</f>
        <v>48570417.830211848</v>
      </c>
      <c r="K14" s="325"/>
      <c r="L14" s="253"/>
      <c r="M14" s="259"/>
      <c r="N14" s="259"/>
      <c r="O14" s="253"/>
      <c r="P14" s="139">
        <f>P12*P13</f>
        <v>5351315.5023985272</v>
      </c>
      <c r="Q14" s="860">
        <f>Q12*Q13</f>
        <v>5677531.0495693451</v>
      </c>
      <c r="R14" s="325"/>
      <c r="S14" s="253"/>
      <c r="T14" s="253"/>
      <c r="U14" s="253"/>
      <c r="V14" s="260"/>
      <c r="W14" s="325"/>
      <c r="X14" s="253"/>
      <c r="Y14" s="253"/>
      <c r="Z14" s="253"/>
      <c r="AA14" s="260"/>
    </row>
    <row r="15" spans="1:38">
      <c r="G15" s="325"/>
      <c r="H15" s="253"/>
      <c r="I15" s="253"/>
      <c r="J15" s="260"/>
      <c r="K15" s="325"/>
      <c r="L15" s="253"/>
      <c r="M15" s="253"/>
      <c r="N15" s="253"/>
      <c r="O15" s="253"/>
      <c r="P15" s="256"/>
      <c r="Q15" s="626"/>
      <c r="R15" s="325"/>
      <c r="S15" s="253"/>
      <c r="T15" s="253"/>
      <c r="U15" s="253"/>
      <c r="V15" s="260"/>
      <c r="W15" s="325"/>
      <c r="X15" s="253"/>
      <c r="Y15" s="253"/>
      <c r="Z15" s="253"/>
      <c r="AA15" s="260"/>
    </row>
    <row r="16" spans="1:38" s="536" customFormat="1">
      <c r="A16" s="664"/>
      <c r="B16" s="665" t="s">
        <v>138</v>
      </c>
      <c r="C16" s="665"/>
      <c r="D16" s="665" t="s">
        <v>139</v>
      </c>
      <c r="E16" s="665" t="s">
        <v>140</v>
      </c>
      <c r="F16" s="665" t="s">
        <v>141</v>
      </c>
      <c r="G16" s="666" t="s">
        <v>142</v>
      </c>
      <c r="H16" s="665" t="s">
        <v>143</v>
      </c>
      <c r="I16" s="665" t="s">
        <v>144</v>
      </c>
      <c r="J16" s="667" t="s">
        <v>145</v>
      </c>
      <c r="K16" s="666" t="s">
        <v>161</v>
      </c>
      <c r="L16" s="665" t="s">
        <v>162</v>
      </c>
      <c r="M16" s="668" t="s">
        <v>872</v>
      </c>
      <c r="N16" s="665" t="s">
        <v>871</v>
      </c>
      <c r="O16" s="665" t="s">
        <v>929</v>
      </c>
      <c r="P16" s="665" t="s">
        <v>976</v>
      </c>
      <c r="Q16" s="669" t="s">
        <v>977</v>
      </c>
      <c r="R16" s="666" t="s">
        <v>978</v>
      </c>
      <c r="S16" s="665" t="s">
        <v>979</v>
      </c>
      <c r="T16" s="665" t="s">
        <v>980</v>
      </c>
      <c r="U16" s="665" t="s">
        <v>981</v>
      </c>
      <c r="V16" s="667" t="s">
        <v>982</v>
      </c>
      <c r="W16" s="666" t="s">
        <v>983</v>
      </c>
      <c r="X16" s="665" t="s">
        <v>984</v>
      </c>
      <c r="Y16" s="665" t="s">
        <v>985</v>
      </c>
      <c r="Z16" s="665" t="s">
        <v>986</v>
      </c>
      <c r="AA16" s="667" t="s">
        <v>987</v>
      </c>
    </row>
    <row r="17" spans="1:27">
      <c r="G17" s="326"/>
      <c r="H17" s="261"/>
      <c r="I17" s="253"/>
      <c r="J17" s="260"/>
      <c r="K17" s="325"/>
      <c r="L17" s="253"/>
      <c r="M17" s="253"/>
      <c r="N17" s="253"/>
      <c r="O17" s="253"/>
      <c r="P17" s="256"/>
      <c r="Q17" s="626"/>
      <c r="R17" s="325"/>
      <c r="S17" s="253"/>
      <c r="T17" s="253"/>
      <c r="U17" s="253"/>
      <c r="V17" s="260"/>
      <c r="W17" s="325"/>
      <c r="X17" s="253"/>
      <c r="Y17" s="253"/>
      <c r="Z17" s="253"/>
      <c r="AA17" s="260"/>
    </row>
    <row r="18" spans="1:27">
      <c r="A18" s="531">
        <f>+A14+1</f>
        <v>4</v>
      </c>
      <c r="B18" s="715">
        <v>44927</v>
      </c>
      <c r="C18" s="464"/>
      <c r="D18" s="382">
        <f>H18</f>
        <v>264224544.81</v>
      </c>
      <c r="E18" s="382">
        <f>I18</f>
        <v>375289.60200195748</v>
      </c>
      <c r="F18" s="382">
        <f>J18</f>
        <v>48945707.432213806</v>
      </c>
      <c r="G18" s="897">
        <v>-79418.10000000002</v>
      </c>
      <c r="H18" s="465">
        <f>H$14+G18</f>
        <v>264224544.81</v>
      </c>
      <c r="I18" s="466">
        <f>I$12*H14</f>
        <v>375289.60200195748</v>
      </c>
      <c r="J18" s="467">
        <f>J14+I18</f>
        <v>48945707.432213806</v>
      </c>
      <c r="K18" s="627">
        <f>G18</f>
        <v>-79418.10000000002</v>
      </c>
      <c r="L18" s="521">
        <v>3.7499999999999999E-2</v>
      </c>
      <c r="M18" s="521">
        <v>7.4999999999999997E-2</v>
      </c>
      <c r="N18" s="253">
        <f t="shared" ref="N18:N29" si="0">K18*L18</f>
        <v>-2978.1787500000005</v>
      </c>
      <c r="O18" s="253">
        <f t="shared" ref="O18:O29" si="1">K18*M18</f>
        <v>-5956.357500000001</v>
      </c>
      <c r="P18" s="256">
        <f t="shared" ref="P18:P29" si="2">(P$14)/12</f>
        <v>445942.95853321062</v>
      </c>
      <c r="Q18" s="628"/>
      <c r="R18" s="637">
        <f>N$42/12+P18</f>
        <v>597691.33569301933</v>
      </c>
      <c r="S18" s="638">
        <f>E18</f>
        <v>375289.60200195748</v>
      </c>
      <c r="T18" s="638">
        <f>S18-R18</f>
        <v>-222401.73369106185</v>
      </c>
      <c r="U18" s="639">
        <f>+'Proj Att-H'!$D$133</f>
        <v>0.24475999999999998</v>
      </c>
      <c r="V18" s="640">
        <f>T18*U18</f>
        <v>-54435.048338224289</v>
      </c>
      <c r="W18" s="641"/>
      <c r="X18" s="629"/>
      <c r="Y18" s="629"/>
      <c r="Z18" s="629"/>
      <c r="AA18" s="628"/>
    </row>
    <row r="19" spans="1:27">
      <c r="A19" s="531">
        <f t="shared" ref="A19:A41" si="3">+A18+1</f>
        <v>5</v>
      </c>
      <c r="B19" s="715">
        <v>44958</v>
      </c>
      <c r="C19" s="464"/>
      <c r="D19" s="382">
        <f t="shared" ref="D19:D41" si="4">H19</f>
        <v>312216208.51999998</v>
      </c>
      <c r="E19" s="382">
        <f t="shared" ref="E19:E41" si="5">I19</f>
        <v>375176.83491813246</v>
      </c>
      <c r="F19" s="382">
        <f t="shared" ref="F19:F41" si="6">J19</f>
        <v>49320884.26713194</v>
      </c>
      <c r="G19" s="897">
        <v>47912245.609999999</v>
      </c>
      <c r="H19" s="465">
        <f t="shared" ref="H19:H41" si="7">H$14+G19</f>
        <v>312216208.51999998</v>
      </c>
      <c r="I19" s="466">
        <f>I$12*H18</f>
        <v>375176.83491813246</v>
      </c>
      <c r="J19" s="467">
        <f t="shared" ref="J19:J41" si="8">J18+I19</f>
        <v>49320884.26713194</v>
      </c>
      <c r="K19" s="627">
        <f>G19-G18</f>
        <v>47991663.710000001</v>
      </c>
      <c r="L19" s="521">
        <v>3.7499999999999999E-2</v>
      </c>
      <c r="M19" s="521">
        <v>7.4999999999999997E-2</v>
      </c>
      <c r="N19" s="253">
        <f t="shared" si="0"/>
        <v>1799687.389125</v>
      </c>
      <c r="O19" s="253">
        <f t="shared" si="1"/>
        <v>3599374.77825</v>
      </c>
      <c r="P19" s="256">
        <f t="shared" si="2"/>
        <v>445942.95853321062</v>
      </c>
      <c r="Q19" s="628"/>
      <c r="R19" s="637">
        <f t="shared" ref="R19:R29" si="9">N$42/12+P19</f>
        <v>597691.33569301933</v>
      </c>
      <c r="S19" s="638">
        <f t="shared" ref="S19:S29" si="10">E19</f>
        <v>375176.83491813246</v>
      </c>
      <c r="T19" s="638">
        <f t="shared" ref="T19:T29" si="11">S19-R19</f>
        <v>-222514.50077488687</v>
      </c>
      <c r="U19" s="639">
        <f>+'Proj Att-H'!$D$133</f>
        <v>0.24475999999999998</v>
      </c>
      <c r="V19" s="640">
        <f t="shared" ref="V19:V29" si="12">T19*U19</f>
        <v>-54462.649209661307</v>
      </c>
      <c r="W19" s="641"/>
      <c r="X19" s="629"/>
      <c r="Y19" s="629"/>
      <c r="Z19" s="629"/>
      <c r="AA19" s="628"/>
    </row>
    <row r="20" spans="1:27">
      <c r="A20" s="531">
        <f t="shared" si="3"/>
        <v>6</v>
      </c>
      <c r="B20" s="715">
        <v>44986</v>
      </c>
      <c r="C20" s="464"/>
      <c r="D20" s="382">
        <f t="shared" si="4"/>
        <v>312044704.12</v>
      </c>
      <c r="E20" s="382">
        <f t="shared" si="5"/>
        <v>443320.99808102328</v>
      </c>
      <c r="F20" s="382">
        <f t="shared" si="6"/>
        <v>49764205.265212961</v>
      </c>
      <c r="G20" s="897">
        <v>47740741.210000001</v>
      </c>
      <c r="H20" s="465">
        <f t="shared" si="7"/>
        <v>312044704.12</v>
      </c>
      <c r="I20" s="466">
        <f t="shared" ref="I20:I41" si="13">I$12*H19</f>
        <v>443320.99808102328</v>
      </c>
      <c r="J20" s="467">
        <f t="shared" si="8"/>
        <v>49764205.265212961</v>
      </c>
      <c r="K20" s="627">
        <f t="shared" ref="K20:K41" si="14">G20-G19</f>
        <v>-171504.39999999851</v>
      </c>
      <c r="L20" s="521">
        <v>3.7499999999999999E-2</v>
      </c>
      <c r="M20" s="521">
        <v>7.4999999999999997E-2</v>
      </c>
      <c r="N20" s="253">
        <f t="shared" si="0"/>
        <v>-6431.4149999999436</v>
      </c>
      <c r="O20" s="253">
        <f t="shared" si="1"/>
        <v>-12862.829999999887</v>
      </c>
      <c r="P20" s="256">
        <f t="shared" si="2"/>
        <v>445942.95853321062</v>
      </c>
      <c r="Q20" s="628"/>
      <c r="R20" s="637">
        <f t="shared" si="9"/>
        <v>597691.33569301933</v>
      </c>
      <c r="S20" s="638">
        <f t="shared" si="10"/>
        <v>443320.99808102328</v>
      </c>
      <c r="T20" s="638">
        <f t="shared" si="11"/>
        <v>-154370.33761199604</v>
      </c>
      <c r="U20" s="639">
        <f>+'Proj Att-H'!$D$133</f>
        <v>0.24475999999999998</v>
      </c>
      <c r="V20" s="640">
        <f t="shared" si="12"/>
        <v>-37783.683833912146</v>
      </c>
      <c r="W20" s="641"/>
      <c r="X20" s="629"/>
      <c r="Y20" s="629"/>
      <c r="Z20" s="629"/>
      <c r="AA20" s="628"/>
    </row>
    <row r="21" spans="1:27">
      <c r="A21" s="531">
        <f t="shared" si="3"/>
        <v>7</v>
      </c>
      <c r="B21" s="715">
        <v>45017</v>
      </c>
      <c r="C21" s="464"/>
      <c r="D21" s="382">
        <f t="shared" si="4"/>
        <v>312067689.61000001</v>
      </c>
      <c r="E21" s="382">
        <f t="shared" si="5"/>
        <v>443077.47612505662</v>
      </c>
      <c r="F21" s="382">
        <f t="shared" si="6"/>
        <v>50207282.741338015</v>
      </c>
      <c r="G21" s="897">
        <v>47763726.700000003</v>
      </c>
      <c r="H21" s="465">
        <f t="shared" si="7"/>
        <v>312067689.61000001</v>
      </c>
      <c r="I21" s="466">
        <f t="shared" si="13"/>
        <v>443077.47612505662</v>
      </c>
      <c r="J21" s="467">
        <f t="shared" si="8"/>
        <v>50207282.741338015</v>
      </c>
      <c r="K21" s="627">
        <f t="shared" si="14"/>
        <v>22985.490000002086</v>
      </c>
      <c r="L21" s="521">
        <v>3.7499999999999999E-2</v>
      </c>
      <c r="M21" s="521">
        <v>7.4999999999999997E-2</v>
      </c>
      <c r="N21" s="253">
        <f t="shared" si="0"/>
        <v>861.95587500007821</v>
      </c>
      <c r="O21" s="253">
        <f t="shared" si="1"/>
        <v>1723.9117500001564</v>
      </c>
      <c r="P21" s="256">
        <f t="shared" si="2"/>
        <v>445942.95853321062</v>
      </c>
      <c r="Q21" s="628"/>
      <c r="R21" s="637">
        <f t="shared" si="9"/>
        <v>597691.33569301933</v>
      </c>
      <c r="S21" s="638">
        <f t="shared" si="10"/>
        <v>443077.47612505662</v>
      </c>
      <c r="T21" s="638">
        <f t="shared" si="11"/>
        <v>-154613.8595679627</v>
      </c>
      <c r="U21" s="639">
        <f>+'Proj Att-H'!$D$133</f>
        <v>0.24475999999999998</v>
      </c>
      <c r="V21" s="640">
        <f t="shared" si="12"/>
        <v>-37843.28826785455</v>
      </c>
      <c r="W21" s="641"/>
      <c r="X21" s="629"/>
      <c r="Y21" s="629"/>
      <c r="Z21" s="629"/>
      <c r="AA21" s="628"/>
    </row>
    <row r="22" spans="1:27">
      <c r="A22" s="531">
        <f t="shared" si="3"/>
        <v>8</v>
      </c>
      <c r="B22" s="715">
        <v>45047</v>
      </c>
      <c r="C22" s="464"/>
      <c r="D22" s="382">
        <f t="shared" si="4"/>
        <v>311750466.44</v>
      </c>
      <c r="E22" s="382">
        <f t="shared" si="5"/>
        <v>443110.11360539915</v>
      </c>
      <c r="F22" s="382">
        <f t="shared" si="6"/>
        <v>50650392.854943417</v>
      </c>
      <c r="G22" s="897">
        <v>47446503.530000001</v>
      </c>
      <c r="H22" s="465">
        <f t="shared" si="7"/>
        <v>311750466.44</v>
      </c>
      <c r="I22" s="466">
        <f t="shared" si="13"/>
        <v>443110.11360539915</v>
      </c>
      <c r="J22" s="467">
        <f t="shared" si="8"/>
        <v>50650392.854943417</v>
      </c>
      <c r="K22" s="627">
        <f t="shared" si="14"/>
        <v>-317223.17000000179</v>
      </c>
      <c r="L22" s="521">
        <v>3.7499999999999999E-2</v>
      </c>
      <c r="M22" s="521">
        <v>7.4999999999999997E-2</v>
      </c>
      <c r="N22" s="253">
        <f t="shared" si="0"/>
        <v>-11895.868875000067</v>
      </c>
      <c r="O22" s="253">
        <f t="shared" si="1"/>
        <v>-23791.737750000135</v>
      </c>
      <c r="P22" s="256">
        <f t="shared" si="2"/>
        <v>445942.95853321062</v>
      </c>
      <c r="Q22" s="628"/>
      <c r="R22" s="637">
        <f t="shared" si="9"/>
        <v>597691.33569301933</v>
      </c>
      <c r="S22" s="638">
        <f t="shared" si="10"/>
        <v>443110.11360539915</v>
      </c>
      <c r="T22" s="638">
        <f t="shared" si="11"/>
        <v>-154581.22208762018</v>
      </c>
      <c r="U22" s="639">
        <f>+'Proj Att-H'!$D$133</f>
        <v>0.24475999999999998</v>
      </c>
      <c r="V22" s="640">
        <f t="shared" si="12"/>
        <v>-37835.299918165911</v>
      </c>
      <c r="W22" s="641"/>
      <c r="X22" s="629"/>
      <c r="Y22" s="629"/>
      <c r="Z22" s="629"/>
      <c r="AA22" s="628"/>
    </row>
    <row r="23" spans="1:27">
      <c r="A23" s="531">
        <f t="shared" si="3"/>
        <v>9</v>
      </c>
      <c r="B23" s="715">
        <v>45078</v>
      </c>
      <c r="C23" s="464"/>
      <c r="D23" s="382">
        <f t="shared" si="4"/>
        <v>311419575.26999998</v>
      </c>
      <c r="E23" s="382">
        <f t="shared" si="5"/>
        <v>442659.6831392633</v>
      </c>
      <c r="F23" s="382">
        <f t="shared" si="6"/>
        <v>51093052.538082682</v>
      </c>
      <c r="G23" s="897">
        <v>47115612.359999999</v>
      </c>
      <c r="H23" s="465">
        <f t="shared" si="7"/>
        <v>311419575.26999998</v>
      </c>
      <c r="I23" s="466">
        <f t="shared" si="13"/>
        <v>442659.6831392633</v>
      </c>
      <c r="J23" s="467">
        <f t="shared" si="8"/>
        <v>51093052.538082682</v>
      </c>
      <c r="K23" s="627">
        <f t="shared" si="14"/>
        <v>-330891.17000000179</v>
      </c>
      <c r="L23" s="521">
        <v>3.7499999999999999E-2</v>
      </c>
      <c r="M23" s="521">
        <v>7.4999999999999997E-2</v>
      </c>
      <c r="N23" s="253">
        <f t="shared" si="0"/>
        <v>-12408.418875000067</v>
      </c>
      <c r="O23" s="253">
        <f t="shared" si="1"/>
        <v>-24816.837750000133</v>
      </c>
      <c r="P23" s="256">
        <f t="shared" si="2"/>
        <v>445942.95853321062</v>
      </c>
      <c r="Q23" s="628"/>
      <c r="R23" s="637">
        <f t="shared" si="9"/>
        <v>597691.33569301933</v>
      </c>
      <c r="S23" s="638">
        <f t="shared" si="10"/>
        <v>442659.6831392633</v>
      </c>
      <c r="T23" s="638">
        <f t="shared" si="11"/>
        <v>-155031.65255375602</v>
      </c>
      <c r="U23" s="639">
        <f>+'Proj Att-H'!$D$133</f>
        <v>0.24475999999999998</v>
      </c>
      <c r="V23" s="640">
        <f t="shared" si="12"/>
        <v>-37945.547279057319</v>
      </c>
      <c r="W23" s="641"/>
      <c r="X23" s="629"/>
      <c r="Y23" s="629"/>
      <c r="Z23" s="629"/>
      <c r="AA23" s="628"/>
    </row>
    <row r="24" spans="1:27">
      <c r="A24" s="531">
        <f t="shared" si="3"/>
        <v>10</v>
      </c>
      <c r="B24" s="715">
        <v>45108</v>
      </c>
      <c r="C24" s="464"/>
      <c r="D24" s="382">
        <f t="shared" si="4"/>
        <v>310395019.90999997</v>
      </c>
      <c r="E24" s="382">
        <f t="shared" si="5"/>
        <v>442189.84525212744</v>
      </c>
      <c r="F24" s="382">
        <f t="shared" si="6"/>
        <v>51535242.383334808</v>
      </c>
      <c r="G24" s="897">
        <v>46091057</v>
      </c>
      <c r="H24" s="465">
        <f t="shared" si="7"/>
        <v>310395019.90999997</v>
      </c>
      <c r="I24" s="466">
        <f t="shared" si="13"/>
        <v>442189.84525212744</v>
      </c>
      <c r="J24" s="467">
        <f t="shared" si="8"/>
        <v>51535242.383334808</v>
      </c>
      <c r="K24" s="627">
        <f t="shared" si="14"/>
        <v>-1024555.3599999994</v>
      </c>
      <c r="L24" s="521">
        <v>3.7499999999999999E-2</v>
      </c>
      <c r="M24" s="521">
        <v>7.4999999999999997E-2</v>
      </c>
      <c r="N24" s="253">
        <f t="shared" si="0"/>
        <v>-38420.825999999979</v>
      </c>
      <c r="O24" s="253">
        <f t="shared" si="1"/>
        <v>-76841.651999999958</v>
      </c>
      <c r="P24" s="256">
        <f t="shared" si="2"/>
        <v>445942.95853321062</v>
      </c>
      <c r="Q24" s="628"/>
      <c r="R24" s="637">
        <f t="shared" si="9"/>
        <v>597691.33569301933</v>
      </c>
      <c r="S24" s="638">
        <f t="shared" si="10"/>
        <v>442189.84525212744</v>
      </c>
      <c r="T24" s="638">
        <f t="shared" si="11"/>
        <v>-155501.49044089188</v>
      </c>
      <c r="U24" s="639">
        <f>+'Proj Att-H'!$D$133</f>
        <v>0.24475999999999998</v>
      </c>
      <c r="V24" s="640">
        <f t="shared" si="12"/>
        <v>-38060.544800312695</v>
      </c>
      <c r="W24" s="641"/>
      <c r="X24" s="629"/>
      <c r="Y24" s="629"/>
      <c r="Z24" s="629"/>
      <c r="AA24" s="628"/>
    </row>
    <row r="25" spans="1:27">
      <c r="A25" s="531">
        <f t="shared" si="3"/>
        <v>11</v>
      </c>
      <c r="B25" s="715">
        <v>45139</v>
      </c>
      <c r="C25" s="464"/>
      <c r="D25" s="382">
        <f t="shared" si="4"/>
        <v>313546496.54832429</v>
      </c>
      <c r="E25" s="382">
        <f t="shared" si="5"/>
        <v>440735.06202054076</v>
      </c>
      <c r="F25" s="382">
        <f t="shared" si="6"/>
        <v>51975977.445355348</v>
      </c>
      <c r="G25" s="897">
        <v>49242533.638324291</v>
      </c>
      <c r="H25" s="465">
        <f t="shared" si="7"/>
        <v>313546496.54832429</v>
      </c>
      <c r="I25" s="466">
        <f t="shared" si="13"/>
        <v>440735.06202054076</v>
      </c>
      <c r="J25" s="467">
        <f t="shared" si="8"/>
        <v>51975977.445355348</v>
      </c>
      <c r="K25" s="627">
        <f t="shared" si="14"/>
        <v>3151476.6383242905</v>
      </c>
      <c r="L25" s="521">
        <v>3.7499999999999999E-2</v>
      </c>
      <c r="M25" s="521">
        <v>7.4999999999999997E-2</v>
      </c>
      <c r="N25" s="253">
        <f t="shared" si="0"/>
        <v>118180.37393716088</v>
      </c>
      <c r="O25" s="253">
        <f t="shared" si="1"/>
        <v>236360.74787432177</v>
      </c>
      <c r="P25" s="256">
        <f t="shared" si="2"/>
        <v>445942.95853321062</v>
      </c>
      <c r="Q25" s="628"/>
      <c r="R25" s="637">
        <f t="shared" si="9"/>
        <v>597691.33569301933</v>
      </c>
      <c r="S25" s="638">
        <f t="shared" si="10"/>
        <v>440735.06202054076</v>
      </c>
      <c r="T25" s="638">
        <f t="shared" si="11"/>
        <v>-156956.27367247856</v>
      </c>
      <c r="U25" s="639">
        <f>+'Proj Att-H'!$D$133</f>
        <v>0.24475999999999998</v>
      </c>
      <c r="V25" s="640">
        <f t="shared" si="12"/>
        <v>-38416.617544075852</v>
      </c>
      <c r="W25" s="641"/>
      <c r="X25" s="629"/>
      <c r="Y25" s="629"/>
      <c r="Z25" s="629"/>
      <c r="AA25" s="628"/>
    </row>
    <row r="26" spans="1:27">
      <c r="A26" s="531">
        <f t="shared" si="3"/>
        <v>12</v>
      </c>
      <c r="B26" s="715">
        <v>45170</v>
      </c>
      <c r="C26" s="464"/>
      <c r="D26" s="382">
        <f t="shared" si="4"/>
        <v>314166236.47441649</v>
      </c>
      <c r="E26" s="382">
        <f t="shared" si="5"/>
        <v>445209.89622390812</v>
      </c>
      <c r="F26" s="382">
        <f t="shared" si="6"/>
        <v>52421187.341579258</v>
      </c>
      <c r="G26" s="897">
        <v>49862273.564416513</v>
      </c>
      <c r="H26" s="465">
        <f t="shared" si="7"/>
        <v>314166236.47441649</v>
      </c>
      <c r="I26" s="466">
        <f t="shared" si="13"/>
        <v>445209.89622390812</v>
      </c>
      <c r="J26" s="467">
        <f t="shared" si="8"/>
        <v>52421187.341579258</v>
      </c>
      <c r="K26" s="627">
        <f t="shared" si="14"/>
        <v>619739.92609222233</v>
      </c>
      <c r="L26" s="521">
        <v>3.7499999999999999E-2</v>
      </c>
      <c r="M26" s="521">
        <v>7.4999999999999997E-2</v>
      </c>
      <c r="N26" s="253">
        <f t="shared" si="0"/>
        <v>23240.247228458338</v>
      </c>
      <c r="O26" s="253">
        <f t="shared" si="1"/>
        <v>46480.494456916676</v>
      </c>
      <c r="P26" s="256">
        <f t="shared" si="2"/>
        <v>445942.95853321062</v>
      </c>
      <c r="Q26" s="628"/>
      <c r="R26" s="637">
        <f t="shared" si="9"/>
        <v>597691.33569301933</v>
      </c>
      <c r="S26" s="638">
        <f t="shared" si="10"/>
        <v>445209.89622390812</v>
      </c>
      <c r="T26" s="638">
        <f t="shared" si="11"/>
        <v>-152481.43946911121</v>
      </c>
      <c r="U26" s="639">
        <f>+'Proj Att-H'!$D$133</f>
        <v>0.24475999999999998</v>
      </c>
      <c r="V26" s="640">
        <f t="shared" si="12"/>
        <v>-37321.357124459653</v>
      </c>
      <c r="W26" s="641"/>
      <c r="X26" s="629"/>
      <c r="Y26" s="629"/>
      <c r="Z26" s="629"/>
      <c r="AA26" s="628"/>
    </row>
    <row r="27" spans="1:27">
      <c r="A27" s="531">
        <f t="shared" si="3"/>
        <v>13</v>
      </c>
      <c r="B27" s="715">
        <v>45200</v>
      </c>
      <c r="C27" s="464"/>
      <c r="D27" s="382">
        <f t="shared" si="4"/>
        <v>314456767.59512126</v>
      </c>
      <c r="E27" s="382">
        <f t="shared" si="5"/>
        <v>446089.87527396518</v>
      </c>
      <c r="F27" s="382">
        <f t="shared" si="6"/>
        <v>52867277.216853224</v>
      </c>
      <c r="G27" s="897">
        <v>50152804.685121275</v>
      </c>
      <c r="H27" s="465">
        <f t="shared" si="7"/>
        <v>314456767.59512126</v>
      </c>
      <c r="I27" s="466">
        <f t="shared" si="13"/>
        <v>446089.87527396518</v>
      </c>
      <c r="J27" s="467">
        <f t="shared" si="8"/>
        <v>52867277.216853224</v>
      </c>
      <c r="K27" s="627">
        <f t="shared" si="14"/>
        <v>290531.12070476264</v>
      </c>
      <c r="L27" s="521">
        <v>3.7499999999999999E-2</v>
      </c>
      <c r="M27" s="521">
        <v>7.4999999999999997E-2</v>
      </c>
      <c r="N27" s="253">
        <f t="shared" si="0"/>
        <v>10894.917026428599</v>
      </c>
      <c r="O27" s="253">
        <f t="shared" si="1"/>
        <v>21789.834052857197</v>
      </c>
      <c r="P27" s="256">
        <f t="shared" si="2"/>
        <v>445942.95853321062</v>
      </c>
      <c r="Q27" s="628"/>
      <c r="R27" s="637">
        <f t="shared" si="9"/>
        <v>597691.33569301933</v>
      </c>
      <c r="S27" s="638">
        <f t="shared" si="10"/>
        <v>446089.87527396518</v>
      </c>
      <c r="T27" s="638">
        <f t="shared" si="11"/>
        <v>-151601.46041905414</v>
      </c>
      <c r="U27" s="639">
        <f>+'Proj Att-H'!$D$133</f>
        <v>0.24475999999999998</v>
      </c>
      <c r="V27" s="640">
        <f t="shared" si="12"/>
        <v>-37105.973452167687</v>
      </c>
      <c r="W27" s="641"/>
      <c r="X27" s="629"/>
      <c r="Y27" s="629"/>
      <c r="Z27" s="629"/>
      <c r="AA27" s="628"/>
    </row>
    <row r="28" spans="1:27">
      <c r="A28" s="531">
        <f t="shared" si="3"/>
        <v>14</v>
      </c>
      <c r="B28" s="715">
        <v>45231</v>
      </c>
      <c r="C28" s="464"/>
      <c r="D28" s="382">
        <f t="shared" si="4"/>
        <v>314848891.59997809</v>
      </c>
      <c r="E28" s="382">
        <f t="shared" si="5"/>
        <v>446502.40525443922</v>
      </c>
      <c r="F28" s="382">
        <f t="shared" si="6"/>
        <v>53313779.622107662</v>
      </c>
      <c r="G28" s="897">
        <v>50544928.689978115</v>
      </c>
      <c r="H28" s="465">
        <f t="shared" si="7"/>
        <v>314848891.59997809</v>
      </c>
      <c r="I28" s="466">
        <f t="shared" si="13"/>
        <v>446502.40525443922</v>
      </c>
      <c r="J28" s="467">
        <f t="shared" si="8"/>
        <v>53313779.622107662</v>
      </c>
      <c r="K28" s="627">
        <f t="shared" si="14"/>
        <v>392124.00485683978</v>
      </c>
      <c r="L28" s="521">
        <v>3.7499999999999999E-2</v>
      </c>
      <c r="M28" s="521">
        <v>7.4999999999999997E-2</v>
      </c>
      <c r="N28" s="253">
        <f t="shared" si="0"/>
        <v>14704.650182131491</v>
      </c>
      <c r="O28" s="253">
        <f t="shared" si="1"/>
        <v>29409.300364262981</v>
      </c>
      <c r="P28" s="256">
        <f t="shared" si="2"/>
        <v>445942.95853321062</v>
      </c>
      <c r="Q28" s="628"/>
      <c r="R28" s="637">
        <f t="shared" si="9"/>
        <v>597691.33569301933</v>
      </c>
      <c r="S28" s="638">
        <f t="shared" si="10"/>
        <v>446502.40525443922</v>
      </c>
      <c r="T28" s="638">
        <f t="shared" si="11"/>
        <v>-151188.93043858011</v>
      </c>
      <c r="U28" s="639">
        <f>+'Proj Att-H'!$D$133</f>
        <v>0.24475999999999998</v>
      </c>
      <c r="V28" s="640">
        <f t="shared" si="12"/>
        <v>-37005.002614146862</v>
      </c>
      <c r="W28" s="641"/>
      <c r="X28" s="629"/>
      <c r="Y28" s="629"/>
      <c r="Z28" s="629"/>
      <c r="AA28" s="628"/>
    </row>
    <row r="29" spans="1:27">
      <c r="A29" s="531">
        <f t="shared" si="3"/>
        <v>15</v>
      </c>
      <c r="B29" s="715">
        <v>45261</v>
      </c>
      <c r="C29" s="464"/>
      <c r="D29" s="382">
        <f t="shared" si="4"/>
        <v>312863443.60113883</v>
      </c>
      <c r="E29" s="382">
        <f t="shared" si="5"/>
        <v>447059.18866433552</v>
      </c>
      <c r="F29" s="382">
        <f t="shared" si="6"/>
        <v>53760838.810771994</v>
      </c>
      <c r="G29" s="897">
        <v>48559480.691138804</v>
      </c>
      <c r="H29" s="465">
        <f t="shared" si="7"/>
        <v>312863443.60113883</v>
      </c>
      <c r="I29" s="466">
        <f>I$12*H28</f>
        <v>447059.18866433552</v>
      </c>
      <c r="J29" s="467">
        <f t="shared" si="8"/>
        <v>53760838.810771994</v>
      </c>
      <c r="K29" s="627">
        <f t="shared" si="14"/>
        <v>-1985447.9988393113</v>
      </c>
      <c r="L29" s="521">
        <v>3.7499999999999999E-2</v>
      </c>
      <c r="M29" s="521">
        <v>7.4999999999999997E-2</v>
      </c>
      <c r="N29" s="253">
        <f t="shared" si="0"/>
        <v>-74454.299956474177</v>
      </c>
      <c r="O29" s="253">
        <f t="shared" si="1"/>
        <v>-148908.59991294835</v>
      </c>
      <c r="P29" s="256">
        <f t="shared" si="2"/>
        <v>445942.95853321062</v>
      </c>
      <c r="Q29" s="628"/>
      <c r="R29" s="637">
        <f t="shared" si="9"/>
        <v>597691.33569301933</v>
      </c>
      <c r="S29" s="638">
        <f t="shared" si="10"/>
        <v>447059.18866433552</v>
      </c>
      <c r="T29" s="638">
        <f t="shared" si="11"/>
        <v>-150632.1470286838</v>
      </c>
      <c r="U29" s="639">
        <f>+'Proj Att-H'!$D$133</f>
        <v>0.24475999999999998</v>
      </c>
      <c r="V29" s="640">
        <f t="shared" si="12"/>
        <v>-36868.724306740645</v>
      </c>
      <c r="W29" s="641"/>
      <c r="X29" s="629"/>
      <c r="Y29" s="629"/>
      <c r="Z29" s="629"/>
      <c r="AA29" s="628"/>
    </row>
    <row r="30" spans="1:27">
      <c r="A30" s="531">
        <f>+A29+1</f>
        <v>16</v>
      </c>
      <c r="B30" s="715">
        <v>45292</v>
      </c>
      <c r="C30" s="464"/>
      <c r="D30" s="382">
        <f t="shared" si="4"/>
        <v>313142668.73563683</v>
      </c>
      <c r="E30" s="382">
        <f t="shared" si="5"/>
        <v>444240.01795998367</v>
      </c>
      <c r="F30" s="382">
        <f t="shared" si="6"/>
        <v>54205078.828731976</v>
      </c>
      <c r="G30" s="897">
        <v>48838705.825636856</v>
      </c>
      <c r="H30" s="465">
        <f t="shared" si="7"/>
        <v>313142668.73563683</v>
      </c>
      <c r="I30" s="466">
        <f t="shared" si="13"/>
        <v>444240.01795998367</v>
      </c>
      <c r="J30" s="467">
        <f t="shared" si="8"/>
        <v>54205078.828731976</v>
      </c>
      <c r="K30" s="627">
        <f t="shared" si="14"/>
        <v>279225.1344980523</v>
      </c>
      <c r="L30" s="521">
        <v>3.7499999999999999E-2</v>
      </c>
      <c r="M30" s="521">
        <v>7.4999999999999997E-2</v>
      </c>
      <c r="N30" s="629"/>
      <c r="O30" s="253">
        <f t="shared" ref="O30:O41" si="15">K30*L30</f>
        <v>10470.942543676962</v>
      </c>
      <c r="P30" s="629"/>
      <c r="Q30" s="626">
        <f>(Q$14)/12</f>
        <v>473127.58746411209</v>
      </c>
      <c r="R30" s="641"/>
      <c r="S30" s="629"/>
      <c r="T30" s="629"/>
      <c r="U30" s="629"/>
      <c r="V30" s="628"/>
      <c r="W30" s="645">
        <f>(O$42/12)+Q30</f>
        <v>806728.38105842704</v>
      </c>
      <c r="X30" s="638">
        <f>E30</f>
        <v>444240.01795998367</v>
      </c>
      <c r="Y30" s="638">
        <f>X30-W30</f>
        <v>-362488.36309844337</v>
      </c>
      <c r="Z30" s="639">
        <f>+'Proj Att-H'!$D$133</f>
        <v>0.24475999999999998</v>
      </c>
      <c r="AA30" s="640">
        <f>Z30*Y30</f>
        <v>-88722.65175197499</v>
      </c>
    </row>
    <row r="31" spans="1:27">
      <c r="A31" s="531">
        <f t="shared" si="3"/>
        <v>17</v>
      </c>
      <c r="B31" s="715">
        <v>45323</v>
      </c>
      <c r="C31" s="464"/>
      <c r="D31" s="382">
        <f t="shared" si="4"/>
        <v>313374920.1027295</v>
      </c>
      <c r="E31" s="382">
        <f t="shared" si="5"/>
        <v>444636.49438220961</v>
      </c>
      <c r="F31" s="382">
        <f t="shared" si="6"/>
        <v>54649715.323114187</v>
      </c>
      <c r="G31" s="897">
        <v>49070957.192729525</v>
      </c>
      <c r="H31" s="465">
        <f t="shared" si="7"/>
        <v>313374920.1027295</v>
      </c>
      <c r="I31" s="466">
        <f t="shared" si="13"/>
        <v>444636.49438220961</v>
      </c>
      <c r="J31" s="467">
        <f t="shared" si="8"/>
        <v>54649715.323114187</v>
      </c>
      <c r="K31" s="627">
        <f t="shared" si="14"/>
        <v>232251.36709266901</v>
      </c>
      <c r="L31" s="521">
        <v>3.7499999999999999E-2</v>
      </c>
      <c r="M31" s="521">
        <v>7.4999999999999997E-2</v>
      </c>
      <c r="N31" s="629"/>
      <c r="O31" s="253">
        <f t="shared" si="15"/>
        <v>8709.4262659750875</v>
      </c>
      <c r="P31" s="629"/>
      <c r="Q31" s="626">
        <f t="shared" ref="Q31:Q41" si="16">(Q$14)/12</f>
        <v>473127.58746411209</v>
      </c>
      <c r="R31" s="641"/>
      <c r="S31" s="629"/>
      <c r="T31" s="629"/>
      <c r="U31" s="629"/>
      <c r="V31" s="628"/>
      <c r="W31" s="645">
        <f t="shared" ref="W31:W41" si="17">(O$42/12)+Q31</f>
        <v>806728.38105842704</v>
      </c>
      <c r="X31" s="638">
        <f t="shared" ref="X31:X41" si="18">E31</f>
        <v>444636.49438220961</v>
      </c>
      <c r="Y31" s="638">
        <f t="shared" ref="Y31:Y41" si="19">X31-W31</f>
        <v>-362091.88667621743</v>
      </c>
      <c r="Z31" s="639">
        <f>+'Proj Att-H'!$D$133</f>
        <v>0.24475999999999998</v>
      </c>
      <c r="AA31" s="640">
        <f t="shared" ref="AA31:AA41" si="20">Z31*Y31</f>
        <v>-88625.610182870965</v>
      </c>
    </row>
    <row r="32" spans="1:27">
      <c r="A32" s="531">
        <f t="shared" si="3"/>
        <v>18</v>
      </c>
      <c r="B32" s="715">
        <v>45352</v>
      </c>
      <c r="C32" s="464"/>
      <c r="D32" s="382">
        <f t="shared" si="4"/>
        <v>313590505.86616051</v>
      </c>
      <c r="E32" s="382">
        <f t="shared" si="5"/>
        <v>444966.27196920064</v>
      </c>
      <c r="F32" s="382">
        <f t="shared" si="6"/>
        <v>55094681.595083386</v>
      </c>
      <c r="G32" s="897">
        <v>49286542.956160501</v>
      </c>
      <c r="H32" s="465">
        <f t="shared" si="7"/>
        <v>313590505.86616051</v>
      </c>
      <c r="I32" s="466">
        <f t="shared" si="13"/>
        <v>444966.27196920064</v>
      </c>
      <c r="J32" s="467">
        <f t="shared" si="8"/>
        <v>55094681.595083386</v>
      </c>
      <c r="K32" s="627">
        <f t="shared" si="14"/>
        <v>215585.76343097538</v>
      </c>
      <c r="L32" s="521">
        <v>3.7499999999999999E-2</v>
      </c>
      <c r="M32" s="521">
        <v>7.4999999999999997E-2</v>
      </c>
      <c r="N32" s="629"/>
      <c r="O32" s="253">
        <f t="shared" si="15"/>
        <v>8084.4661286615765</v>
      </c>
      <c r="P32" s="629"/>
      <c r="Q32" s="626">
        <f t="shared" si="16"/>
        <v>473127.58746411209</v>
      </c>
      <c r="R32" s="641"/>
      <c r="S32" s="629"/>
      <c r="T32" s="629"/>
      <c r="U32" s="629"/>
      <c r="V32" s="628"/>
      <c r="W32" s="645">
        <f t="shared" si="17"/>
        <v>806728.38105842704</v>
      </c>
      <c r="X32" s="638">
        <f t="shared" si="18"/>
        <v>444966.27196920064</v>
      </c>
      <c r="Y32" s="638">
        <f t="shared" si="19"/>
        <v>-361762.1090892264</v>
      </c>
      <c r="Z32" s="639">
        <f>+'Proj Att-H'!$D$133</f>
        <v>0.24475999999999998</v>
      </c>
      <c r="AA32" s="640">
        <f t="shared" si="20"/>
        <v>-88544.893820679048</v>
      </c>
    </row>
    <row r="33" spans="1:27">
      <c r="A33" s="531">
        <f t="shared" si="3"/>
        <v>19</v>
      </c>
      <c r="B33" s="715">
        <v>45383</v>
      </c>
      <c r="C33" s="464"/>
      <c r="D33" s="382">
        <f t="shared" si="4"/>
        <v>313830280.17182755</v>
      </c>
      <c r="E33" s="382">
        <f t="shared" si="5"/>
        <v>445272.38578779239</v>
      </c>
      <c r="F33" s="382">
        <f t="shared" si="6"/>
        <v>55539953.980871178</v>
      </c>
      <c r="G33" s="897">
        <v>49526317.261827566</v>
      </c>
      <c r="H33" s="465">
        <f t="shared" si="7"/>
        <v>313830280.17182755</v>
      </c>
      <c r="I33" s="466">
        <f t="shared" si="13"/>
        <v>445272.38578779239</v>
      </c>
      <c r="J33" s="467">
        <f t="shared" si="8"/>
        <v>55539953.980871178</v>
      </c>
      <c r="K33" s="627">
        <f t="shared" si="14"/>
        <v>239774.30566706508</v>
      </c>
      <c r="L33" s="521">
        <v>3.7499999999999999E-2</v>
      </c>
      <c r="M33" s="521">
        <v>7.4999999999999997E-2</v>
      </c>
      <c r="N33" s="629"/>
      <c r="O33" s="253">
        <f t="shared" si="15"/>
        <v>8991.5364625149396</v>
      </c>
      <c r="P33" s="629"/>
      <c r="Q33" s="626">
        <f t="shared" si="16"/>
        <v>473127.58746411209</v>
      </c>
      <c r="R33" s="641"/>
      <c r="S33" s="629"/>
      <c r="T33" s="629"/>
      <c r="U33" s="629"/>
      <c r="V33" s="628"/>
      <c r="W33" s="645">
        <f t="shared" si="17"/>
        <v>806728.38105842704</v>
      </c>
      <c r="X33" s="638">
        <f t="shared" si="18"/>
        <v>445272.38578779239</v>
      </c>
      <c r="Y33" s="638">
        <f t="shared" si="19"/>
        <v>-361455.99527063465</v>
      </c>
      <c r="Z33" s="639">
        <f>+'Proj Att-H'!$D$133</f>
        <v>0.24475999999999998</v>
      </c>
      <c r="AA33" s="640">
        <f t="shared" si="20"/>
        <v>-88469.969402440533</v>
      </c>
    </row>
    <row r="34" spans="1:27">
      <c r="A34" s="531">
        <f t="shared" si="3"/>
        <v>20</v>
      </c>
      <c r="B34" s="715">
        <v>45413</v>
      </c>
      <c r="C34" s="464"/>
      <c r="D34" s="382">
        <f t="shared" si="4"/>
        <v>314547142.02084059</v>
      </c>
      <c r="E34" s="382">
        <f t="shared" si="5"/>
        <v>445612.84532064747</v>
      </c>
      <c r="F34" s="382">
        <f t="shared" si="6"/>
        <v>55985566.826191828</v>
      </c>
      <c r="G34" s="897">
        <v>50243179.110840589</v>
      </c>
      <c r="H34" s="465">
        <f t="shared" si="7"/>
        <v>314547142.02084059</v>
      </c>
      <c r="I34" s="466">
        <f t="shared" si="13"/>
        <v>445612.84532064747</v>
      </c>
      <c r="J34" s="467">
        <f t="shared" si="8"/>
        <v>55985566.826191828</v>
      </c>
      <c r="K34" s="627">
        <f t="shared" si="14"/>
        <v>716861.84901302308</v>
      </c>
      <c r="L34" s="521">
        <v>3.7499999999999999E-2</v>
      </c>
      <c r="M34" s="521">
        <v>7.4999999999999997E-2</v>
      </c>
      <c r="N34" s="629"/>
      <c r="O34" s="253">
        <f t="shared" si="15"/>
        <v>26882.319337988363</v>
      </c>
      <c r="P34" s="629"/>
      <c r="Q34" s="626">
        <f t="shared" si="16"/>
        <v>473127.58746411209</v>
      </c>
      <c r="R34" s="641"/>
      <c r="S34" s="629"/>
      <c r="T34" s="629"/>
      <c r="U34" s="629"/>
      <c r="V34" s="628"/>
      <c r="W34" s="645">
        <f t="shared" si="17"/>
        <v>806728.38105842704</v>
      </c>
      <c r="X34" s="638">
        <f t="shared" si="18"/>
        <v>445612.84532064747</v>
      </c>
      <c r="Y34" s="638">
        <f t="shared" si="19"/>
        <v>-361115.53573777957</v>
      </c>
      <c r="Z34" s="639">
        <f>+'Proj Att-H'!$D$133</f>
        <v>0.24475999999999998</v>
      </c>
      <c r="AA34" s="640">
        <f t="shared" si="20"/>
        <v>-88386.638527178919</v>
      </c>
    </row>
    <row r="35" spans="1:27">
      <c r="A35" s="531">
        <f t="shared" si="3"/>
        <v>21</v>
      </c>
      <c r="B35" s="715">
        <v>45444</v>
      </c>
      <c r="C35" s="464"/>
      <c r="D35" s="382">
        <f t="shared" si="4"/>
        <v>314790727.92781079</v>
      </c>
      <c r="E35" s="382">
        <f t="shared" si="5"/>
        <v>446630.72940775851</v>
      </c>
      <c r="F35" s="382">
        <f t="shared" si="6"/>
        <v>56432197.555599585</v>
      </c>
      <c r="G35" s="897">
        <v>50486765.017810769</v>
      </c>
      <c r="H35" s="465">
        <f t="shared" si="7"/>
        <v>314790727.92781079</v>
      </c>
      <c r="I35" s="466">
        <f t="shared" si="13"/>
        <v>446630.72940775851</v>
      </c>
      <c r="J35" s="467">
        <f t="shared" si="8"/>
        <v>56432197.555599585</v>
      </c>
      <c r="K35" s="627">
        <f t="shared" si="14"/>
        <v>243585.90697018057</v>
      </c>
      <c r="L35" s="521">
        <v>3.7499999999999999E-2</v>
      </c>
      <c r="M35" s="521">
        <v>7.4999999999999997E-2</v>
      </c>
      <c r="N35" s="629"/>
      <c r="O35" s="253">
        <f t="shared" si="15"/>
        <v>9134.4715113817711</v>
      </c>
      <c r="P35" s="629"/>
      <c r="Q35" s="626">
        <f t="shared" si="16"/>
        <v>473127.58746411209</v>
      </c>
      <c r="R35" s="641"/>
      <c r="S35" s="629"/>
      <c r="T35" s="629"/>
      <c r="U35" s="629"/>
      <c r="V35" s="628"/>
      <c r="W35" s="645">
        <f t="shared" si="17"/>
        <v>806728.38105842704</v>
      </c>
      <c r="X35" s="638">
        <f t="shared" si="18"/>
        <v>446630.72940775851</v>
      </c>
      <c r="Y35" s="638">
        <f t="shared" si="19"/>
        <v>-360097.65165066853</v>
      </c>
      <c r="Z35" s="639">
        <f>+'Proj Att-H'!$D$133</f>
        <v>0.24475999999999998</v>
      </c>
      <c r="AA35" s="640">
        <f t="shared" si="20"/>
        <v>-88137.501218017627</v>
      </c>
    </row>
    <row r="36" spans="1:27">
      <c r="A36" s="531">
        <f t="shared" si="3"/>
        <v>22</v>
      </c>
      <c r="B36" s="715">
        <v>45474</v>
      </c>
      <c r="C36" s="464"/>
      <c r="D36" s="382">
        <f t="shared" si="4"/>
        <v>315035314.18814319</v>
      </c>
      <c r="E36" s="382">
        <f t="shared" si="5"/>
        <v>446976.60109683062</v>
      </c>
      <c r="F36" s="382">
        <f t="shared" si="6"/>
        <v>56879174.156696416</v>
      </c>
      <c r="G36" s="897">
        <v>50731351.278143175</v>
      </c>
      <c r="H36" s="465">
        <f t="shared" si="7"/>
        <v>315035314.18814319</v>
      </c>
      <c r="I36" s="466">
        <f t="shared" si="13"/>
        <v>446976.60109683062</v>
      </c>
      <c r="J36" s="467">
        <f t="shared" si="8"/>
        <v>56879174.156696416</v>
      </c>
      <c r="K36" s="627">
        <f t="shared" si="14"/>
        <v>244586.26033240557</v>
      </c>
      <c r="L36" s="521">
        <v>3.7499999999999999E-2</v>
      </c>
      <c r="M36" s="521">
        <v>7.4999999999999997E-2</v>
      </c>
      <c r="N36" s="629"/>
      <c r="O36" s="253">
        <f t="shared" si="15"/>
        <v>9171.9847624652084</v>
      </c>
      <c r="P36" s="629"/>
      <c r="Q36" s="626">
        <f t="shared" si="16"/>
        <v>473127.58746411209</v>
      </c>
      <c r="R36" s="641"/>
      <c r="S36" s="629"/>
      <c r="T36" s="629"/>
      <c r="U36" s="629"/>
      <c r="V36" s="628"/>
      <c r="W36" s="645">
        <f t="shared" si="17"/>
        <v>806728.38105842704</v>
      </c>
      <c r="X36" s="638">
        <f t="shared" si="18"/>
        <v>446976.60109683062</v>
      </c>
      <c r="Y36" s="638">
        <f t="shared" si="19"/>
        <v>-359751.77996159642</v>
      </c>
      <c r="Z36" s="639">
        <f>+'Proj Att-H'!$D$133</f>
        <v>0.24475999999999998</v>
      </c>
      <c r="AA36" s="640">
        <f t="shared" si="20"/>
        <v>-88052.845663400338</v>
      </c>
    </row>
    <row r="37" spans="1:27">
      <c r="A37" s="531">
        <f t="shared" si="3"/>
        <v>23</v>
      </c>
      <c r="B37" s="715">
        <v>45505</v>
      </c>
      <c r="C37" s="464"/>
      <c r="D37" s="382">
        <f t="shared" si="4"/>
        <v>315277338.7964291</v>
      </c>
      <c r="E37" s="382">
        <f t="shared" si="5"/>
        <v>447323.89320431428</v>
      </c>
      <c r="F37" s="382">
        <f t="shared" si="6"/>
        <v>57326498.049900733</v>
      </c>
      <c r="G37" s="897">
        <v>50973375.886429079</v>
      </c>
      <c r="H37" s="465">
        <f t="shared" si="7"/>
        <v>315277338.7964291</v>
      </c>
      <c r="I37" s="466">
        <f t="shared" si="13"/>
        <v>447323.89320431428</v>
      </c>
      <c r="J37" s="467">
        <f t="shared" si="8"/>
        <v>57326498.049900733</v>
      </c>
      <c r="K37" s="627">
        <f t="shared" si="14"/>
        <v>242024.60828590393</v>
      </c>
      <c r="L37" s="521">
        <v>3.7499999999999999E-2</v>
      </c>
      <c r="M37" s="521">
        <v>7.4999999999999997E-2</v>
      </c>
      <c r="N37" s="629"/>
      <c r="O37" s="253">
        <f t="shared" si="15"/>
        <v>9075.9228107213967</v>
      </c>
      <c r="P37" s="629"/>
      <c r="Q37" s="626">
        <f t="shared" si="16"/>
        <v>473127.58746411209</v>
      </c>
      <c r="R37" s="641"/>
      <c r="S37" s="629"/>
      <c r="T37" s="629"/>
      <c r="U37" s="629"/>
      <c r="V37" s="628"/>
      <c r="W37" s="645">
        <f t="shared" si="17"/>
        <v>806728.38105842704</v>
      </c>
      <c r="X37" s="638">
        <f t="shared" si="18"/>
        <v>447323.89320431428</v>
      </c>
      <c r="Y37" s="638">
        <f t="shared" si="19"/>
        <v>-359404.48785411275</v>
      </c>
      <c r="Z37" s="639">
        <f>+'Proj Att-H'!$D$133</f>
        <v>0.24475999999999998</v>
      </c>
      <c r="AA37" s="640">
        <f t="shared" si="20"/>
        <v>-87967.842447172632</v>
      </c>
    </row>
    <row r="38" spans="1:27">
      <c r="A38" s="531">
        <f t="shared" si="3"/>
        <v>24</v>
      </c>
      <c r="B38" s="715">
        <v>45536</v>
      </c>
      <c r="C38" s="464"/>
      <c r="D38" s="382">
        <f t="shared" si="4"/>
        <v>315621418.91142857</v>
      </c>
      <c r="E38" s="382">
        <f t="shared" si="5"/>
        <v>447667.54797936289</v>
      </c>
      <c r="F38" s="382">
        <f t="shared" si="6"/>
        <v>57774165.597880095</v>
      </c>
      <c r="G38" s="897">
        <v>51317456.001428604</v>
      </c>
      <c r="H38" s="465">
        <f t="shared" si="7"/>
        <v>315621418.91142857</v>
      </c>
      <c r="I38" s="466">
        <f t="shared" si="13"/>
        <v>447667.54797936289</v>
      </c>
      <c r="J38" s="467">
        <f t="shared" si="8"/>
        <v>57774165.597880095</v>
      </c>
      <c r="K38" s="627">
        <f t="shared" si="14"/>
        <v>344080.11499952525</v>
      </c>
      <c r="L38" s="521">
        <v>3.7499999999999999E-2</v>
      </c>
      <c r="M38" s="521">
        <v>7.4999999999999997E-2</v>
      </c>
      <c r="N38" s="629"/>
      <c r="O38" s="253">
        <f t="shared" si="15"/>
        <v>12903.004312482197</v>
      </c>
      <c r="P38" s="629"/>
      <c r="Q38" s="626">
        <f t="shared" si="16"/>
        <v>473127.58746411209</v>
      </c>
      <c r="R38" s="641"/>
      <c r="S38" s="629"/>
      <c r="T38" s="629"/>
      <c r="U38" s="629"/>
      <c r="V38" s="628"/>
      <c r="W38" s="645">
        <f t="shared" si="17"/>
        <v>806728.38105842704</v>
      </c>
      <c r="X38" s="638">
        <f t="shared" si="18"/>
        <v>447667.54797936289</v>
      </c>
      <c r="Y38" s="638">
        <f t="shared" si="19"/>
        <v>-359060.83307906415</v>
      </c>
      <c r="Z38" s="639">
        <f>+'Proj Att-H'!$D$133</f>
        <v>0.24475999999999998</v>
      </c>
      <c r="AA38" s="640">
        <f t="shared" si="20"/>
        <v>-87883.729504431729</v>
      </c>
    </row>
    <row r="39" spans="1:27">
      <c r="A39" s="531">
        <f t="shared" si="3"/>
        <v>25</v>
      </c>
      <c r="B39" s="715">
        <v>45566</v>
      </c>
      <c r="C39" s="464"/>
      <c r="D39" s="382">
        <f t="shared" si="4"/>
        <v>322243617.69122756</v>
      </c>
      <c r="E39" s="382">
        <f t="shared" si="5"/>
        <v>448156.11306931922</v>
      </c>
      <c r="F39" s="382">
        <f t="shared" si="6"/>
        <v>58222321.710949413</v>
      </c>
      <c r="G39" s="897">
        <v>57939654.781227566</v>
      </c>
      <c r="H39" s="465">
        <f t="shared" si="7"/>
        <v>322243617.69122756</v>
      </c>
      <c r="I39" s="466">
        <f t="shared" si="13"/>
        <v>448156.11306931922</v>
      </c>
      <c r="J39" s="467">
        <f t="shared" si="8"/>
        <v>58222321.710949413</v>
      </c>
      <c r="K39" s="627">
        <f t="shared" si="14"/>
        <v>6622198.7797989622</v>
      </c>
      <c r="L39" s="521">
        <v>3.7499999999999999E-2</v>
      </c>
      <c r="M39" s="521">
        <v>7.4999999999999997E-2</v>
      </c>
      <c r="N39" s="629"/>
      <c r="O39" s="253">
        <f t="shared" si="15"/>
        <v>248332.45424246107</v>
      </c>
      <c r="P39" s="629"/>
      <c r="Q39" s="626">
        <f t="shared" si="16"/>
        <v>473127.58746411209</v>
      </c>
      <c r="R39" s="641"/>
      <c r="S39" s="629"/>
      <c r="T39" s="629"/>
      <c r="U39" s="629"/>
      <c r="V39" s="628"/>
      <c r="W39" s="645">
        <f t="shared" si="17"/>
        <v>806728.38105842704</v>
      </c>
      <c r="X39" s="638">
        <f t="shared" si="18"/>
        <v>448156.11306931922</v>
      </c>
      <c r="Y39" s="638">
        <f t="shared" si="19"/>
        <v>-358572.26798910782</v>
      </c>
      <c r="Z39" s="639">
        <f>+'Proj Att-H'!$D$133</f>
        <v>0.24475999999999998</v>
      </c>
      <c r="AA39" s="640">
        <f t="shared" si="20"/>
        <v>-87764.148313014026</v>
      </c>
    </row>
    <row r="40" spans="1:27">
      <c r="A40" s="531">
        <f t="shared" si="3"/>
        <v>26</v>
      </c>
      <c r="B40" s="715">
        <v>45597</v>
      </c>
      <c r="C40" s="464"/>
      <c r="D40" s="382">
        <f t="shared" si="4"/>
        <v>322367521.75773317</v>
      </c>
      <c r="E40" s="382">
        <f t="shared" si="5"/>
        <v>457559.08348673547</v>
      </c>
      <c r="F40" s="382">
        <f t="shared" si="6"/>
        <v>58679880.794436149</v>
      </c>
      <c r="G40" s="897">
        <v>58063558.847733192</v>
      </c>
      <c r="H40" s="465">
        <f t="shared" si="7"/>
        <v>322367521.75773317</v>
      </c>
      <c r="I40" s="466">
        <f t="shared" si="13"/>
        <v>457559.08348673547</v>
      </c>
      <c r="J40" s="467">
        <f t="shared" si="8"/>
        <v>58679880.794436149</v>
      </c>
      <c r="K40" s="627">
        <f t="shared" si="14"/>
        <v>123904.06650562584</v>
      </c>
      <c r="L40" s="521">
        <v>3.7499999999999999E-2</v>
      </c>
      <c r="M40" s="521">
        <v>7.4999999999999997E-2</v>
      </c>
      <c r="N40" s="629"/>
      <c r="O40" s="253">
        <f t="shared" si="15"/>
        <v>4646.402493960969</v>
      </c>
      <c r="P40" s="629"/>
      <c r="Q40" s="626">
        <f t="shared" si="16"/>
        <v>473127.58746411209</v>
      </c>
      <c r="R40" s="641"/>
      <c r="S40" s="629"/>
      <c r="T40" s="629"/>
      <c r="U40" s="629"/>
      <c r="V40" s="628"/>
      <c r="W40" s="645">
        <f t="shared" si="17"/>
        <v>806728.38105842704</v>
      </c>
      <c r="X40" s="638">
        <f t="shared" si="18"/>
        <v>457559.08348673547</v>
      </c>
      <c r="Y40" s="638">
        <f t="shared" si="19"/>
        <v>-349169.29757169157</v>
      </c>
      <c r="Z40" s="639">
        <f>+'Proj Att-H'!$D$133</f>
        <v>0.24475999999999998</v>
      </c>
      <c r="AA40" s="640">
        <f t="shared" si="20"/>
        <v>-85462.677273647219</v>
      </c>
    </row>
    <row r="41" spans="1:27">
      <c r="A41" s="531">
        <f t="shared" si="3"/>
        <v>27</v>
      </c>
      <c r="B41" s="715">
        <v>45627</v>
      </c>
      <c r="C41" s="464"/>
      <c r="D41" s="382">
        <f t="shared" si="4"/>
        <v>322496736.16904199</v>
      </c>
      <c r="E41" s="382">
        <f t="shared" si="5"/>
        <v>457735.0169358346</v>
      </c>
      <c r="F41" s="382">
        <f t="shared" si="6"/>
        <v>59137615.811371982</v>
      </c>
      <c r="G41" s="897">
        <v>58192773.259041972</v>
      </c>
      <c r="H41" s="465">
        <f t="shared" si="7"/>
        <v>322496736.16904199</v>
      </c>
      <c r="I41" s="466">
        <f t="shared" si="13"/>
        <v>457735.0169358346</v>
      </c>
      <c r="J41" s="467">
        <f t="shared" si="8"/>
        <v>59137615.811371982</v>
      </c>
      <c r="K41" s="627">
        <f t="shared" si="14"/>
        <v>129214.41130878031</v>
      </c>
      <c r="L41" s="521">
        <v>3.7499999999999999E-2</v>
      </c>
      <c r="M41" s="521">
        <v>7.4999999999999997E-2</v>
      </c>
      <c r="N41" s="629"/>
      <c r="O41" s="253">
        <f t="shared" si="15"/>
        <v>4845.5404240792614</v>
      </c>
      <c r="P41" s="629"/>
      <c r="Q41" s="626">
        <f t="shared" si="16"/>
        <v>473127.58746411209</v>
      </c>
      <c r="R41" s="641"/>
      <c r="S41" s="629"/>
      <c r="T41" s="629"/>
      <c r="U41" s="629"/>
      <c r="V41" s="628"/>
      <c r="W41" s="645">
        <f t="shared" si="17"/>
        <v>806728.38105842704</v>
      </c>
      <c r="X41" s="638">
        <f t="shared" si="18"/>
        <v>457735.0169358346</v>
      </c>
      <c r="Y41" s="638">
        <f t="shared" si="19"/>
        <v>-348993.36412259244</v>
      </c>
      <c r="Z41" s="639">
        <f>+'Proj Att-H'!$D$133</f>
        <v>0.24475999999999998</v>
      </c>
      <c r="AA41" s="640">
        <f t="shared" si="20"/>
        <v>-85419.615802645712</v>
      </c>
    </row>
    <row r="42" spans="1:27">
      <c r="A42" s="530" t="s">
        <v>667</v>
      </c>
      <c r="B42" s="468"/>
      <c r="C42" s="468"/>
      <c r="G42" s="469"/>
      <c r="H42" s="267"/>
      <c r="I42" s="267"/>
      <c r="J42" s="266"/>
      <c r="K42" s="630"/>
      <c r="L42" s="267"/>
      <c r="M42" s="253"/>
      <c r="N42" s="525">
        <f t="shared" ref="N42:T42" si="21">SUM(N18:N41)</f>
        <v>1820980.5259177049</v>
      </c>
      <c r="O42" s="525">
        <f>SUM(O18:O41)</f>
        <v>4003209.5231317785</v>
      </c>
      <c r="P42" s="549">
        <f t="shared" si="21"/>
        <v>5351315.5023985272</v>
      </c>
      <c r="Q42" s="631">
        <f t="shared" si="21"/>
        <v>5677531.0495693432</v>
      </c>
      <c r="R42" s="642">
        <f t="shared" si="21"/>
        <v>7172296.0283162324</v>
      </c>
      <c r="S42" s="525">
        <f t="shared" si="21"/>
        <v>5190420.9805601491</v>
      </c>
      <c r="T42" s="525">
        <f t="shared" si="21"/>
        <v>-1981875.0477560828</v>
      </c>
      <c r="U42" s="525"/>
      <c r="V42" s="643">
        <f>T42*'Proj Att-H'!D133</f>
        <v>-485083.73668877879</v>
      </c>
      <c r="W42" s="642">
        <f>SUM(W18:W41)</f>
        <v>9680740.5727011226</v>
      </c>
      <c r="X42" s="525">
        <f>SUM(X18:X41)</f>
        <v>5376777.0005999897</v>
      </c>
      <c r="Y42" s="525">
        <f>SUM(Y18:Y41)</f>
        <v>-4303963.5721011357</v>
      </c>
      <c r="Z42" s="525"/>
      <c r="AA42" s="643">
        <f>SUM(AA18:AA41)</f>
        <v>-1053438.1239074736</v>
      </c>
    </row>
    <row r="43" spans="1:27">
      <c r="A43" s="531">
        <f>A41+1</f>
        <v>28</v>
      </c>
      <c r="B43" s="268" t="s">
        <v>377</v>
      </c>
      <c r="C43" s="268"/>
      <c r="D43" s="382"/>
      <c r="E43" s="470">
        <f>SUM(E30:E41)</f>
        <v>5376777.0005999897</v>
      </c>
      <c r="F43" s="382"/>
      <c r="G43" s="325"/>
      <c r="H43" s="470"/>
      <c r="I43" s="470">
        <f>SUM(I30:I41)</f>
        <v>5376777.0005999897</v>
      </c>
      <c r="J43" s="266"/>
      <c r="K43" s="630"/>
      <c r="L43" s="267"/>
      <c r="M43" s="256"/>
      <c r="N43" s="256"/>
      <c r="O43" s="253"/>
      <c r="P43" s="253"/>
      <c r="Q43" s="626"/>
      <c r="R43" s="325"/>
      <c r="S43" s="253"/>
      <c r="T43" s="253"/>
      <c r="U43" s="253"/>
      <c r="V43" s="260"/>
      <c r="W43" s="325"/>
      <c r="X43" s="253"/>
      <c r="Y43" s="253"/>
      <c r="Z43" s="253"/>
      <c r="AA43" s="260"/>
    </row>
    <row r="44" spans="1:27">
      <c r="A44" s="531">
        <f>+A43+1</f>
        <v>29</v>
      </c>
      <c r="B44" s="268" t="s">
        <v>378</v>
      </c>
      <c r="C44" s="382"/>
      <c r="D44" s="382">
        <f>SUM(D29:D41)/13</f>
        <v>316090895.07231909</v>
      </c>
      <c r="E44" s="267"/>
      <c r="F44" s="382">
        <f>SUM(F29:F41)/13</f>
        <v>56437514.541661449</v>
      </c>
      <c r="G44" s="471"/>
      <c r="H44" s="604">
        <f>SUM(H29:H41)/13</f>
        <v>316090895.07231909</v>
      </c>
      <c r="I44" s="472"/>
      <c r="J44" s="473">
        <f>SUM(J29:J41)/13</f>
        <v>56437514.541661449</v>
      </c>
      <c r="K44" s="632"/>
      <c r="L44" s="633"/>
      <c r="M44" s="634"/>
      <c r="N44" s="634"/>
      <c r="O44" s="635"/>
      <c r="P44" s="635"/>
      <c r="Q44" s="636"/>
      <c r="R44" s="471"/>
      <c r="S44" s="635"/>
      <c r="T44" s="635"/>
      <c r="U44" s="635"/>
      <c r="V44" s="644"/>
      <c r="W44" s="471"/>
      <c r="X44" s="635"/>
      <c r="Y44" s="635"/>
      <c r="Z44" s="635"/>
      <c r="AA44" s="644"/>
    </row>
    <row r="45" spans="1:27">
      <c r="B45" s="268"/>
      <c r="D45" s="269"/>
      <c r="E45" s="269"/>
      <c r="F45" s="269"/>
      <c r="J45" s="270"/>
      <c r="K45" s="270"/>
      <c r="L45" s="270"/>
      <c r="M45" s="253"/>
      <c r="N45" s="253"/>
      <c r="Q45" s="253"/>
    </row>
    <row r="46" spans="1:27" ht="15.75" customHeight="1">
      <c r="A46" s="531"/>
    </row>
    <row r="48" spans="1:27">
      <c r="C48" s="272"/>
      <c r="G48" s="271" t="s">
        <v>172</v>
      </c>
    </row>
    <row r="49" spans="2:12" ht="66" customHeight="1">
      <c r="D49" s="533"/>
      <c r="E49" s="533"/>
      <c r="F49" s="533"/>
      <c r="G49" s="273" t="s">
        <v>76</v>
      </c>
      <c r="H49" s="962" t="s">
        <v>494</v>
      </c>
      <c r="I49" s="962"/>
      <c r="J49" s="962"/>
      <c r="K49" s="512"/>
      <c r="L49" s="512"/>
    </row>
    <row r="50" spans="2:12">
      <c r="B50" s="273"/>
    </row>
  </sheetData>
  <mergeCells count="13">
    <mergeCell ref="B6:F6"/>
    <mergeCell ref="B7:F7"/>
    <mergeCell ref="G7:J7"/>
    <mergeCell ref="AK1:AL1"/>
    <mergeCell ref="L9:M9"/>
    <mergeCell ref="P9:Q9"/>
    <mergeCell ref="W7:AA7"/>
    <mergeCell ref="AA1:AB1"/>
    <mergeCell ref="L10:M10"/>
    <mergeCell ref="H49:J49"/>
    <mergeCell ref="P10:Q10"/>
    <mergeCell ref="N10:O10"/>
    <mergeCell ref="S7:V7"/>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colBreaks count="3" manualBreakCount="3">
    <brk id="10" max="48" man="1"/>
    <brk id="17" max="48" man="1"/>
    <brk id="22" max="48" man="1"/>
  </colBreaks>
  <ignoredErrors>
    <ignoredError sqref="H14 J14 P14:Q14" unlockedFormula="1"/>
    <ignoredError sqref="I19:I28 I30:I34 V42"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sheetPr>
  <dimension ref="A1:M73"/>
  <sheetViews>
    <sheetView zoomScale="80" zoomScaleNormal="80" workbookViewId="0">
      <selection activeCell="N48" sqref="N48"/>
    </sheetView>
  </sheetViews>
  <sheetFormatPr defaultColWidth="8.6328125" defaultRowHeight="13.2"/>
  <cols>
    <col min="1" max="1" width="5.1796875" style="250" customWidth="1"/>
    <col min="2" max="2" width="36" style="250" customWidth="1"/>
    <col min="3" max="3" width="32.90625" style="250" bestFit="1" customWidth="1"/>
    <col min="4" max="4" width="13.6328125" style="250" customWidth="1"/>
    <col min="5" max="5" width="14.6328125" style="250" customWidth="1"/>
    <col min="6" max="6" width="16.54296875" style="250" customWidth="1"/>
    <col min="7" max="7" width="3.1796875" style="250" customWidth="1"/>
    <col min="8" max="8" width="13.6328125" style="250" customWidth="1"/>
    <col min="9" max="9" width="11.1796875" style="250" customWidth="1"/>
    <col min="10" max="10" width="3.1796875" style="250" customWidth="1"/>
    <col min="11" max="11" width="14.1796875" style="250" customWidth="1"/>
    <col min="12" max="12" width="13.453125" style="250" customWidth="1"/>
    <col min="13" max="13" width="14.453125" style="250" bestFit="1" customWidth="1"/>
    <col min="14" max="14" width="13.1796875" style="250" customWidth="1"/>
    <col min="15" max="16384" width="8.6328125" style="250"/>
  </cols>
  <sheetData>
    <row r="1" spans="1:13">
      <c r="A1" s="975" t="s">
        <v>418</v>
      </c>
      <c r="B1" s="975"/>
      <c r="C1" s="975"/>
      <c r="D1" s="975"/>
      <c r="E1" s="975"/>
      <c r="F1" s="975"/>
    </row>
    <row r="2" spans="1:13">
      <c r="A2" s="975" t="s">
        <v>436</v>
      </c>
      <c r="B2" s="975"/>
      <c r="C2" s="975"/>
      <c r="D2" s="975"/>
      <c r="E2" s="975"/>
      <c r="F2" s="975"/>
    </row>
    <row r="3" spans="1:13">
      <c r="A3" s="975" t="str">
        <f>'Act Att-H'!C7</f>
        <v>Black Hills Colorado Electric, LLC</v>
      </c>
      <c r="B3" s="975"/>
      <c r="C3" s="975"/>
      <c r="D3" s="975"/>
      <c r="E3" s="975"/>
      <c r="F3" s="975"/>
    </row>
    <row r="4" spans="1:13">
      <c r="A4" s="339"/>
      <c r="B4" s="339"/>
      <c r="C4" s="339"/>
      <c r="D4" s="339"/>
      <c r="E4" s="339"/>
      <c r="F4" s="357" t="s">
        <v>515</v>
      </c>
    </row>
    <row r="5" spans="1:13" s="253" customFormat="1">
      <c r="B5" s="358"/>
      <c r="D5" s="359"/>
      <c r="E5" s="359"/>
      <c r="F5" s="359"/>
    </row>
    <row r="6" spans="1:13">
      <c r="B6" s="360" t="s">
        <v>15</v>
      </c>
      <c r="C6" s="360" t="s">
        <v>16</v>
      </c>
      <c r="D6" s="360" t="s">
        <v>17</v>
      </c>
      <c r="E6" s="361" t="s">
        <v>18</v>
      </c>
      <c r="F6" s="361" t="s">
        <v>19</v>
      </c>
    </row>
    <row r="7" spans="1:13">
      <c r="B7" s="362"/>
      <c r="C7" s="253"/>
      <c r="D7" s="323"/>
      <c r="E7" s="359" t="s">
        <v>384</v>
      </c>
      <c r="F7" s="323"/>
      <c r="G7" s="253"/>
      <c r="H7" s="253"/>
      <c r="I7" s="253"/>
      <c r="J7" s="253"/>
      <c r="K7" s="253"/>
      <c r="L7" s="253"/>
      <c r="M7" s="253"/>
    </row>
    <row r="8" spans="1:13">
      <c r="B8" s="362"/>
      <c r="C8" s="253"/>
      <c r="D8" s="363"/>
      <c r="E8" s="359" t="s">
        <v>385</v>
      </c>
      <c r="F8" s="323"/>
      <c r="G8" s="253"/>
      <c r="H8" s="253"/>
      <c r="I8" s="253"/>
      <c r="J8" s="253"/>
      <c r="K8" s="253"/>
      <c r="L8" s="253"/>
      <c r="M8" s="253"/>
    </row>
    <row r="9" spans="1:13">
      <c r="B9" s="362"/>
      <c r="C9" s="253"/>
      <c r="D9" s="363" t="s">
        <v>386</v>
      </c>
      <c r="E9" s="359" t="s">
        <v>387</v>
      </c>
      <c r="F9" s="359" t="s">
        <v>381</v>
      </c>
      <c r="G9" s="253"/>
      <c r="H9" s="253"/>
      <c r="I9" s="253"/>
      <c r="J9" s="253"/>
      <c r="K9" s="253"/>
      <c r="L9" s="253"/>
      <c r="M9" s="253"/>
    </row>
    <row r="10" spans="1:13" ht="13.8" thickBot="1">
      <c r="A10" s="364" t="s">
        <v>4</v>
      </c>
      <c r="B10" s="364" t="s">
        <v>368</v>
      </c>
      <c r="C10" s="364" t="s">
        <v>449</v>
      </c>
      <c r="D10" s="364" t="s">
        <v>388</v>
      </c>
      <c r="E10" s="365" t="s">
        <v>383</v>
      </c>
      <c r="F10" s="364" t="s">
        <v>388</v>
      </c>
      <c r="G10" s="253"/>
      <c r="H10" s="253"/>
      <c r="I10" s="253"/>
      <c r="J10" s="253"/>
      <c r="K10" s="253"/>
      <c r="L10" s="253"/>
      <c r="M10" s="253"/>
    </row>
    <row r="11" spans="1:13">
      <c r="C11" s="253"/>
      <c r="D11" s="253"/>
      <c r="E11" s="253" t="s">
        <v>389</v>
      </c>
      <c r="F11" s="274" t="s">
        <v>390</v>
      </c>
      <c r="G11" s="253"/>
      <c r="H11" s="253"/>
      <c r="I11" s="253"/>
      <c r="J11" s="253"/>
      <c r="K11" s="253"/>
      <c r="L11" s="253"/>
      <c r="M11" s="253"/>
    </row>
    <row r="12" spans="1:13">
      <c r="A12" s="366">
        <v>1</v>
      </c>
      <c r="B12" s="250" t="s">
        <v>391</v>
      </c>
      <c r="C12" s="256" t="s">
        <v>1163</v>
      </c>
      <c r="D12" s="258">
        <f>'Act Att-H'!I66</f>
        <v>198675364.53286451</v>
      </c>
      <c r="E12" s="367"/>
      <c r="F12" s="270"/>
      <c r="G12" s="253"/>
      <c r="H12" s="253"/>
      <c r="I12" s="253"/>
      <c r="J12" s="253"/>
      <c r="K12" s="253"/>
      <c r="L12" s="253"/>
      <c r="M12" s="253"/>
    </row>
    <row r="13" spans="1:13">
      <c r="A13" s="368">
        <v>2</v>
      </c>
      <c r="B13" s="250" t="s">
        <v>392</v>
      </c>
      <c r="C13" s="270" t="s">
        <v>1164</v>
      </c>
      <c r="D13" s="270"/>
      <c r="E13" s="270"/>
      <c r="F13" s="258">
        <f>'Proj Att-H'!I60</f>
        <v>246623034.88338098</v>
      </c>
      <c r="G13" s="253"/>
      <c r="H13" s="253"/>
    </row>
    <row r="14" spans="1:13">
      <c r="A14" s="252"/>
      <c r="C14" s="270"/>
      <c r="D14" s="270"/>
      <c r="E14" s="270"/>
      <c r="F14" s="270"/>
      <c r="H14" s="253"/>
    </row>
    <row r="15" spans="1:13">
      <c r="A15" s="252"/>
      <c r="B15" s="362" t="s">
        <v>393</v>
      </c>
      <c r="C15" s="270"/>
      <c r="D15" s="270"/>
      <c r="E15" s="369"/>
      <c r="F15" s="270"/>
      <c r="H15" s="253"/>
    </row>
    <row r="16" spans="1:13">
      <c r="A16" s="368">
        <f>A13+1</f>
        <v>3</v>
      </c>
      <c r="B16" s="270" t="s">
        <v>37</v>
      </c>
      <c r="C16" s="270" t="s">
        <v>1165</v>
      </c>
      <c r="D16" s="258">
        <f>'Act Att-H'!D106</f>
        <v>5324954</v>
      </c>
      <c r="E16" s="56">
        <f>IF($D$12=0,0,D16/$D$12)</f>
        <v>2.6802286295134273E-2</v>
      </c>
      <c r="F16" s="54">
        <f>E16*F$13</f>
        <v>6610061.1879192637</v>
      </c>
      <c r="G16" s="270"/>
      <c r="H16" s="253"/>
      <c r="I16" s="259"/>
    </row>
    <row r="17" spans="1:9">
      <c r="A17" s="277">
        <f>A16+1</f>
        <v>4</v>
      </c>
      <c r="B17" s="270" t="s">
        <v>129</v>
      </c>
      <c r="C17" s="270" t="s">
        <v>1166</v>
      </c>
      <c r="D17" s="258">
        <f>'Act Att-H'!D107</f>
        <v>911219</v>
      </c>
      <c r="E17" s="56">
        <f t="shared" ref="E17:E26" si="0">IF($D$12=0,0,D17/$D$12)</f>
        <v>4.5864720175171382E-3</v>
      </c>
      <c r="F17" s="54">
        <f t="shared" ref="F17:F26" si="1">E17*F$13</f>
        <v>1131129.64836778</v>
      </c>
      <c r="G17" s="270"/>
      <c r="H17" s="253"/>
      <c r="I17" s="370"/>
    </row>
    <row r="18" spans="1:9">
      <c r="A18" s="277">
        <f t="shared" ref="A18:A26" si="2">A17+1</f>
        <v>5</v>
      </c>
      <c r="B18" s="270" t="s">
        <v>38</v>
      </c>
      <c r="C18" s="270" t="s">
        <v>1167</v>
      </c>
      <c r="D18" s="258">
        <f>'Act Att-H'!D108</f>
        <v>2241356</v>
      </c>
      <c r="E18" s="56">
        <f t="shared" si="0"/>
        <v>1.1281499370946109E-2</v>
      </c>
      <c r="F18" s="54">
        <f t="shared" si="1"/>
        <v>2782277.6128976829</v>
      </c>
      <c r="G18" s="270"/>
      <c r="H18" s="253"/>
      <c r="I18" s="370"/>
    </row>
    <row r="19" spans="1:9">
      <c r="A19" s="277">
        <f t="shared" si="2"/>
        <v>6</v>
      </c>
      <c r="B19" s="270" t="s">
        <v>39</v>
      </c>
      <c r="C19" s="270" t="s">
        <v>1168</v>
      </c>
      <c r="D19" s="258">
        <f>'Act Att-H'!D109</f>
        <v>28304306</v>
      </c>
      <c r="E19" s="56">
        <f t="shared" si="0"/>
        <v>0.14246510163225573</v>
      </c>
      <c r="F19" s="54">
        <f t="shared" si="1"/>
        <v>35135175.729516223</v>
      </c>
      <c r="G19" s="270"/>
      <c r="H19" s="253"/>
      <c r="I19" s="370"/>
    </row>
    <row r="20" spans="1:9">
      <c r="A20" s="277">
        <f t="shared" si="2"/>
        <v>7</v>
      </c>
      <c r="B20" s="62" t="s">
        <v>832</v>
      </c>
      <c r="C20" s="270"/>
      <c r="D20" s="270"/>
      <c r="E20" s="270"/>
      <c r="F20" s="270"/>
      <c r="G20" s="270"/>
      <c r="H20" s="253"/>
      <c r="I20" s="370"/>
    </row>
    <row r="21" spans="1:9">
      <c r="A21" s="277">
        <f t="shared" si="2"/>
        <v>8</v>
      </c>
      <c r="B21" s="270" t="s">
        <v>446</v>
      </c>
      <c r="C21" s="270" t="s">
        <v>1169</v>
      </c>
      <c r="D21" s="258">
        <f>'Act Att-H'!D111</f>
        <v>1618905</v>
      </c>
      <c r="E21" s="56">
        <f t="shared" si="0"/>
        <v>8.1484939202525215E-3</v>
      </c>
      <c r="F21" s="54">
        <f t="shared" si="1"/>
        <v>2009606.3003414555</v>
      </c>
      <c r="H21" s="253"/>
      <c r="I21" s="370"/>
    </row>
    <row r="22" spans="1:9">
      <c r="A22" s="277">
        <f t="shared" si="2"/>
        <v>9</v>
      </c>
      <c r="B22" s="270" t="s">
        <v>447</v>
      </c>
      <c r="C22" s="270" t="s">
        <v>784</v>
      </c>
      <c r="D22" s="794">
        <v>0</v>
      </c>
      <c r="E22" s="56"/>
      <c r="F22" s="54">
        <f>D22</f>
        <v>0</v>
      </c>
      <c r="H22" s="253"/>
      <c r="I22" s="370"/>
    </row>
    <row r="23" spans="1:9">
      <c r="A23" s="277">
        <f t="shared" si="2"/>
        <v>10</v>
      </c>
      <c r="B23" s="270" t="s">
        <v>694</v>
      </c>
      <c r="C23" s="270" t="s">
        <v>1170</v>
      </c>
      <c r="D23" s="258">
        <f>'Act Att-H'!D113</f>
        <v>489249.84179999999</v>
      </c>
      <c r="E23" s="371"/>
      <c r="F23" s="258">
        <f>D23</f>
        <v>489249.84179999999</v>
      </c>
      <c r="H23" s="253"/>
      <c r="I23" s="370"/>
    </row>
    <row r="24" spans="1:9">
      <c r="A24" s="277">
        <f t="shared" si="2"/>
        <v>11</v>
      </c>
      <c r="B24" s="270" t="s">
        <v>695</v>
      </c>
      <c r="C24" s="270" t="s">
        <v>1171</v>
      </c>
      <c r="D24" s="258">
        <f>'Act Att-H'!D114</f>
        <v>176284.66340000002</v>
      </c>
      <c r="E24" s="56">
        <f t="shared" si="0"/>
        <v>8.8730006266498805E-4</v>
      </c>
      <c r="F24" s="54">
        <f t="shared" si="1"/>
        <v>218828.63430665349</v>
      </c>
      <c r="H24" s="253"/>
      <c r="I24" s="370"/>
    </row>
    <row r="25" spans="1:9">
      <c r="A25" s="277">
        <f t="shared" si="2"/>
        <v>12</v>
      </c>
      <c r="B25" s="270" t="s">
        <v>58</v>
      </c>
      <c r="C25" s="270" t="s">
        <v>1172</v>
      </c>
      <c r="D25" s="258">
        <f>'Act Att-H'!D115</f>
        <v>0</v>
      </c>
      <c r="E25" s="56">
        <f t="shared" si="0"/>
        <v>0</v>
      </c>
      <c r="F25" s="54">
        <f t="shared" si="1"/>
        <v>0</v>
      </c>
      <c r="G25" s="270"/>
      <c r="H25" s="253"/>
      <c r="I25" s="372"/>
    </row>
    <row r="26" spans="1:9" ht="13.8" thickBot="1">
      <c r="A26" s="277">
        <f t="shared" si="2"/>
        <v>13</v>
      </c>
      <c r="B26" s="270" t="s">
        <v>40</v>
      </c>
      <c r="C26" s="270" t="s">
        <v>1173</v>
      </c>
      <c r="D26" s="258">
        <f>'Act Att-H'!D116</f>
        <v>0</v>
      </c>
      <c r="E26" s="56">
        <f t="shared" si="0"/>
        <v>0</v>
      </c>
      <c r="F26" s="54">
        <f t="shared" si="1"/>
        <v>0</v>
      </c>
      <c r="G26" s="270"/>
      <c r="H26" s="253"/>
      <c r="I26" s="259"/>
    </row>
    <row r="27" spans="1:9">
      <c r="A27" s="277">
        <f>A26+1</f>
        <v>14</v>
      </c>
      <c r="B27" s="373" t="s">
        <v>448</v>
      </c>
      <c r="C27" s="373" t="s">
        <v>834</v>
      </c>
      <c r="D27" s="63">
        <f>+D16-D17-D18+D19-D21+D25+D26+D22+D23-D24</f>
        <v>29170745.178399999</v>
      </c>
      <c r="E27" s="63"/>
      <c r="F27" s="63">
        <f>+F16-F17-F18+F19-F21+F25+F26+F22+F23-F24</f>
        <v>36092644.563321911</v>
      </c>
      <c r="H27" s="253"/>
    </row>
    <row r="28" spans="1:9">
      <c r="A28" s="252"/>
      <c r="C28" s="270"/>
      <c r="D28" s="270"/>
      <c r="E28" s="270"/>
      <c r="F28" s="270"/>
      <c r="H28" s="253"/>
    </row>
    <row r="29" spans="1:9">
      <c r="A29" s="252"/>
      <c r="C29" s="270"/>
      <c r="D29" s="270"/>
      <c r="E29" s="270"/>
      <c r="F29" s="270"/>
      <c r="H29" s="253"/>
    </row>
    <row r="30" spans="1:9">
      <c r="A30" s="252"/>
      <c r="B30" s="362" t="s">
        <v>394</v>
      </c>
      <c r="C30" s="270"/>
      <c r="D30" s="270"/>
      <c r="E30" s="270"/>
      <c r="F30" s="270"/>
      <c r="H30" s="253"/>
    </row>
    <row r="31" spans="1:9">
      <c r="A31" s="252"/>
      <c r="B31" s="252" t="s">
        <v>41</v>
      </c>
      <c r="C31" s="272"/>
      <c r="D31" s="270"/>
      <c r="E31" s="270"/>
      <c r="F31" s="270"/>
      <c r="H31" s="253"/>
    </row>
    <row r="32" spans="1:9">
      <c r="A32" s="368">
        <f>A27+1</f>
        <v>15</v>
      </c>
      <c r="B32" s="252" t="s">
        <v>42</v>
      </c>
      <c r="C32" s="270" t="s">
        <v>1174</v>
      </c>
      <c r="D32" s="258">
        <f>'Act Att-H'!D128</f>
        <v>1524136</v>
      </c>
      <c r="E32" s="56">
        <f t="shared" ref="E32:E37" si="3">IF($D$12=0,0,D32/$D$12)</f>
        <v>7.67148963628996E-3</v>
      </c>
      <c r="F32" s="54">
        <f t="shared" ref="F32:F37" si="4">E32*F$13</f>
        <v>1891966.0561782345</v>
      </c>
      <c r="H32" s="253"/>
    </row>
    <row r="33" spans="1:9">
      <c r="A33" s="368">
        <f>A32+1</f>
        <v>16</v>
      </c>
      <c r="B33" s="252" t="s">
        <v>43</v>
      </c>
      <c r="C33" s="270" t="s">
        <v>1175</v>
      </c>
      <c r="D33" s="258">
        <f>'Act Att-H'!D129</f>
        <v>0</v>
      </c>
      <c r="E33" s="56">
        <f t="shared" si="3"/>
        <v>0</v>
      </c>
      <c r="F33" s="54">
        <f t="shared" si="4"/>
        <v>0</v>
      </c>
      <c r="H33" s="253"/>
    </row>
    <row r="34" spans="1:9">
      <c r="A34" s="368">
        <f t="shared" ref="A34:A39" si="5">A33+1</f>
        <v>17</v>
      </c>
      <c r="B34" s="252" t="s">
        <v>44</v>
      </c>
      <c r="C34" s="270"/>
      <c r="D34" s="376"/>
      <c r="E34" s="56"/>
      <c r="F34" s="54"/>
      <c r="H34" s="253"/>
    </row>
    <row r="35" spans="1:9">
      <c r="A35" s="368">
        <f t="shared" si="5"/>
        <v>18</v>
      </c>
      <c r="B35" s="670" t="s">
        <v>45</v>
      </c>
      <c r="C35" s="270" t="s">
        <v>1176</v>
      </c>
      <c r="D35" s="258">
        <f>'Act Att-H'!D131</f>
        <v>11502591</v>
      </c>
      <c r="E35" s="56">
        <f t="shared" si="3"/>
        <v>5.7896413211801417E-2</v>
      </c>
      <c r="F35" s="54">
        <f t="shared" si="4"/>
        <v>14278589.13515674</v>
      </c>
      <c r="H35" s="253"/>
    </row>
    <row r="36" spans="1:9">
      <c r="A36" s="368">
        <f t="shared" si="5"/>
        <v>19</v>
      </c>
      <c r="B36" s="252" t="s">
        <v>46</v>
      </c>
      <c r="C36" s="270" t="s">
        <v>1177</v>
      </c>
      <c r="D36" s="258">
        <f>'Act Att-H'!D132</f>
        <v>-51150</v>
      </c>
      <c r="E36" s="56">
        <f t="shared" si="3"/>
        <v>-2.5745517125521045E-4</v>
      </c>
      <c r="F36" s="54">
        <f t="shared" si="4"/>
        <v>-63494.375681380589</v>
      </c>
      <c r="H36" s="253"/>
    </row>
    <row r="37" spans="1:9">
      <c r="A37" s="368">
        <f t="shared" si="5"/>
        <v>20</v>
      </c>
      <c r="B37" s="252" t="s">
        <v>47</v>
      </c>
      <c r="C37" s="270" t="s">
        <v>1178</v>
      </c>
      <c r="D37" s="258">
        <f>'Act Att-H'!D133</f>
        <v>0</v>
      </c>
      <c r="E37" s="56">
        <f t="shared" si="3"/>
        <v>0</v>
      </c>
      <c r="F37" s="54">
        <f t="shared" si="4"/>
        <v>0</v>
      </c>
      <c r="H37" s="253"/>
    </row>
    <row r="38" spans="1:9">
      <c r="A38" s="368">
        <f t="shared" si="5"/>
        <v>21</v>
      </c>
      <c r="B38" s="252" t="s">
        <v>1117</v>
      </c>
      <c r="C38" s="270"/>
      <c r="D38" s="270"/>
      <c r="E38" s="56"/>
      <c r="F38" s="54"/>
      <c r="H38" s="253"/>
    </row>
    <row r="39" spans="1:9">
      <c r="A39" s="368">
        <f t="shared" si="5"/>
        <v>22</v>
      </c>
      <c r="B39" s="377" t="s">
        <v>395</v>
      </c>
      <c r="C39" s="378" t="s">
        <v>451</v>
      </c>
      <c r="D39" s="379">
        <f>SUM(D32:D37)</f>
        <v>12975577</v>
      </c>
      <c r="E39" s="375"/>
      <c r="F39" s="374">
        <f>SUM(F32:F38)</f>
        <v>16107060.815653594</v>
      </c>
      <c r="H39" s="253"/>
    </row>
    <row r="40" spans="1:9">
      <c r="A40" s="252"/>
      <c r="D40" s="380"/>
      <c r="E40" s="270"/>
      <c r="F40" s="380"/>
      <c r="H40" s="253"/>
    </row>
    <row r="41" spans="1:9">
      <c r="A41" s="271" t="s">
        <v>155</v>
      </c>
      <c r="C41" s="381"/>
      <c r="D41" s="381"/>
      <c r="E41" s="381"/>
      <c r="F41" s="381"/>
      <c r="I41" s="382"/>
    </row>
    <row r="42" spans="1:9">
      <c r="A42" s="795" t="s">
        <v>76</v>
      </c>
      <c r="B42" s="250" t="s">
        <v>1025</v>
      </c>
      <c r="C42" s="381"/>
      <c r="D42" s="381"/>
      <c r="E42" s="381"/>
      <c r="F42" s="381"/>
      <c r="I42" s="382"/>
    </row>
    <row r="43" spans="1:9">
      <c r="C43" s="381"/>
      <c r="D43" s="381"/>
      <c r="E43" s="381"/>
      <c r="F43" s="381"/>
      <c r="I43" s="382"/>
    </row>
    <row r="44" spans="1:9">
      <c r="C44" s="381"/>
      <c r="D44" s="381"/>
      <c r="E44" s="381"/>
      <c r="F44" s="381"/>
      <c r="I44" s="382"/>
    </row>
    <row r="45" spans="1:9">
      <c r="C45" s="381"/>
      <c r="D45" s="381"/>
      <c r="E45" s="381"/>
      <c r="F45" s="381"/>
      <c r="I45" s="382"/>
    </row>
    <row r="46" spans="1:9">
      <c r="C46" s="381"/>
      <c r="D46" s="381"/>
      <c r="E46" s="381"/>
      <c r="F46" s="381"/>
      <c r="I46" s="382"/>
    </row>
    <row r="47" spans="1:9">
      <c r="C47" s="381"/>
      <c r="D47" s="381"/>
      <c r="E47" s="381"/>
      <c r="F47" s="381"/>
      <c r="I47" s="382"/>
    </row>
    <row r="48" spans="1:9">
      <c r="C48" s="381"/>
      <c r="D48" s="381"/>
      <c r="E48" s="381"/>
      <c r="F48" s="381"/>
      <c r="I48" s="382"/>
    </row>
    <row r="49" spans="1:8">
      <c r="A49" s="254"/>
      <c r="B49" s="383"/>
      <c r="C49" s="256"/>
      <c r="D49" s="384"/>
      <c r="E49" s="385"/>
      <c r="F49" s="386"/>
      <c r="G49" s="256"/>
      <c r="H49" s="387"/>
    </row>
    <row r="50" spans="1:8">
      <c r="A50" s="254"/>
      <c r="B50" s="256"/>
      <c r="C50" s="256"/>
      <c r="D50" s="256"/>
      <c r="E50" s="256"/>
      <c r="F50" s="256"/>
      <c r="G50" s="256"/>
      <c r="H50" s="256"/>
    </row>
    <row r="51" spans="1:8">
      <c r="A51" s="254"/>
      <c r="B51" s="383"/>
      <c r="C51" s="256"/>
      <c r="D51" s="372"/>
      <c r="E51" s="385"/>
      <c r="F51" s="386"/>
      <c r="G51" s="256"/>
      <c r="H51" s="387"/>
    </row>
    <row r="52" spans="1:8">
      <c r="A52" s="254"/>
      <c r="B52" s="383"/>
      <c r="C52" s="256"/>
      <c r="D52" s="372"/>
      <c r="E52" s="256"/>
      <c r="F52" s="388"/>
      <c r="G52" s="256"/>
      <c r="H52" s="387"/>
    </row>
    <row r="53" spans="1:8">
      <c r="A53" s="253"/>
      <c r="B53" s="383"/>
      <c r="C53" s="256"/>
      <c r="D53" s="372"/>
      <c r="E53" s="256"/>
      <c r="F53" s="388"/>
      <c r="G53" s="256"/>
      <c r="H53" s="387"/>
    </row>
    <row r="54" spans="1:8">
      <c r="B54" s="383"/>
      <c r="C54" s="256"/>
      <c r="D54" s="372"/>
      <c r="E54" s="256"/>
      <c r="F54" s="388"/>
      <c r="G54" s="256"/>
      <c r="H54" s="387"/>
    </row>
    <row r="55" spans="1:8">
      <c r="B55" s="383"/>
      <c r="C55" s="256"/>
      <c r="D55" s="372"/>
      <c r="E55" s="256"/>
      <c r="F55" s="388"/>
      <c r="G55" s="256"/>
      <c r="H55" s="387"/>
    </row>
    <row r="56" spans="1:8">
      <c r="B56" s="383"/>
      <c r="C56" s="256"/>
      <c r="D56" s="387"/>
      <c r="E56" s="256"/>
      <c r="F56" s="388"/>
      <c r="G56" s="256"/>
      <c r="H56" s="387"/>
    </row>
    <row r="57" spans="1:8">
      <c r="B57" s="383"/>
      <c r="C57" s="256"/>
      <c r="D57" s="372"/>
      <c r="E57" s="256"/>
      <c r="F57" s="388"/>
      <c r="G57" s="256"/>
      <c r="H57" s="387"/>
    </row>
    <row r="58" spans="1:8">
      <c r="B58" s="383"/>
      <c r="C58" s="256"/>
      <c r="D58" s="372"/>
      <c r="E58" s="256"/>
      <c r="F58" s="388"/>
      <c r="G58" s="256"/>
      <c r="H58" s="387"/>
    </row>
    <row r="59" spans="1:8">
      <c r="B59" s="383"/>
      <c r="C59" s="256"/>
      <c r="D59" s="372"/>
      <c r="E59" s="256"/>
      <c r="F59" s="388"/>
      <c r="G59" s="256"/>
      <c r="H59" s="387"/>
    </row>
    <row r="60" spans="1:8">
      <c r="B60" s="383"/>
      <c r="C60" s="256"/>
      <c r="D60" s="372"/>
      <c r="E60" s="256"/>
      <c r="F60" s="388"/>
      <c r="G60" s="256"/>
      <c r="H60" s="387"/>
    </row>
    <row r="61" spans="1:8">
      <c r="B61" s="383"/>
      <c r="C61" s="256"/>
      <c r="D61" s="387"/>
      <c r="E61" s="256"/>
      <c r="F61" s="388"/>
      <c r="G61" s="256"/>
      <c r="H61" s="387"/>
    </row>
    <row r="62" spans="1:8">
      <c r="B62" s="383"/>
      <c r="C62" s="256"/>
      <c r="D62" s="389"/>
      <c r="E62" s="256"/>
      <c r="F62" s="388"/>
      <c r="G62" s="256"/>
      <c r="H62" s="387"/>
    </row>
    <row r="63" spans="1:8">
      <c r="B63" s="390"/>
      <c r="C63" s="256"/>
      <c r="D63" s="372"/>
      <c r="E63" s="256"/>
      <c r="F63" s="388"/>
      <c r="G63" s="256"/>
      <c r="H63" s="387"/>
    </row>
    <row r="64" spans="1:8">
      <c r="B64" s="390"/>
      <c r="C64" s="256"/>
      <c r="D64" s="389"/>
      <c r="E64" s="256"/>
      <c r="F64" s="388"/>
      <c r="G64" s="256"/>
      <c r="H64" s="387"/>
    </row>
    <row r="65" spans="2:8">
      <c r="B65" s="390"/>
      <c r="C65" s="256"/>
      <c r="D65" s="389"/>
      <c r="E65" s="256"/>
      <c r="F65" s="388"/>
      <c r="G65" s="256"/>
      <c r="H65" s="387"/>
    </row>
    <row r="66" spans="2:8">
      <c r="B66" s="390"/>
      <c r="C66" s="256"/>
      <c r="D66" s="372"/>
      <c r="E66" s="256"/>
      <c r="F66" s="388"/>
      <c r="G66" s="256"/>
      <c r="H66" s="387"/>
    </row>
    <row r="67" spans="2:8">
      <c r="B67" s="383"/>
      <c r="C67" s="256"/>
      <c r="D67" s="256"/>
      <c r="E67" s="256"/>
      <c r="F67" s="388"/>
      <c r="G67" s="256"/>
      <c r="H67" s="387"/>
    </row>
    <row r="68" spans="2:8">
      <c r="B68" s="383"/>
      <c r="C68" s="256"/>
      <c r="D68" s="256"/>
      <c r="E68" s="256"/>
      <c r="F68" s="256"/>
      <c r="G68" s="256"/>
      <c r="H68" s="387"/>
    </row>
    <row r="69" spans="2:8">
      <c r="B69" s="383"/>
      <c r="C69" s="256"/>
      <c r="D69" s="256"/>
      <c r="E69" s="256"/>
      <c r="F69" s="256"/>
      <c r="G69" s="256"/>
      <c r="H69" s="387"/>
    </row>
    <row r="70" spans="2:8">
      <c r="B70" s="383"/>
      <c r="C70" s="256"/>
      <c r="D70" s="256"/>
      <c r="E70" s="256"/>
      <c r="F70" s="256"/>
      <c r="G70" s="256"/>
      <c r="H70" s="387"/>
    </row>
    <row r="71" spans="2:8">
      <c r="B71" s="383"/>
      <c r="C71" s="256"/>
      <c r="D71" s="256"/>
      <c r="E71" s="256"/>
      <c r="F71" s="256"/>
      <c r="G71" s="256"/>
      <c r="H71" s="387"/>
    </row>
    <row r="72" spans="2:8">
      <c r="B72" s="390"/>
      <c r="C72" s="256"/>
      <c r="D72" s="387"/>
      <c r="E72" s="256"/>
      <c r="F72" s="388"/>
      <c r="G72" s="256"/>
      <c r="H72" s="387"/>
    </row>
    <row r="73" spans="2:8">
      <c r="B73" s="390"/>
      <c r="C73" s="256"/>
      <c r="D73" s="387"/>
      <c r="E73" s="256"/>
      <c r="F73" s="256"/>
      <c r="G73" s="256"/>
      <c r="H73" s="387"/>
    </row>
  </sheetData>
  <mergeCells count="3">
    <mergeCell ref="A1:F1"/>
    <mergeCell ref="A2:F2"/>
    <mergeCell ref="A3:F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B6:F6" numberStoredAsText="1"/>
    <ignoredError sqref="F13:F19 D12:D19 D32:D37 D21 F21 F23 D23:D26 D39"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O35"/>
  <sheetViews>
    <sheetView zoomScale="80" zoomScaleNormal="80" workbookViewId="0">
      <selection activeCell="C19" sqref="C19:C22"/>
    </sheetView>
  </sheetViews>
  <sheetFormatPr defaultColWidth="8.6328125" defaultRowHeight="13.2"/>
  <cols>
    <col min="1" max="1" width="5.1796875" style="250" customWidth="1"/>
    <col min="2" max="2" width="15.08984375" style="250" customWidth="1"/>
    <col min="3" max="3" width="19.08984375" style="250" bestFit="1" customWidth="1"/>
    <col min="4" max="4" width="17.08984375" style="250" customWidth="1"/>
    <col min="5" max="5" width="17.453125" style="250" customWidth="1"/>
    <col min="6" max="6" width="13.6328125" style="250" customWidth="1"/>
    <col min="7" max="7" width="12.54296875" style="250" customWidth="1"/>
    <col min="8" max="8" width="7" style="250" customWidth="1"/>
    <col min="9" max="9" width="7.6328125" style="250" bestFit="1" customWidth="1"/>
    <col min="10" max="10" width="2.1796875" style="250" customWidth="1"/>
    <col min="11" max="11" width="6.6328125" style="250" customWidth="1"/>
    <col min="12" max="16384" width="8.6328125" style="250"/>
  </cols>
  <sheetData>
    <row r="1" spans="1:14">
      <c r="A1" s="975" t="s">
        <v>437</v>
      </c>
      <c r="B1" s="975"/>
      <c r="C1" s="975"/>
      <c r="D1" s="975"/>
      <c r="E1" s="975"/>
      <c r="F1" s="975"/>
      <c r="G1" s="975"/>
    </row>
    <row r="2" spans="1:14">
      <c r="A2" s="975" t="s">
        <v>1230</v>
      </c>
      <c r="B2" s="975"/>
      <c r="C2" s="975"/>
      <c r="D2" s="975"/>
      <c r="E2" s="975"/>
      <c r="F2" s="975"/>
      <c r="G2" s="975"/>
    </row>
    <row r="3" spans="1:14">
      <c r="A3" s="975" t="str">
        <f>'P1-Trans Plant'!B3</f>
        <v>Black Hills Colorado Electric, LLC</v>
      </c>
      <c r="B3" s="975"/>
      <c r="C3" s="975"/>
      <c r="D3" s="975"/>
      <c r="E3" s="975"/>
      <c r="F3" s="975"/>
      <c r="G3" s="975"/>
    </row>
    <row r="4" spans="1:14">
      <c r="A4" s="270"/>
      <c r="B4" s="270"/>
      <c r="C4" s="270"/>
      <c r="D4" s="270"/>
      <c r="E4" s="270"/>
      <c r="F4" s="270"/>
      <c r="G4" s="357" t="s">
        <v>515</v>
      </c>
    </row>
    <row r="5" spans="1:14">
      <c r="A5" s="275" t="s">
        <v>396</v>
      </c>
      <c r="B5" s="270"/>
      <c r="C5" s="270"/>
      <c r="D5" s="270"/>
      <c r="E5" s="270"/>
      <c r="F5" s="270"/>
      <c r="G5" s="270"/>
    </row>
    <row r="6" spans="1:14">
      <c r="A6" s="276"/>
      <c r="B6" s="270"/>
      <c r="C6" s="270"/>
      <c r="D6" s="270"/>
      <c r="E6" s="270"/>
      <c r="F6" s="270"/>
      <c r="G6" s="270"/>
    </row>
    <row r="7" spans="1:14" ht="15" customHeight="1">
      <c r="A7" s="277">
        <v>1</v>
      </c>
      <c r="B7" s="270" t="s">
        <v>164</v>
      </c>
      <c r="C7" s="270"/>
      <c r="D7" s="270"/>
      <c r="E7" s="270"/>
      <c r="F7" s="270"/>
      <c r="G7" s="270"/>
      <c r="I7" s="474"/>
      <c r="J7" s="270"/>
      <c r="K7" s="474"/>
      <c r="L7" s="270"/>
      <c r="M7" s="475"/>
      <c r="N7" s="270"/>
    </row>
    <row r="8" spans="1:14">
      <c r="A8" s="270"/>
      <c r="B8" s="270"/>
      <c r="C8" s="270"/>
      <c r="D8" s="270"/>
      <c r="E8" s="270"/>
      <c r="F8" s="270"/>
      <c r="G8" s="270"/>
    </row>
    <row r="9" spans="1:14">
      <c r="A9" s="270"/>
      <c r="B9" s="476" t="s">
        <v>138</v>
      </c>
      <c r="C9" s="477" t="s">
        <v>139</v>
      </c>
      <c r="D9" s="476" t="s">
        <v>140</v>
      </c>
      <c r="E9" s="476" t="s">
        <v>141</v>
      </c>
      <c r="F9" s="476" t="s">
        <v>142</v>
      </c>
      <c r="G9" s="476" t="s">
        <v>143</v>
      </c>
    </row>
    <row r="10" spans="1:14" ht="92.25" customHeight="1">
      <c r="A10" s="270"/>
      <c r="B10" s="278" t="s">
        <v>219</v>
      </c>
      <c r="C10" s="278" t="s">
        <v>1224</v>
      </c>
      <c r="D10" s="279" t="s">
        <v>1225</v>
      </c>
      <c r="E10" s="279" t="s">
        <v>1226</v>
      </c>
      <c r="F10" s="278" t="s">
        <v>439</v>
      </c>
      <c r="G10" s="278" t="s">
        <v>1227</v>
      </c>
    </row>
    <row r="11" spans="1:14">
      <c r="A11" s="277">
        <v>2</v>
      </c>
      <c r="B11" s="478" t="s">
        <v>146</v>
      </c>
      <c r="C11" s="479"/>
      <c r="D11" s="479"/>
      <c r="E11" s="480"/>
      <c r="F11" s="481">
        <v>353000</v>
      </c>
      <c r="G11" s="482">
        <f t="shared" ref="G11:G18" si="0">F11</f>
        <v>353000</v>
      </c>
      <c r="I11" s="483"/>
    </row>
    <row r="12" spans="1:14">
      <c r="A12" s="277">
        <v>3</v>
      </c>
      <c r="B12" s="478" t="s">
        <v>147</v>
      </c>
      <c r="C12" s="484"/>
      <c r="D12" s="484"/>
      <c r="E12" s="485"/>
      <c r="F12" s="481">
        <v>359000</v>
      </c>
      <c r="G12" s="482">
        <f t="shared" si="0"/>
        <v>359000</v>
      </c>
    </row>
    <row r="13" spans="1:14">
      <c r="A13" s="277">
        <v>4</v>
      </c>
      <c r="B13" s="478" t="s">
        <v>397</v>
      </c>
      <c r="C13" s="484"/>
      <c r="D13" s="484"/>
      <c r="E13" s="485"/>
      <c r="F13" s="481">
        <v>324000</v>
      </c>
      <c r="G13" s="482">
        <f t="shared" si="0"/>
        <v>324000</v>
      </c>
    </row>
    <row r="14" spans="1:14">
      <c r="A14" s="277">
        <v>5</v>
      </c>
      <c r="B14" s="478" t="s">
        <v>148</v>
      </c>
      <c r="C14" s="484"/>
      <c r="D14" s="484"/>
      <c r="E14" s="485"/>
      <c r="F14" s="481">
        <v>335000</v>
      </c>
      <c r="G14" s="482">
        <f t="shared" si="0"/>
        <v>335000</v>
      </c>
    </row>
    <row r="15" spans="1:14">
      <c r="A15" s="277">
        <v>6</v>
      </c>
      <c r="B15" s="478" t="s">
        <v>149</v>
      </c>
      <c r="C15" s="484"/>
      <c r="D15" s="484"/>
      <c r="E15" s="485"/>
      <c r="F15" s="481">
        <v>361000</v>
      </c>
      <c r="G15" s="482">
        <f t="shared" si="0"/>
        <v>361000</v>
      </c>
    </row>
    <row r="16" spans="1:14">
      <c r="A16" s="277">
        <v>7</v>
      </c>
      <c r="B16" s="478" t="s">
        <v>150</v>
      </c>
      <c r="C16" s="484"/>
      <c r="D16" s="484"/>
      <c r="E16" s="485"/>
      <c r="F16" s="481">
        <v>458000</v>
      </c>
      <c r="G16" s="482">
        <f t="shared" si="0"/>
        <v>458000</v>
      </c>
    </row>
    <row r="17" spans="1:15">
      <c r="A17" s="277">
        <v>8</v>
      </c>
      <c r="B17" s="478" t="s">
        <v>151</v>
      </c>
      <c r="C17" s="484"/>
      <c r="D17" s="484"/>
      <c r="E17" s="485"/>
      <c r="F17" s="481">
        <v>489000</v>
      </c>
      <c r="G17" s="482">
        <f t="shared" si="0"/>
        <v>489000</v>
      </c>
    </row>
    <row r="18" spans="1:15">
      <c r="A18" s="277">
        <v>9</v>
      </c>
      <c r="B18" s="478" t="s">
        <v>398</v>
      </c>
      <c r="C18" s="486"/>
      <c r="D18" s="486"/>
      <c r="E18" s="487"/>
      <c r="F18" s="481">
        <v>498000</v>
      </c>
      <c r="G18" s="482">
        <f t="shared" si="0"/>
        <v>498000</v>
      </c>
      <c r="I18" s="488"/>
    </row>
    <row r="19" spans="1:15">
      <c r="A19" s="277">
        <v>10</v>
      </c>
      <c r="B19" s="489" t="s">
        <v>152</v>
      </c>
      <c r="C19" s="490">
        <f>'A6-Divisor'!G16</f>
        <v>1.1642512077294687</v>
      </c>
      <c r="D19" s="491">
        <f>AVERAGE($F$11:$F$18)</f>
        <v>397125</v>
      </c>
      <c r="E19" s="492">
        <f>C19*D19</f>
        <v>462353.26086956525</v>
      </c>
      <c r="F19" s="480"/>
      <c r="G19" s="493">
        <f>E19</f>
        <v>462353.26086956525</v>
      </c>
    </row>
    <row r="20" spans="1:15">
      <c r="A20" s="277">
        <v>11</v>
      </c>
      <c r="B20" s="489" t="s">
        <v>153</v>
      </c>
      <c r="C20" s="490">
        <f>'A6-Divisor'!G17</f>
        <v>0.82367149758454106</v>
      </c>
      <c r="D20" s="491">
        <f>AVERAGE($F$11:$F$18)</f>
        <v>397125</v>
      </c>
      <c r="E20" s="492">
        <f>C20*D20</f>
        <v>327100.54347826086</v>
      </c>
      <c r="F20" s="485"/>
      <c r="G20" s="493">
        <f>E20</f>
        <v>327100.54347826086</v>
      </c>
    </row>
    <row r="21" spans="1:15">
      <c r="A21" s="277">
        <v>12</v>
      </c>
      <c r="B21" s="489" t="s">
        <v>154</v>
      </c>
      <c r="C21" s="490">
        <f>'A6-Divisor'!G18</f>
        <v>0.83816425120772942</v>
      </c>
      <c r="D21" s="491">
        <f>AVERAGE($F$11:$F$18)</f>
        <v>397125</v>
      </c>
      <c r="E21" s="492">
        <f>C21*D21</f>
        <v>332855.97826086957</v>
      </c>
      <c r="F21" s="485"/>
      <c r="G21" s="493">
        <f>E21</f>
        <v>332855.97826086957</v>
      </c>
    </row>
    <row r="22" spans="1:15">
      <c r="A22" s="277">
        <v>13</v>
      </c>
      <c r="B22" s="489" t="s">
        <v>399</v>
      </c>
      <c r="C22" s="490">
        <f>'A6-Divisor'!G19</f>
        <v>0.98792270531400961</v>
      </c>
      <c r="D22" s="491">
        <f>AVERAGE($F$11:$F$18)</f>
        <v>397125</v>
      </c>
      <c r="E22" s="492">
        <f>C22*D22</f>
        <v>392328.80434782605</v>
      </c>
      <c r="F22" s="485"/>
      <c r="G22" s="493">
        <f>E22</f>
        <v>392328.80434782605</v>
      </c>
    </row>
    <row r="23" spans="1:15">
      <c r="A23" s="277">
        <v>14</v>
      </c>
      <c r="B23" s="494" t="s">
        <v>9</v>
      </c>
      <c r="C23" s="495"/>
      <c r="D23" s="496"/>
      <c r="E23" s="496"/>
      <c r="F23" s="495"/>
      <c r="G23" s="497">
        <f>SUM(G11:G22)</f>
        <v>4691638.5869565215</v>
      </c>
      <c r="L23" s="252"/>
    </row>
    <row r="24" spans="1:15">
      <c r="A24" s="277">
        <v>15</v>
      </c>
      <c r="B24" s="494" t="s">
        <v>164</v>
      </c>
      <c r="C24" s="495"/>
      <c r="D24" s="496"/>
      <c r="E24" s="496"/>
      <c r="F24" s="495"/>
      <c r="G24" s="498">
        <f>G23/12</f>
        <v>390969.88224637677</v>
      </c>
    </row>
    <row r="25" spans="1:15">
      <c r="A25" s="270"/>
      <c r="B25" s="270"/>
      <c r="C25" s="270"/>
      <c r="D25" s="270"/>
      <c r="E25" s="270"/>
      <c r="F25" s="270"/>
      <c r="G25" s="270"/>
    </row>
    <row r="26" spans="1:15">
      <c r="A26" s="270"/>
      <c r="B26" s="270"/>
      <c r="C26" s="270"/>
      <c r="D26" s="270"/>
      <c r="E26" s="270"/>
      <c r="F26" s="270"/>
      <c r="G26" s="270"/>
    </row>
    <row r="27" spans="1:15" ht="30" customHeight="1">
      <c r="A27" s="499" t="s">
        <v>400</v>
      </c>
      <c r="B27" s="976" t="s">
        <v>1228</v>
      </c>
      <c r="C27" s="977"/>
      <c r="D27" s="977"/>
      <c r="E27" s="977"/>
      <c r="F27" s="977"/>
      <c r="G27" s="977"/>
      <c r="H27" s="500"/>
      <c r="I27" s="500"/>
      <c r="J27" s="500"/>
      <c r="K27" s="500"/>
      <c r="L27" s="500"/>
      <c r="M27" s="500"/>
      <c r="N27" s="500"/>
      <c r="O27" s="500"/>
    </row>
    <row r="28" spans="1:15">
      <c r="A28" s="270"/>
      <c r="B28" s="501" t="s">
        <v>1229</v>
      </c>
      <c r="C28" s="502"/>
      <c r="D28" s="502"/>
      <c r="E28" s="502"/>
      <c r="F28" s="502"/>
      <c r="G28" s="502"/>
      <c r="H28" s="503"/>
      <c r="I28" s="503"/>
    </row>
    <row r="29" spans="1:15">
      <c r="A29" s="270"/>
      <c r="B29" s="272" t="s">
        <v>989</v>
      </c>
      <c r="C29" s="502"/>
      <c r="D29" s="502"/>
      <c r="E29" s="502"/>
      <c r="F29" s="502"/>
      <c r="G29" s="502"/>
      <c r="H29" s="503"/>
      <c r="I29" s="503"/>
    </row>
    <row r="30" spans="1:15" ht="17.25" customHeight="1">
      <c r="A30" s="270"/>
      <c r="B30" s="978" t="s">
        <v>607</v>
      </c>
      <c r="C30" s="979"/>
      <c r="D30" s="979"/>
      <c r="E30" s="979"/>
      <c r="F30" s="979"/>
      <c r="G30" s="979"/>
    </row>
    <row r="35" spans="2:4" ht="13.8">
      <c r="B35" s="270"/>
      <c r="C35" s="504"/>
      <c r="D35" s="270"/>
    </row>
  </sheetData>
  <mergeCells count="5">
    <mergeCell ref="B27:G27"/>
    <mergeCell ref="B30:G30"/>
    <mergeCell ref="A1:G1"/>
    <mergeCell ref="A2:G2"/>
    <mergeCell ref="A3:G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C19:G24"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S140"/>
  <sheetViews>
    <sheetView topLeftCell="A14" zoomScale="80" zoomScaleNormal="80" workbookViewId="0">
      <selection activeCell="H53" sqref="H53"/>
    </sheetView>
  </sheetViews>
  <sheetFormatPr defaultColWidth="8.6328125" defaultRowHeight="13.8"/>
  <cols>
    <col min="1" max="1" width="5.6328125" style="1" customWidth="1"/>
    <col min="2" max="2" width="9.6328125" style="28" customWidth="1"/>
    <col min="3" max="6" width="12.6328125" style="2" customWidth="1"/>
    <col min="7" max="7" width="3" style="28" customWidth="1"/>
    <col min="8" max="11" width="12.6328125" style="2" customWidth="1"/>
    <col min="12" max="12" width="15.1796875" style="2" bestFit="1" customWidth="1"/>
    <col min="13" max="15" width="12.6328125" style="2" customWidth="1"/>
    <col min="16" max="16" width="10.6328125" style="2" customWidth="1"/>
    <col min="17" max="17" width="8.6328125" style="4"/>
    <col min="18" max="16384" width="8.6328125" style="2"/>
  </cols>
  <sheetData>
    <row r="1" spans="1:19">
      <c r="A1" s="922" t="s">
        <v>556</v>
      </c>
      <c r="B1" s="922"/>
      <c r="C1" s="922"/>
      <c r="D1" s="922"/>
      <c r="E1" s="922"/>
      <c r="F1" s="922"/>
      <c r="G1" s="922"/>
      <c r="H1" s="922"/>
      <c r="I1" s="922"/>
      <c r="J1" s="922"/>
      <c r="K1" s="922"/>
      <c r="L1" s="922"/>
      <c r="M1" s="922"/>
      <c r="N1" s="922"/>
      <c r="O1" s="922"/>
    </row>
    <row r="2" spans="1:19">
      <c r="A2" s="952" t="s">
        <v>547</v>
      </c>
      <c r="B2" s="952"/>
      <c r="C2" s="952"/>
      <c r="D2" s="952"/>
      <c r="E2" s="952"/>
      <c r="F2" s="952"/>
      <c r="G2" s="952"/>
      <c r="H2" s="952"/>
      <c r="I2" s="952"/>
      <c r="J2" s="952"/>
      <c r="K2" s="952"/>
      <c r="L2" s="952"/>
      <c r="M2" s="952"/>
      <c r="N2" s="952"/>
      <c r="O2" s="952"/>
    </row>
    <row r="3" spans="1:19">
      <c r="A3" s="953" t="str">
        <f>'Act Att-H'!C7</f>
        <v>Black Hills Colorado Electric, LLC</v>
      </c>
      <c r="B3" s="953"/>
      <c r="C3" s="953"/>
      <c r="D3" s="953"/>
      <c r="E3" s="953"/>
      <c r="F3" s="953"/>
      <c r="G3" s="953"/>
      <c r="H3" s="953"/>
      <c r="I3" s="953"/>
      <c r="J3" s="953"/>
      <c r="K3" s="953"/>
      <c r="L3" s="953"/>
      <c r="M3" s="953"/>
      <c r="N3" s="953"/>
      <c r="O3" s="953"/>
    </row>
    <row r="4" spans="1:19">
      <c r="A4" s="5"/>
      <c r="C4" s="3"/>
      <c r="D4" s="3"/>
      <c r="E4" s="3"/>
      <c r="F4" s="3"/>
      <c r="G4" s="317"/>
      <c r="H4" s="3"/>
      <c r="I4" s="3"/>
      <c r="J4" s="3"/>
      <c r="O4" s="6" t="s">
        <v>515</v>
      </c>
    </row>
    <row r="5" spans="1:19" ht="15" customHeight="1">
      <c r="A5" s="35"/>
      <c r="C5" s="37"/>
      <c r="D5" s="37"/>
      <c r="E5" s="37"/>
      <c r="F5" s="37"/>
      <c r="G5" s="318"/>
    </row>
    <row r="6" spans="1:19" s="287" customFormat="1">
      <c r="A6" s="321" t="s">
        <v>4</v>
      </c>
      <c r="G6" s="296"/>
      <c r="H6" s="327" t="s">
        <v>533</v>
      </c>
      <c r="I6" s="552" t="s">
        <v>750</v>
      </c>
      <c r="P6" s="2"/>
      <c r="Q6" s="4"/>
      <c r="R6" s="2"/>
      <c r="S6" s="2"/>
    </row>
    <row r="7" spans="1:19" s="287" customFormat="1">
      <c r="A7" s="319">
        <v>1</v>
      </c>
      <c r="B7" s="296"/>
      <c r="C7" s="980"/>
      <c r="D7" s="980"/>
      <c r="E7" s="980"/>
      <c r="F7" s="980"/>
      <c r="G7" s="296"/>
      <c r="H7" s="288" t="s">
        <v>526</v>
      </c>
      <c r="I7" s="309" t="s">
        <v>534</v>
      </c>
      <c r="J7" s="309"/>
      <c r="K7" s="333"/>
      <c r="L7" s="288" t="s">
        <v>526</v>
      </c>
      <c r="M7" s="309" t="s">
        <v>536</v>
      </c>
      <c r="N7" s="309"/>
      <c r="O7" s="333"/>
      <c r="P7" s="2"/>
      <c r="Q7" s="4"/>
      <c r="R7" s="2"/>
      <c r="S7" s="2"/>
    </row>
    <row r="8" spans="1:19" s="287" customFormat="1">
      <c r="A8" s="319">
        <f>A7+1</f>
        <v>2</v>
      </c>
      <c r="G8" s="296"/>
      <c r="H8" s="289" t="s">
        <v>535</v>
      </c>
      <c r="I8" s="310" t="s">
        <v>527</v>
      </c>
      <c r="J8" s="310"/>
      <c r="K8" s="290"/>
      <c r="L8" s="289" t="s">
        <v>535</v>
      </c>
      <c r="M8" s="310" t="s">
        <v>527</v>
      </c>
      <c r="N8" s="310"/>
      <c r="O8" s="290"/>
      <c r="P8" s="2"/>
      <c r="Q8" s="4"/>
      <c r="R8" s="2"/>
      <c r="S8" s="2"/>
    </row>
    <row r="9" spans="1:19" s="287" customFormat="1">
      <c r="A9" s="319">
        <f t="shared" ref="A9:A14" si="0">A8+1</f>
        <v>3</v>
      </c>
      <c r="B9" s="296"/>
      <c r="C9" s="980"/>
      <c r="D9" s="980"/>
      <c r="E9" s="980"/>
      <c r="F9" s="980"/>
      <c r="G9" s="296"/>
      <c r="H9" s="289" t="s">
        <v>550</v>
      </c>
      <c r="I9" s="311"/>
      <c r="J9" s="311"/>
      <c r="K9" s="290" t="s">
        <v>483</v>
      </c>
      <c r="L9" s="289" t="s">
        <v>550</v>
      </c>
      <c r="M9" s="311"/>
      <c r="N9" s="311"/>
      <c r="O9" s="290" t="s">
        <v>483</v>
      </c>
      <c r="P9" s="2"/>
      <c r="Q9" s="4"/>
      <c r="R9" s="2"/>
      <c r="S9" s="2"/>
    </row>
    <row r="10" spans="1:19" s="287" customFormat="1">
      <c r="A10" s="319">
        <f t="shared" si="0"/>
        <v>4</v>
      </c>
      <c r="G10" s="296"/>
      <c r="H10" s="289" t="s">
        <v>529</v>
      </c>
      <c r="I10" s="311">
        <v>0</v>
      </c>
      <c r="J10" s="311"/>
      <c r="K10" s="290" t="s">
        <v>539</v>
      </c>
      <c r="L10" s="289" t="s">
        <v>529</v>
      </c>
      <c r="M10" s="311">
        <v>0</v>
      </c>
      <c r="N10" s="311"/>
      <c r="O10" s="290" t="s">
        <v>539</v>
      </c>
      <c r="P10" s="2"/>
      <c r="Q10" s="4"/>
      <c r="R10" s="2"/>
      <c r="S10" s="2"/>
    </row>
    <row r="11" spans="1:19" s="287" customFormat="1">
      <c r="A11" s="319">
        <f t="shared" si="0"/>
        <v>5</v>
      </c>
      <c r="B11" s="296"/>
      <c r="C11" s="980"/>
      <c r="D11" s="980"/>
      <c r="E11" s="980"/>
      <c r="F11" s="980"/>
      <c r="G11" s="296"/>
      <c r="H11" s="289" t="s">
        <v>549</v>
      </c>
      <c r="I11" s="291">
        <f>I10*'Act Att-H'!E204</f>
        <v>0</v>
      </c>
      <c r="J11" s="291"/>
      <c r="K11" s="290"/>
      <c r="L11" s="289" t="s">
        <v>549</v>
      </c>
      <c r="M11" s="291">
        <f>M10*'Act Att-H'!E204</f>
        <v>0</v>
      </c>
      <c r="N11" s="291"/>
      <c r="O11" s="290"/>
      <c r="P11" s="2"/>
      <c r="Q11" s="4"/>
      <c r="R11" s="2"/>
      <c r="S11" s="2"/>
    </row>
    <row r="12" spans="1:19" s="287" customFormat="1">
      <c r="A12" s="319">
        <f t="shared" si="0"/>
        <v>6</v>
      </c>
      <c r="G12" s="296"/>
      <c r="H12" s="289" t="s">
        <v>530</v>
      </c>
      <c r="I12" s="313"/>
      <c r="J12" s="313"/>
      <c r="K12" s="290"/>
      <c r="L12" s="289" t="s">
        <v>530</v>
      </c>
      <c r="M12" s="313"/>
      <c r="N12" s="313"/>
      <c r="O12" s="290"/>
      <c r="P12" s="2"/>
      <c r="Q12" s="4"/>
      <c r="R12" s="2"/>
      <c r="S12" s="2"/>
    </row>
    <row r="13" spans="1:19" s="287" customFormat="1">
      <c r="A13" s="319">
        <f t="shared" si="0"/>
        <v>7</v>
      </c>
      <c r="B13" s="296"/>
      <c r="C13" s="980"/>
      <c r="D13" s="980"/>
      <c r="E13" s="980"/>
      <c r="F13" s="980"/>
      <c r="G13" s="296"/>
      <c r="H13" s="289"/>
      <c r="I13" s="3"/>
      <c r="J13" s="3"/>
      <c r="K13" s="290"/>
      <c r="L13" s="289"/>
      <c r="M13" s="3"/>
      <c r="N13" s="3"/>
      <c r="O13" s="290"/>
      <c r="P13" s="2"/>
      <c r="Q13" s="4"/>
      <c r="R13" s="2"/>
      <c r="S13" s="2"/>
    </row>
    <row r="14" spans="1:19" s="287" customFormat="1">
      <c r="A14" s="319">
        <f t="shared" si="0"/>
        <v>8</v>
      </c>
      <c r="B14" s="296"/>
      <c r="C14" s="951" t="s">
        <v>9</v>
      </c>
      <c r="D14" s="951"/>
      <c r="E14" s="951"/>
      <c r="F14" s="951"/>
      <c r="G14" s="296"/>
      <c r="H14" s="289"/>
      <c r="I14" s="3"/>
      <c r="J14" s="3"/>
      <c r="K14" s="290"/>
      <c r="L14" s="289"/>
      <c r="M14" s="3"/>
      <c r="N14" s="3"/>
      <c r="O14" s="290"/>
      <c r="P14" s="2"/>
      <c r="Q14" s="4"/>
      <c r="R14" s="2"/>
      <c r="S14" s="2"/>
    </row>
    <row r="15" spans="1:19" s="287" customFormat="1">
      <c r="A15" s="319"/>
      <c r="B15" s="296"/>
      <c r="G15" s="296"/>
      <c r="H15" s="289"/>
      <c r="I15" s="3"/>
      <c r="J15" s="3"/>
      <c r="K15" s="290"/>
      <c r="L15" s="289"/>
      <c r="M15" s="3"/>
      <c r="N15" s="3"/>
      <c r="O15" s="290"/>
      <c r="P15" s="2"/>
      <c r="Q15" s="4"/>
      <c r="R15" s="2"/>
      <c r="S15" s="2"/>
    </row>
    <row r="16" spans="1:19" s="287" customFormat="1">
      <c r="A16" s="296"/>
      <c r="B16" s="316" t="s">
        <v>548</v>
      </c>
      <c r="C16" s="316" t="s">
        <v>374</v>
      </c>
      <c r="D16" s="316" t="s">
        <v>375</v>
      </c>
      <c r="E16" s="316" t="s">
        <v>376</v>
      </c>
      <c r="F16" s="316" t="s">
        <v>544</v>
      </c>
      <c r="G16" s="296"/>
      <c r="H16" s="329" t="s">
        <v>374</v>
      </c>
      <c r="I16" s="316" t="s">
        <v>375</v>
      </c>
      <c r="J16" s="316" t="s">
        <v>376</v>
      </c>
      <c r="K16" s="334" t="s">
        <v>532</v>
      </c>
      <c r="L16" s="329" t="s">
        <v>374</v>
      </c>
      <c r="M16" s="316" t="s">
        <v>375</v>
      </c>
      <c r="N16" s="316" t="s">
        <v>376</v>
      </c>
      <c r="O16" s="334" t="s">
        <v>532</v>
      </c>
      <c r="P16" s="2"/>
      <c r="Q16" s="4"/>
      <c r="R16" s="2"/>
      <c r="S16" s="2"/>
    </row>
    <row r="17" spans="1:19" s="287" customFormat="1">
      <c r="A17" s="296"/>
      <c r="B17" s="293" t="s">
        <v>138</v>
      </c>
      <c r="C17" s="293" t="s">
        <v>139</v>
      </c>
      <c r="D17" s="293" t="s">
        <v>140</v>
      </c>
      <c r="E17" s="293" t="s">
        <v>141</v>
      </c>
      <c r="F17" s="293" t="s">
        <v>142</v>
      </c>
      <c r="G17" s="293"/>
      <c r="H17" s="330" t="s">
        <v>143</v>
      </c>
      <c r="I17" s="293" t="s">
        <v>144</v>
      </c>
      <c r="J17" s="293" t="s">
        <v>145</v>
      </c>
      <c r="K17" s="292" t="s">
        <v>161</v>
      </c>
      <c r="L17" s="330" t="s">
        <v>162</v>
      </c>
      <c r="M17" s="293" t="s">
        <v>872</v>
      </c>
      <c r="N17" s="293" t="s">
        <v>871</v>
      </c>
      <c r="O17" s="292" t="s">
        <v>929</v>
      </c>
      <c r="P17" s="2"/>
      <c r="Q17" s="4"/>
      <c r="R17" s="2"/>
      <c r="S17" s="2"/>
    </row>
    <row r="18" spans="1:19" s="287" customFormat="1">
      <c r="A18" s="296"/>
      <c r="B18" s="296"/>
      <c r="G18" s="296"/>
      <c r="H18" s="314">
        <f>I12</f>
        <v>0</v>
      </c>
      <c r="I18" s="296"/>
      <c r="J18" s="296"/>
      <c r="K18" s="297"/>
      <c r="L18" s="314">
        <f>M12</f>
        <v>0</v>
      </c>
      <c r="M18" s="296"/>
      <c r="N18" s="296"/>
      <c r="O18" s="297"/>
      <c r="P18" s="2"/>
      <c r="Q18" s="4"/>
      <c r="R18" s="2"/>
      <c r="S18" s="2"/>
    </row>
    <row r="19" spans="1:19" s="287" customFormat="1">
      <c r="A19" s="319">
        <f>A14+1</f>
        <v>9</v>
      </c>
      <c r="B19" s="719">
        <f>'P1-Trans Plant'!B18</f>
        <v>44927</v>
      </c>
      <c r="C19" s="298">
        <f>+H19+L19</f>
        <v>0</v>
      </c>
      <c r="D19" s="298">
        <f t="shared" ref="D19:E19" si="1">+I19+M19</f>
        <v>0</v>
      </c>
      <c r="E19" s="298">
        <f t="shared" si="1"/>
        <v>0</v>
      </c>
      <c r="F19" s="328"/>
      <c r="G19" s="319"/>
      <c r="H19" s="314">
        <f>H18</f>
        <v>0</v>
      </c>
      <c r="I19" s="620">
        <f>H19*I$9</f>
        <v>0</v>
      </c>
      <c r="J19" s="620">
        <f>I19</f>
        <v>0</v>
      </c>
      <c r="K19" s="300">
        <f>+H19-J19</f>
        <v>0</v>
      </c>
      <c r="L19" s="314">
        <f>L18</f>
        <v>0</v>
      </c>
      <c r="M19" s="620">
        <f>L19*M$9</f>
        <v>0</v>
      </c>
      <c r="N19" s="620">
        <f>M19</f>
        <v>0</v>
      </c>
      <c r="O19" s="300">
        <f>+L19-N19</f>
        <v>0</v>
      </c>
      <c r="P19" s="2"/>
      <c r="Q19" s="4"/>
      <c r="R19" s="2"/>
      <c r="S19" s="2"/>
    </row>
    <row r="20" spans="1:19" s="287" customFormat="1">
      <c r="A20" s="319">
        <f t="shared" ref="A20:A42" si="2">A19+1</f>
        <v>10</v>
      </c>
      <c r="B20" s="719">
        <f>'P1-Trans Plant'!B19</f>
        <v>44958</v>
      </c>
      <c r="C20" s="298">
        <f t="shared" ref="C20:C42" si="3">+H20+L20</f>
        <v>0</v>
      </c>
      <c r="D20" s="298">
        <f t="shared" ref="D20:D42" si="4">+I20+M20</f>
        <v>0</v>
      </c>
      <c r="E20" s="298">
        <f t="shared" ref="E20:E42" si="5">+J20+N20</f>
        <v>0</v>
      </c>
      <c r="F20" s="328"/>
      <c r="G20" s="319"/>
      <c r="H20" s="314">
        <v>0</v>
      </c>
      <c r="I20" s="620">
        <f t="shared" ref="I20:I42" si="6">H20*I$9</f>
        <v>0</v>
      </c>
      <c r="J20" s="620">
        <f>J19+I20</f>
        <v>0</v>
      </c>
      <c r="K20" s="300">
        <f>+H20-J20</f>
        <v>0</v>
      </c>
      <c r="L20" s="314">
        <v>0</v>
      </c>
      <c r="M20" s="620">
        <f t="shared" ref="M20:M42" si="7">L20*M$9</f>
        <v>0</v>
      </c>
      <c r="N20" s="620">
        <f>N19+M20</f>
        <v>0</v>
      </c>
      <c r="O20" s="300">
        <f>+L20-N20</f>
        <v>0</v>
      </c>
      <c r="P20" s="2"/>
      <c r="Q20" s="4"/>
      <c r="R20" s="2"/>
      <c r="S20" s="2"/>
    </row>
    <row r="21" spans="1:19" s="287" customFormat="1">
      <c r="A21" s="319">
        <f t="shared" si="2"/>
        <v>11</v>
      </c>
      <c r="B21" s="719">
        <f>'P1-Trans Plant'!B20</f>
        <v>44986</v>
      </c>
      <c r="C21" s="298">
        <f t="shared" si="3"/>
        <v>0</v>
      </c>
      <c r="D21" s="298">
        <f t="shared" si="4"/>
        <v>0</v>
      </c>
      <c r="E21" s="298">
        <f t="shared" si="5"/>
        <v>0</v>
      </c>
      <c r="F21" s="328"/>
      <c r="G21" s="319"/>
      <c r="H21" s="314">
        <v>0</v>
      </c>
      <c r="I21" s="620">
        <f t="shared" si="6"/>
        <v>0</v>
      </c>
      <c r="J21" s="620">
        <f t="shared" ref="J21:J42" si="8">J20+I21</f>
        <v>0</v>
      </c>
      <c r="K21" s="300">
        <f t="shared" ref="K21:K42" si="9">+H21-J21</f>
        <v>0</v>
      </c>
      <c r="L21" s="314">
        <v>0</v>
      </c>
      <c r="M21" s="620">
        <f t="shared" si="7"/>
        <v>0</v>
      </c>
      <c r="N21" s="620">
        <f t="shared" ref="N21:N42" si="10">N20+M21</f>
        <v>0</v>
      </c>
      <c r="O21" s="300">
        <f t="shared" ref="O21:O42" si="11">+L21-N21</f>
        <v>0</v>
      </c>
      <c r="P21" s="2"/>
      <c r="Q21" s="4"/>
      <c r="R21" s="2"/>
      <c r="S21" s="2"/>
    </row>
    <row r="22" spans="1:19" s="287" customFormat="1">
      <c r="A22" s="319">
        <f t="shared" si="2"/>
        <v>12</v>
      </c>
      <c r="B22" s="719">
        <f>'P1-Trans Plant'!B21</f>
        <v>45017</v>
      </c>
      <c r="C22" s="298">
        <f t="shared" si="3"/>
        <v>0</v>
      </c>
      <c r="D22" s="298">
        <f t="shared" si="4"/>
        <v>0</v>
      </c>
      <c r="E22" s="298">
        <f t="shared" si="5"/>
        <v>0</v>
      </c>
      <c r="F22" s="328"/>
      <c r="G22" s="319"/>
      <c r="H22" s="314">
        <v>0</v>
      </c>
      <c r="I22" s="620">
        <f t="shared" si="6"/>
        <v>0</v>
      </c>
      <c r="J22" s="620">
        <f t="shared" si="8"/>
        <v>0</v>
      </c>
      <c r="K22" s="300">
        <f t="shared" si="9"/>
        <v>0</v>
      </c>
      <c r="L22" s="314">
        <v>0</v>
      </c>
      <c r="M22" s="620">
        <f t="shared" si="7"/>
        <v>0</v>
      </c>
      <c r="N22" s="620">
        <f t="shared" si="10"/>
        <v>0</v>
      </c>
      <c r="O22" s="300">
        <f t="shared" si="11"/>
        <v>0</v>
      </c>
      <c r="P22" s="2"/>
      <c r="Q22" s="4"/>
      <c r="R22" s="2"/>
      <c r="S22" s="2"/>
    </row>
    <row r="23" spans="1:19" s="287" customFormat="1">
      <c r="A23" s="319">
        <f t="shared" si="2"/>
        <v>13</v>
      </c>
      <c r="B23" s="719">
        <f>'P1-Trans Plant'!B22</f>
        <v>45047</v>
      </c>
      <c r="C23" s="298">
        <f t="shared" si="3"/>
        <v>0</v>
      </c>
      <c r="D23" s="298">
        <f t="shared" si="4"/>
        <v>0</v>
      </c>
      <c r="E23" s="298">
        <f t="shared" si="5"/>
        <v>0</v>
      </c>
      <c r="F23" s="328"/>
      <c r="G23" s="319"/>
      <c r="H23" s="314">
        <v>0</v>
      </c>
      <c r="I23" s="620">
        <f t="shared" si="6"/>
        <v>0</v>
      </c>
      <c r="J23" s="620">
        <f t="shared" si="8"/>
        <v>0</v>
      </c>
      <c r="K23" s="300">
        <f t="shared" si="9"/>
        <v>0</v>
      </c>
      <c r="L23" s="314">
        <v>0</v>
      </c>
      <c r="M23" s="620">
        <f t="shared" si="7"/>
        <v>0</v>
      </c>
      <c r="N23" s="620">
        <f t="shared" si="10"/>
        <v>0</v>
      </c>
      <c r="O23" s="300">
        <f t="shared" si="11"/>
        <v>0</v>
      </c>
      <c r="P23" s="2"/>
      <c r="Q23" s="4"/>
      <c r="R23" s="2"/>
      <c r="S23" s="2"/>
    </row>
    <row r="24" spans="1:19" s="287" customFormat="1">
      <c r="A24" s="319">
        <f t="shared" si="2"/>
        <v>14</v>
      </c>
      <c r="B24" s="719">
        <f>'P1-Trans Plant'!B23</f>
        <v>45078</v>
      </c>
      <c r="C24" s="298">
        <f t="shared" si="3"/>
        <v>0</v>
      </c>
      <c r="D24" s="298">
        <f t="shared" si="4"/>
        <v>0</v>
      </c>
      <c r="E24" s="298">
        <f t="shared" si="5"/>
        <v>0</v>
      </c>
      <c r="F24" s="328"/>
      <c r="G24" s="319"/>
      <c r="H24" s="314">
        <v>0</v>
      </c>
      <c r="I24" s="620">
        <f t="shared" si="6"/>
        <v>0</v>
      </c>
      <c r="J24" s="620">
        <f t="shared" si="8"/>
        <v>0</v>
      </c>
      <c r="K24" s="300">
        <f t="shared" si="9"/>
        <v>0</v>
      </c>
      <c r="L24" s="314">
        <v>0</v>
      </c>
      <c r="M24" s="620">
        <f t="shared" si="7"/>
        <v>0</v>
      </c>
      <c r="N24" s="620">
        <f t="shared" si="10"/>
        <v>0</v>
      </c>
      <c r="O24" s="300">
        <f t="shared" si="11"/>
        <v>0</v>
      </c>
      <c r="P24" s="2"/>
      <c r="Q24" s="4"/>
      <c r="R24" s="2"/>
      <c r="S24" s="2"/>
    </row>
    <row r="25" spans="1:19" s="287" customFormat="1">
      <c r="A25" s="319">
        <f t="shared" si="2"/>
        <v>15</v>
      </c>
      <c r="B25" s="719">
        <f>'P1-Trans Plant'!B24</f>
        <v>45108</v>
      </c>
      <c r="C25" s="298">
        <f t="shared" si="3"/>
        <v>0</v>
      </c>
      <c r="D25" s="298">
        <f t="shared" si="4"/>
        <v>0</v>
      </c>
      <c r="E25" s="298">
        <f t="shared" si="5"/>
        <v>0</v>
      </c>
      <c r="F25" s="328"/>
      <c r="G25" s="319"/>
      <c r="H25" s="314">
        <v>0</v>
      </c>
      <c r="I25" s="620">
        <f t="shared" si="6"/>
        <v>0</v>
      </c>
      <c r="J25" s="620">
        <f t="shared" si="8"/>
        <v>0</v>
      </c>
      <c r="K25" s="300">
        <f t="shared" si="9"/>
        <v>0</v>
      </c>
      <c r="L25" s="314">
        <v>0</v>
      </c>
      <c r="M25" s="620">
        <f t="shared" si="7"/>
        <v>0</v>
      </c>
      <c r="N25" s="620">
        <f t="shared" si="10"/>
        <v>0</v>
      </c>
      <c r="O25" s="300">
        <f t="shared" si="11"/>
        <v>0</v>
      </c>
      <c r="P25" s="2"/>
      <c r="Q25" s="4"/>
      <c r="R25" s="2"/>
      <c r="S25" s="2"/>
    </row>
    <row r="26" spans="1:19" s="287" customFormat="1">
      <c r="A26" s="319">
        <f t="shared" si="2"/>
        <v>16</v>
      </c>
      <c r="B26" s="719">
        <f>'P1-Trans Plant'!B25</f>
        <v>45139</v>
      </c>
      <c r="C26" s="298">
        <f t="shared" si="3"/>
        <v>0</v>
      </c>
      <c r="D26" s="298">
        <f t="shared" si="4"/>
        <v>0</v>
      </c>
      <c r="E26" s="298">
        <f t="shared" si="5"/>
        <v>0</v>
      </c>
      <c r="F26" s="328"/>
      <c r="G26" s="319"/>
      <c r="H26" s="314">
        <v>0</v>
      </c>
      <c r="I26" s="620">
        <f t="shared" si="6"/>
        <v>0</v>
      </c>
      <c r="J26" s="620">
        <f t="shared" si="8"/>
        <v>0</v>
      </c>
      <c r="K26" s="300">
        <f t="shared" si="9"/>
        <v>0</v>
      </c>
      <c r="L26" s="314">
        <v>0</v>
      </c>
      <c r="M26" s="620">
        <f t="shared" si="7"/>
        <v>0</v>
      </c>
      <c r="N26" s="620">
        <f t="shared" si="10"/>
        <v>0</v>
      </c>
      <c r="O26" s="300">
        <f t="shared" si="11"/>
        <v>0</v>
      </c>
      <c r="P26" s="2"/>
      <c r="Q26" s="4"/>
      <c r="R26" s="2"/>
      <c r="S26" s="2"/>
    </row>
    <row r="27" spans="1:19" s="287" customFormat="1">
      <c r="A27" s="319">
        <f t="shared" si="2"/>
        <v>17</v>
      </c>
      <c r="B27" s="719">
        <f>'P1-Trans Plant'!B26</f>
        <v>45170</v>
      </c>
      <c r="C27" s="298">
        <f t="shared" si="3"/>
        <v>0</v>
      </c>
      <c r="D27" s="298">
        <f t="shared" si="4"/>
        <v>0</v>
      </c>
      <c r="E27" s="298">
        <f t="shared" si="5"/>
        <v>0</v>
      </c>
      <c r="F27" s="328"/>
      <c r="G27" s="319"/>
      <c r="H27" s="314">
        <v>0</v>
      </c>
      <c r="I27" s="620">
        <f t="shared" si="6"/>
        <v>0</v>
      </c>
      <c r="J27" s="620">
        <f t="shared" si="8"/>
        <v>0</v>
      </c>
      <c r="K27" s="300">
        <f t="shared" si="9"/>
        <v>0</v>
      </c>
      <c r="L27" s="314">
        <v>0</v>
      </c>
      <c r="M27" s="620">
        <f t="shared" si="7"/>
        <v>0</v>
      </c>
      <c r="N27" s="620">
        <f t="shared" si="10"/>
        <v>0</v>
      </c>
      <c r="O27" s="300">
        <f t="shared" si="11"/>
        <v>0</v>
      </c>
      <c r="P27" s="2"/>
      <c r="Q27" s="4"/>
      <c r="R27" s="2"/>
      <c r="S27" s="2"/>
    </row>
    <row r="28" spans="1:19" s="287" customFormat="1">
      <c r="A28" s="319">
        <f t="shared" si="2"/>
        <v>18</v>
      </c>
      <c r="B28" s="719">
        <f>'P1-Trans Plant'!B27</f>
        <v>45200</v>
      </c>
      <c r="C28" s="298">
        <f t="shared" si="3"/>
        <v>0</v>
      </c>
      <c r="D28" s="298">
        <f t="shared" si="4"/>
        <v>0</v>
      </c>
      <c r="E28" s="298">
        <f t="shared" si="5"/>
        <v>0</v>
      </c>
      <c r="F28" s="328"/>
      <c r="G28" s="319"/>
      <c r="H28" s="314">
        <v>0</v>
      </c>
      <c r="I28" s="620">
        <f t="shared" si="6"/>
        <v>0</v>
      </c>
      <c r="J28" s="620">
        <f t="shared" si="8"/>
        <v>0</v>
      </c>
      <c r="K28" s="300">
        <f t="shared" si="9"/>
        <v>0</v>
      </c>
      <c r="L28" s="314">
        <v>0</v>
      </c>
      <c r="M28" s="620">
        <f t="shared" si="7"/>
        <v>0</v>
      </c>
      <c r="N28" s="620">
        <f t="shared" si="10"/>
        <v>0</v>
      </c>
      <c r="O28" s="300">
        <f t="shared" si="11"/>
        <v>0</v>
      </c>
      <c r="P28" s="2"/>
      <c r="Q28" s="4"/>
      <c r="R28" s="2"/>
      <c r="S28" s="2"/>
    </row>
    <row r="29" spans="1:19" s="287" customFormat="1">
      <c r="A29" s="319">
        <f t="shared" si="2"/>
        <v>19</v>
      </c>
      <c r="B29" s="719">
        <f>'P1-Trans Plant'!B28</f>
        <v>45231</v>
      </c>
      <c r="C29" s="298">
        <f t="shared" si="3"/>
        <v>0</v>
      </c>
      <c r="D29" s="298">
        <f t="shared" si="4"/>
        <v>0</v>
      </c>
      <c r="E29" s="298">
        <f t="shared" si="5"/>
        <v>0</v>
      </c>
      <c r="F29" s="328"/>
      <c r="G29" s="319"/>
      <c r="H29" s="314">
        <v>0</v>
      </c>
      <c r="I29" s="620">
        <f t="shared" si="6"/>
        <v>0</v>
      </c>
      <c r="J29" s="620">
        <f t="shared" si="8"/>
        <v>0</v>
      </c>
      <c r="K29" s="300">
        <f t="shared" si="9"/>
        <v>0</v>
      </c>
      <c r="L29" s="314">
        <v>0</v>
      </c>
      <c r="M29" s="620">
        <f t="shared" si="7"/>
        <v>0</v>
      </c>
      <c r="N29" s="620">
        <f t="shared" si="10"/>
        <v>0</v>
      </c>
      <c r="O29" s="300">
        <f t="shared" si="11"/>
        <v>0</v>
      </c>
      <c r="P29" s="2"/>
      <c r="Q29" s="4"/>
      <c r="R29" s="2"/>
      <c r="S29" s="2"/>
    </row>
    <row r="30" spans="1:19" s="287" customFormat="1">
      <c r="A30" s="319">
        <f t="shared" si="2"/>
        <v>20</v>
      </c>
      <c r="B30" s="719">
        <f>'P1-Trans Plant'!B29</f>
        <v>45261</v>
      </c>
      <c r="C30" s="298">
        <f t="shared" si="3"/>
        <v>0</v>
      </c>
      <c r="D30" s="298">
        <f t="shared" si="4"/>
        <v>0</v>
      </c>
      <c r="E30" s="298">
        <f t="shared" si="5"/>
        <v>0</v>
      </c>
      <c r="F30" s="328"/>
      <c r="G30" s="319"/>
      <c r="H30" s="314">
        <v>0</v>
      </c>
      <c r="I30" s="620">
        <f t="shared" si="6"/>
        <v>0</v>
      </c>
      <c r="J30" s="620">
        <f t="shared" si="8"/>
        <v>0</v>
      </c>
      <c r="K30" s="300">
        <f t="shared" si="9"/>
        <v>0</v>
      </c>
      <c r="L30" s="314">
        <v>0</v>
      </c>
      <c r="M30" s="620">
        <f t="shared" si="7"/>
        <v>0</v>
      </c>
      <c r="N30" s="620">
        <f t="shared" si="10"/>
        <v>0</v>
      </c>
      <c r="O30" s="300">
        <f t="shared" si="11"/>
        <v>0</v>
      </c>
      <c r="P30" s="2"/>
      <c r="Q30" s="4"/>
      <c r="R30" s="2"/>
      <c r="S30" s="2"/>
    </row>
    <row r="31" spans="1:19" s="287" customFormat="1">
      <c r="A31" s="319">
        <f t="shared" si="2"/>
        <v>21</v>
      </c>
      <c r="B31" s="719">
        <f>'P1-Trans Plant'!B30</f>
        <v>45292</v>
      </c>
      <c r="C31" s="298">
        <f t="shared" si="3"/>
        <v>0</v>
      </c>
      <c r="D31" s="298">
        <f t="shared" si="4"/>
        <v>0</v>
      </c>
      <c r="E31" s="298">
        <f t="shared" si="5"/>
        <v>0</v>
      </c>
      <c r="F31" s="328"/>
      <c r="G31" s="319"/>
      <c r="H31" s="314">
        <v>0</v>
      </c>
      <c r="I31" s="620">
        <f t="shared" si="6"/>
        <v>0</v>
      </c>
      <c r="J31" s="620">
        <f t="shared" si="8"/>
        <v>0</v>
      </c>
      <c r="K31" s="300">
        <f t="shared" si="9"/>
        <v>0</v>
      </c>
      <c r="L31" s="314">
        <v>0</v>
      </c>
      <c r="M31" s="620">
        <f t="shared" si="7"/>
        <v>0</v>
      </c>
      <c r="N31" s="620">
        <f t="shared" si="10"/>
        <v>0</v>
      </c>
      <c r="O31" s="300">
        <f t="shared" si="11"/>
        <v>0</v>
      </c>
      <c r="P31" s="2"/>
      <c r="Q31" s="4"/>
      <c r="R31" s="2"/>
      <c r="S31" s="2"/>
    </row>
    <row r="32" spans="1:19" s="287" customFormat="1">
      <c r="A32" s="319">
        <f t="shared" si="2"/>
        <v>22</v>
      </c>
      <c r="B32" s="719">
        <f>'P1-Trans Plant'!B31</f>
        <v>45323</v>
      </c>
      <c r="C32" s="298">
        <f t="shared" si="3"/>
        <v>0</v>
      </c>
      <c r="D32" s="298">
        <f t="shared" si="4"/>
        <v>0</v>
      </c>
      <c r="E32" s="298">
        <f t="shared" si="5"/>
        <v>0</v>
      </c>
      <c r="F32" s="328"/>
      <c r="G32" s="319"/>
      <c r="H32" s="314">
        <v>0</v>
      </c>
      <c r="I32" s="620">
        <f t="shared" si="6"/>
        <v>0</v>
      </c>
      <c r="J32" s="620">
        <f t="shared" si="8"/>
        <v>0</v>
      </c>
      <c r="K32" s="300">
        <f t="shared" si="9"/>
        <v>0</v>
      </c>
      <c r="L32" s="314">
        <v>0</v>
      </c>
      <c r="M32" s="620">
        <f t="shared" si="7"/>
        <v>0</v>
      </c>
      <c r="N32" s="620">
        <f t="shared" si="10"/>
        <v>0</v>
      </c>
      <c r="O32" s="300">
        <f t="shared" si="11"/>
        <v>0</v>
      </c>
      <c r="P32" s="2"/>
      <c r="Q32" s="4"/>
      <c r="R32" s="2"/>
      <c r="S32" s="2"/>
    </row>
    <row r="33" spans="1:19" s="287" customFormat="1">
      <c r="A33" s="319">
        <f t="shared" si="2"/>
        <v>23</v>
      </c>
      <c r="B33" s="719">
        <f>'P1-Trans Plant'!B32</f>
        <v>45352</v>
      </c>
      <c r="C33" s="298">
        <f t="shared" si="3"/>
        <v>0</v>
      </c>
      <c r="D33" s="298">
        <f t="shared" si="4"/>
        <v>0</v>
      </c>
      <c r="E33" s="298">
        <f t="shared" si="5"/>
        <v>0</v>
      </c>
      <c r="F33" s="328"/>
      <c r="G33" s="319"/>
      <c r="H33" s="314">
        <v>0</v>
      </c>
      <c r="I33" s="620">
        <f t="shared" si="6"/>
        <v>0</v>
      </c>
      <c r="J33" s="620">
        <f t="shared" si="8"/>
        <v>0</v>
      </c>
      <c r="K33" s="300">
        <f t="shared" si="9"/>
        <v>0</v>
      </c>
      <c r="L33" s="314">
        <v>0</v>
      </c>
      <c r="M33" s="620">
        <f t="shared" si="7"/>
        <v>0</v>
      </c>
      <c r="N33" s="620">
        <f t="shared" si="10"/>
        <v>0</v>
      </c>
      <c r="O33" s="300">
        <f t="shared" si="11"/>
        <v>0</v>
      </c>
      <c r="P33" s="2"/>
      <c r="Q33" s="4"/>
      <c r="R33" s="2"/>
      <c r="S33" s="2"/>
    </row>
    <row r="34" spans="1:19" s="287" customFormat="1">
      <c r="A34" s="319">
        <f t="shared" si="2"/>
        <v>24</v>
      </c>
      <c r="B34" s="719">
        <f>'P1-Trans Plant'!B33</f>
        <v>45383</v>
      </c>
      <c r="C34" s="298">
        <f t="shared" si="3"/>
        <v>0</v>
      </c>
      <c r="D34" s="298">
        <f t="shared" si="4"/>
        <v>0</v>
      </c>
      <c r="E34" s="298">
        <f t="shared" si="5"/>
        <v>0</v>
      </c>
      <c r="F34" s="328"/>
      <c r="G34" s="319"/>
      <c r="H34" s="314">
        <v>0</v>
      </c>
      <c r="I34" s="620">
        <f t="shared" si="6"/>
        <v>0</v>
      </c>
      <c r="J34" s="620">
        <f t="shared" si="8"/>
        <v>0</v>
      </c>
      <c r="K34" s="300">
        <f t="shared" si="9"/>
        <v>0</v>
      </c>
      <c r="L34" s="314">
        <v>0</v>
      </c>
      <c r="M34" s="620">
        <f t="shared" si="7"/>
        <v>0</v>
      </c>
      <c r="N34" s="620">
        <f t="shared" si="10"/>
        <v>0</v>
      </c>
      <c r="O34" s="300">
        <f t="shared" si="11"/>
        <v>0</v>
      </c>
      <c r="P34" s="2"/>
      <c r="Q34" s="4"/>
      <c r="R34" s="2"/>
      <c r="S34" s="2"/>
    </row>
    <row r="35" spans="1:19" s="287" customFormat="1">
      <c r="A35" s="319">
        <f t="shared" si="2"/>
        <v>25</v>
      </c>
      <c r="B35" s="719">
        <f>'P1-Trans Plant'!B34</f>
        <v>45413</v>
      </c>
      <c r="C35" s="298">
        <f t="shared" si="3"/>
        <v>0</v>
      </c>
      <c r="D35" s="298">
        <f t="shared" si="4"/>
        <v>0</v>
      </c>
      <c r="E35" s="298">
        <f t="shared" si="5"/>
        <v>0</v>
      </c>
      <c r="F35" s="328"/>
      <c r="G35" s="319"/>
      <c r="H35" s="314">
        <v>0</v>
      </c>
      <c r="I35" s="620">
        <f t="shared" si="6"/>
        <v>0</v>
      </c>
      <c r="J35" s="620">
        <f t="shared" si="8"/>
        <v>0</v>
      </c>
      <c r="K35" s="300">
        <f t="shared" si="9"/>
        <v>0</v>
      </c>
      <c r="L35" s="314">
        <v>0</v>
      </c>
      <c r="M35" s="620">
        <f t="shared" si="7"/>
        <v>0</v>
      </c>
      <c r="N35" s="620">
        <f t="shared" si="10"/>
        <v>0</v>
      </c>
      <c r="O35" s="300">
        <f t="shared" si="11"/>
        <v>0</v>
      </c>
      <c r="P35" s="2"/>
      <c r="Q35" s="4"/>
      <c r="R35" s="2"/>
      <c r="S35" s="2"/>
    </row>
    <row r="36" spans="1:19" s="287" customFormat="1">
      <c r="A36" s="319">
        <f t="shared" si="2"/>
        <v>26</v>
      </c>
      <c r="B36" s="719">
        <f>'P1-Trans Plant'!B35</f>
        <v>45444</v>
      </c>
      <c r="C36" s="298">
        <f t="shared" si="3"/>
        <v>0</v>
      </c>
      <c r="D36" s="298">
        <f t="shared" si="4"/>
        <v>0</v>
      </c>
      <c r="E36" s="298">
        <f t="shared" si="5"/>
        <v>0</v>
      </c>
      <c r="F36" s="328"/>
      <c r="G36" s="319"/>
      <c r="H36" s="314">
        <v>0</v>
      </c>
      <c r="I36" s="620">
        <f t="shared" si="6"/>
        <v>0</v>
      </c>
      <c r="J36" s="620">
        <f t="shared" si="8"/>
        <v>0</v>
      </c>
      <c r="K36" s="300">
        <f t="shared" si="9"/>
        <v>0</v>
      </c>
      <c r="L36" s="314">
        <v>0</v>
      </c>
      <c r="M36" s="620">
        <f t="shared" si="7"/>
        <v>0</v>
      </c>
      <c r="N36" s="620">
        <f t="shared" si="10"/>
        <v>0</v>
      </c>
      <c r="O36" s="300">
        <f t="shared" si="11"/>
        <v>0</v>
      </c>
      <c r="P36" s="2"/>
      <c r="Q36" s="4"/>
      <c r="R36" s="2"/>
      <c r="S36" s="2"/>
    </row>
    <row r="37" spans="1:19" s="287" customFormat="1">
      <c r="A37" s="319">
        <f t="shared" si="2"/>
        <v>27</v>
      </c>
      <c r="B37" s="719">
        <f>'P1-Trans Plant'!B36</f>
        <v>45474</v>
      </c>
      <c r="C37" s="298">
        <f t="shared" si="3"/>
        <v>0</v>
      </c>
      <c r="D37" s="298">
        <f t="shared" si="4"/>
        <v>0</v>
      </c>
      <c r="E37" s="298">
        <f t="shared" si="5"/>
        <v>0</v>
      </c>
      <c r="F37" s="328"/>
      <c r="G37" s="319"/>
      <c r="H37" s="314">
        <v>0</v>
      </c>
      <c r="I37" s="620">
        <f t="shared" si="6"/>
        <v>0</v>
      </c>
      <c r="J37" s="620">
        <f t="shared" si="8"/>
        <v>0</v>
      </c>
      <c r="K37" s="300">
        <f t="shared" si="9"/>
        <v>0</v>
      </c>
      <c r="L37" s="314">
        <v>0</v>
      </c>
      <c r="M37" s="620">
        <f t="shared" si="7"/>
        <v>0</v>
      </c>
      <c r="N37" s="620">
        <f t="shared" si="10"/>
        <v>0</v>
      </c>
      <c r="O37" s="300">
        <f t="shared" si="11"/>
        <v>0</v>
      </c>
      <c r="P37" s="2"/>
      <c r="Q37" s="4"/>
      <c r="R37" s="2"/>
      <c r="S37" s="2"/>
    </row>
    <row r="38" spans="1:19" s="287" customFormat="1">
      <c r="A38" s="319">
        <f t="shared" si="2"/>
        <v>28</v>
      </c>
      <c r="B38" s="719">
        <f>'P1-Trans Plant'!B37</f>
        <v>45505</v>
      </c>
      <c r="C38" s="298">
        <f t="shared" si="3"/>
        <v>0</v>
      </c>
      <c r="D38" s="298">
        <f t="shared" si="4"/>
        <v>0</v>
      </c>
      <c r="E38" s="298">
        <f t="shared" si="5"/>
        <v>0</v>
      </c>
      <c r="F38" s="328"/>
      <c r="G38" s="319"/>
      <c r="H38" s="314">
        <v>0</v>
      </c>
      <c r="I38" s="620">
        <f t="shared" si="6"/>
        <v>0</v>
      </c>
      <c r="J38" s="620">
        <f t="shared" si="8"/>
        <v>0</v>
      </c>
      <c r="K38" s="300">
        <f t="shared" si="9"/>
        <v>0</v>
      </c>
      <c r="L38" s="314">
        <v>0</v>
      </c>
      <c r="M38" s="620">
        <f t="shared" si="7"/>
        <v>0</v>
      </c>
      <c r="N38" s="620">
        <f t="shared" si="10"/>
        <v>0</v>
      </c>
      <c r="O38" s="300">
        <f t="shared" si="11"/>
        <v>0</v>
      </c>
      <c r="P38" s="2"/>
      <c r="Q38" s="4"/>
      <c r="R38" s="2"/>
      <c r="S38" s="2"/>
    </row>
    <row r="39" spans="1:19" s="287" customFormat="1">
      <c r="A39" s="319">
        <f t="shared" si="2"/>
        <v>29</v>
      </c>
      <c r="B39" s="719">
        <f>'P1-Trans Plant'!B38</f>
        <v>45536</v>
      </c>
      <c r="C39" s="298">
        <f t="shared" si="3"/>
        <v>0</v>
      </c>
      <c r="D39" s="298">
        <f t="shared" si="4"/>
        <v>0</v>
      </c>
      <c r="E39" s="298">
        <f t="shared" si="5"/>
        <v>0</v>
      </c>
      <c r="F39" s="328"/>
      <c r="G39" s="319"/>
      <c r="H39" s="314">
        <v>0</v>
      </c>
      <c r="I39" s="620">
        <f t="shared" si="6"/>
        <v>0</v>
      </c>
      <c r="J39" s="620">
        <f t="shared" si="8"/>
        <v>0</v>
      </c>
      <c r="K39" s="300">
        <f t="shared" si="9"/>
        <v>0</v>
      </c>
      <c r="L39" s="314">
        <v>0</v>
      </c>
      <c r="M39" s="620">
        <f t="shared" si="7"/>
        <v>0</v>
      </c>
      <c r="N39" s="620">
        <f t="shared" si="10"/>
        <v>0</v>
      </c>
      <c r="O39" s="300">
        <f t="shared" si="11"/>
        <v>0</v>
      </c>
      <c r="P39" s="2"/>
      <c r="Q39" s="4"/>
      <c r="R39" s="2"/>
      <c r="S39" s="2"/>
    </row>
    <row r="40" spans="1:19" s="287" customFormat="1">
      <c r="A40" s="319">
        <f t="shared" si="2"/>
        <v>30</v>
      </c>
      <c r="B40" s="719">
        <f>'P1-Trans Plant'!B39</f>
        <v>45566</v>
      </c>
      <c r="C40" s="298">
        <f t="shared" si="3"/>
        <v>0</v>
      </c>
      <c r="D40" s="298">
        <f t="shared" si="4"/>
        <v>0</v>
      </c>
      <c r="E40" s="298">
        <f t="shared" si="5"/>
        <v>0</v>
      </c>
      <c r="F40" s="328"/>
      <c r="G40" s="319"/>
      <c r="H40" s="314">
        <v>0</v>
      </c>
      <c r="I40" s="620">
        <f t="shared" si="6"/>
        <v>0</v>
      </c>
      <c r="J40" s="620">
        <f t="shared" si="8"/>
        <v>0</v>
      </c>
      <c r="K40" s="300">
        <f t="shared" si="9"/>
        <v>0</v>
      </c>
      <c r="L40" s="314">
        <v>0</v>
      </c>
      <c r="M40" s="620">
        <f t="shared" si="7"/>
        <v>0</v>
      </c>
      <c r="N40" s="620">
        <f t="shared" si="10"/>
        <v>0</v>
      </c>
      <c r="O40" s="300">
        <f t="shared" si="11"/>
        <v>0</v>
      </c>
      <c r="P40" s="2"/>
      <c r="Q40" s="4"/>
      <c r="R40" s="2"/>
      <c r="S40" s="2"/>
    </row>
    <row r="41" spans="1:19" s="287" customFormat="1">
      <c r="A41" s="319">
        <f t="shared" si="2"/>
        <v>31</v>
      </c>
      <c r="B41" s="719">
        <f>'P1-Trans Plant'!B40</f>
        <v>45597</v>
      </c>
      <c r="C41" s="298">
        <f t="shared" si="3"/>
        <v>0</v>
      </c>
      <c r="D41" s="298">
        <f t="shared" si="4"/>
        <v>0</v>
      </c>
      <c r="E41" s="298">
        <f t="shared" si="5"/>
        <v>0</v>
      </c>
      <c r="F41" s="328"/>
      <c r="G41" s="319"/>
      <c r="H41" s="314">
        <v>0</v>
      </c>
      <c r="I41" s="620">
        <f t="shared" si="6"/>
        <v>0</v>
      </c>
      <c r="J41" s="620">
        <f t="shared" si="8"/>
        <v>0</v>
      </c>
      <c r="K41" s="300">
        <f t="shared" si="9"/>
        <v>0</v>
      </c>
      <c r="L41" s="314">
        <v>0</v>
      </c>
      <c r="M41" s="620">
        <f t="shared" si="7"/>
        <v>0</v>
      </c>
      <c r="N41" s="620">
        <f t="shared" si="10"/>
        <v>0</v>
      </c>
      <c r="O41" s="300">
        <f t="shared" si="11"/>
        <v>0</v>
      </c>
      <c r="P41" s="2"/>
      <c r="Q41" s="4"/>
      <c r="R41" s="2"/>
      <c r="S41" s="2"/>
    </row>
    <row r="42" spans="1:19" s="287" customFormat="1">
      <c r="A42" s="319">
        <f t="shared" si="2"/>
        <v>32</v>
      </c>
      <c r="B42" s="719">
        <f>'P1-Trans Plant'!B41</f>
        <v>45627</v>
      </c>
      <c r="C42" s="298">
        <f t="shared" si="3"/>
        <v>0</v>
      </c>
      <c r="D42" s="298">
        <f t="shared" si="4"/>
        <v>0</v>
      </c>
      <c r="E42" s="298">
        <f t="shared" si="5"/>
        <v>0</v>
      </c>
      <c r="F42" s="328"/>
      <c r="G42" s="319"/>
      <c r="H42" s="314">
        <v>0</v>
      </c>
      <c r="I42" s="620">
        <f t="shared" si="6"/>
        <v>0</v>
      </c>
      <c r="J42" s="620">
        <f t="shared" si="8"/>
        <v>0</v>
      </c>
      <c r="K42" s="300">
        <f t="shared" si="9"/>
        <v>0</v>
      </c>
      <c r="L42" s="314">
        <v>0</v>
      </c>
      <c r="M42" s="620">
        <f t="shared" si="7"/>
        <v>0</v>
      </c>
      <c r="N42" s="620">
        <f t="shared" si="10"/>
        <v>0</v>
      </c>
      <c r="O42" s="300">
        <f t="shared" si="11"/>
        <v>0</v>
      </c>
      <c r="P42" s="2"/>
      <c r="Q42" s="4"/>
      <c r="R42" s="2"/>
      <c r="S42" s="2"/>
    </row>
    <row r="43" spans="1:19" s="287" customFormat="1">
      <c r="A43" s="319"/>
      <c r="B43" s="319"/>
      <c r="G43" s="319"/>
      <c r="H43" s="332"/>
      <c r="I43" s="306"/>
      <c r="J43" s="306"/>
      <c r="K43" s="335"/>
      <c r="L43" s="336"/>
      <c r="M43" s="306"/>
      <c r="N43" s="306"/>
      <c r="O43" s="337"/>
      <c r="P43" s="2"/>
      <c r="Q43" s="4"/>
      <c r="R43" s="2"/>
      <c r="S43" s="2"/>
    </row>
    <row r="44" spans="1:19" s="287" customFormat="1">
      <c r="A44" s="319">
        <v>33</v>
      </c>
      <c r="B44" s="257" t="s">
        <v>377</v>
      </c>
      <c r="C44" s="262"/>
      <c r="D44" s="265">
        <f>SUM(D31:D42)</f>
        <v>0</v>
      </c>
      <c r="E44" s="262"/>
      <c r="G44" s="319"/>
      <c r="H44" s="331"/>
      <c r="I44" s="265">
        <f>SUM(I31:I42)</f>
        <v>0</v>
      </c>
      <c r="J44" s="263"/>
      <c r="K44" s="335"/>
      <c r="L44" s="331"/>
      <c r="M44" s="265">
        <f>SUM(M31:M42)</f>
        <v>0</v>
      </c>
      <c r="N44" s="263"/>
      <c r="O44" s="337"/>
      <c r="P44" s="2"/>
      <c r="Q44" s="4"/>
      <c r="R44" s="2"/>
      <c r="S44" s="2"/>
    </row>
    <row r="45" spans="1:19" s="287" customFormat="1">
      <c r="A45" s="319">
        <v>34</v>
      </c>
      <c r="B45" s="257" t="s">
        <v>378</v>
      </c>
      <c r="C45" s="262">
        <f>SUM(C30:C42)/13</f>
        <v>0</v>
      </c>
      <c r="D45" s="267"/>
      <c r="E45" s="262">
        <f>SUM(E30:E42)/13</f>
        <v>0</v>
      </c>
      <c r="G45" s="319"/>
      <c r="H45" s="331">
        <f>SUM(H30:H42)/13</f>
        <v>0</v>
      </c>
      <c r="I45" s="267"/>
      <c r="J45" s="263">
        <f>SUM(J30:J42)/13</f>
        <v>0</v>
      </c>
      <c r="K45" s="264">
        <f>SUM(K30:K42)/13</f>
        <v>0</v>
      </c>
      <c r="L45" s="331">
        <f>SUM(L30:L42)/13</f>
        <v>0</v>
      </c>
      <c r="M45" s="267"/>
      <c r="N45" s="263">
        <f>SUM(N30:N42)/13</f>
        <v>0</v>
      </c>
      <c r="O45" s="264">
        <f>SUM(O30:O42)/13</f>
        <v>0</v>
      </c>
      <c r="P45" s="2"/>
      <c r="Q45" s="4"/>
      <c r="R45" s="2"/>
      <c r="S45" s="2"/>
    </row>
    <row r="46" spans="1:19" s="287" customFormat="1" ht="14.4" thickBot="1">
      <c r="A46" s="296"/>
      <c r="B46" s="257"/>
      <c r="G46" s="319"/>
      <c r="H46" s="332"/>
      <c r="I46" s="306"/>
      <c r="J46" s="306"/>
      <c r="K46" s="335"/>
      <c r="L46" s="336"/>
      <c r="M46" s="306"/>
      <c r="N46" s="306"/>
      <c r="O46" s="337"/>
      <c r="P46" s="2"/>
      <c r="Q46" s="4"/>
      <c r="R46" s="2"/>
      <c r="S46" s="2"/>
    </row>
    <row r="47" spans="1:19" s="287" customFormat="1" ht="14.4" thickBot="1">
      <c r="A47" s="319">
        <v>35</v>
      </c>
      <c r="B47" s="257" t="s">
        <v>551</v>
      </c>
      <c r="F47" s="338">
        <f>O47+K47</f>
        <v>0</v>
      </c>
      <c r="G47" s="319"/>
      <c r="H47" s="332"/>
      <c r="I47" s="306"/>
      <c r="J47" s="257"/>
      <c r="K47" s="290">
        <f>ROUND(K45*I11,2)</f>
        <v>0</v>
      </c>
      <c r="L47" s="336"/>
      <c r="M47" s="306"/>
      <c r="N47" s="257"/>
      <c r="O47" s="290">
        <f>ROUND(O45*M11,2)</f>
        <v>0</v>
      </c>
      <c r="P47" s="2"/>
      <c r="Q47" s="4"/>
      <c r="R47" s="2"/>
      <c r="S47" s="2"/>
    </row>
    <row r="48" spans="1:19" s="287" customFormat="1">
      <c r="A48" s="319"/>
      <c r="F48" s="287" t="s">
        <v>704</v>
      </c>
      <c r="G48" s="319"/>
      <c r="H48" s="656"/>
      <c r="J48" s="257"/>
      <c r="K48" s="657" t="s">
        <v>704</v>
      </c>
      <c r="L48" s="658"/>
      <c r="N48" s="257"/>
      <c r="O48" s="659" t="s">
        <v>704</v>
      </c>
      <c r="P48" s="2"/>
      <c r="Q48" s="4"/>
      <c r="R48" s="2"/>
      <c r="S48" s="2"/>
    </row>
    <row r="49" spans="1:19" s="287" customFormat="1" ht="26.4" customHeight="1">
      <c r="A49" s="296"/>
      <c r="B49" s="319"/>
      <c r="G49" s="319"/>
      <c r="H49" s="301"/>
      <c r="I49" s="877" t="s">
        <v>1179</v>
      </c>
      <c r="J49" s="877" t="s">
        <v>1180</v>
      </c>
      <c r="K49" s="874" t="s">
        <v>1181</v>
      </c>
      <c r="L49" s="875"/>
      <c r="M49" s="877" t="s">
        <v>1182</v>
      </c>
      <c r="N49" s="877" t="s">
        <v>1183</v>
      </c>
      <c r="O49" s="876" t="s">
        <v>1184</v>
      </c>
      <c r="P49" s="2"/>
      <c r="Q49" s="4"/>
      <c r="R49" s="2"/>
      <c r="S49" s="2"/>
    </row>
    <row r="50" spans="1:19" s="287" customFormat="1">
      <c r="A50" s="321" t="s">
        <v>155</v>
      </c>
      <c r="B50" s="319"/>
      <c r="G50" s="319"/>
      <c r="H50" s="306"/>
      <c r="I50" s="306"/>
      <c r="J50" s="306"/>
      <c r="K50" s="306"/>
      <c r="L50" s="307"/>
      <c r="M50" s="306"/>
      <c r="N50" s="306"/>
      <c r="O50" s="308"/>
      <c r="P50" s="2"/>
      <c r="Q50" s="4"/>
      <c r="R50" s="2"/>
      <c r="S50" s="2"/>
    </row>
    <row r="51" spans="1:19" s="287" customFormat="1">
      <c r="A51" s="296" t="s">
        <v>76</v>
      </c>
      <c r="B51" s="320" t="s">
        <v>537</v>
      </c>
      <c r="G51" s="319"/>
      <c r="H51" s="306"/>
      <c r="I51" s="306"/>
      <c r="J51" s="306"/>
      <c r="K51" s="306"/>
      <c r="L51" s="307"/>
      <c r="M51" s="306"/>
      <c r="N51" s="306"/>
      <c r="O51" s="308"/>
      <c r="P51" s="2"/>
      <c r="Q51" s="4"/>
      <c r="R51" s="2"/>
      <c r="S51" s="2"/>
    </row>
    <row r="52" spans="1:19" s="16" customFormat="1" ht="15" customHeight="1">
      <c r="A52" s="296" t="s">
        <v>77</v>
      </c>
      <c r="B52" s="320" t="s">
        <v>538</v>
      </c>
      <c r="C52" s="37"/>
      <c r="D52" s="37"/>
      <c r="E52" s="37"/>
      <c r="F52" s="37"/>
      <c r="G52" s="318"/>
      <c r="H52" s="2"/>
      <c r="I52" s="2"/>
      <c r="J52" s="2"/>
      <c r="P52" s="2"/>
      <c r="Q52" s="4"/>
      <c r="R52" s="2"/>
      <c r="S52" s="2"/>
    </row>
    <row r="53" spans="1:19" s="16" customFormat="1" ht="15" customHeight="1">
      <c r="A53" s="296" t="s">
        <v>78</v>
      </c>
      <c r="B53" s="320" t="s">
        <v>706</v>
      </c>
      <c r="C53" s="37"/>
      <c r="D53" s="37"/>
      <c r="E53" s="37"/>
      <c r="F53" s="37"/>
      <c r="G53" s="318"/>
      <c r="H53" s="2"/>
      <c r="I53" s="2"/>
      <c r="J53" s="2"/>
      <c r="P53" s="2"/>
      <c r="Q53" s="4"/>
      <c r="R53" s="2"/>
      <c r="S53" s="2"/>
    </row>
    <row r="54" spans="1:19" ht="31.2" customHeight="1">
      <c r="A54" s="296" t="s">
        <v>79</v>
      </c>
      <c r="B54" s="954" t="s">
        <v>1266</v>
      </c>
      <c r="C54" s="954"/>
      <c r="D54" s="954"/>
      <c r="E54" s="954"/>
      <c r="F54" s="954"/>
      <c r="G54" s="954"/>
      <c r="H54" s="954"/>
      <c r="I54" s="954"/>
      <c r="J54" s="954"/>
      <c r="K54" s="954"/>
      <c r="L54" s="954"/>
      <c r="M54" s="954"/>
      <c r="N54" s="954"/>
      <c r="O54" s="954"/>
    </row>
    <row r="55" spans="1:19" ht="15" customHeight="1">
      <c r="A55" s="35"/>
      <c r="B55" s="36"/>
      <c r="C55" s="37"/>
      <c r="D55" s="37"/>
      <c r="E55" s="37"/>
      <c r="F55" s="37"/>
      <c r="G55" s="318"/>
    </row>
    <row r="56" spans="1:19" ht="15" customHeight="1">
      <c r="A56" s="35"/>
      <c r="B56" s="36"/>
      <c r="C56" s="37"/>
      <c r="D56" s="37"/>
      <c r="E56" s="37"/>
      <c r="F56" s="37"/>
      <c r="G56" s="318"/>
    </row>
    <row r="57" spans="1:19" ht="15" customHeight="1">
      <c r="A57" s="35"/>
      <c r="B57" s="36"/>
      <c r="C57" s="37"/>
      <c r="D57" s="37"/>
      <c r="E57" s="37"/>
      <c r="F57" s="37"/>
      <c r="G57" s="318"/>
    </row>
    <row r="58" spans="1:19" ht="15" customHeight="1">
      <c r="A58" s="35"/>
      <c r="B58" s="36"/>
      <c r="C58" s="37"/>
      <c r="D58" s="37"/>
      <c r="E58" s="37"/>
      <c r="F58" s="37"/>
      <c r="G58" s="318"/>
    </row>
    <row r="59" spans="1:19" ht="15" customHeight="1">
      <c r="A59" s="35"/>
      <c r="B59" s="36"/>
      <c r="C59" s="37"/>
      <c r="D59" s="37"/>
      <c r="E59" s="37"/>
      <c r="F59" s="37"/>
      <c r="G59" s="318"/>
    </row>
    <row r="60" spans="1:19">
      <c r="A60" s="35"/>
      <c r="B60" s="36"/>
      <c r="C60" s="37"/>
      <c r="D60" s="37"/>
      <c r="E60" s="37"/>
      <c r="F60" s="37"/>
      <c r="G60" s="318"/>
    </row>
    <row r="61" spans="1:19">
      <c r="A61" s="35"/>
      <c r="B61" s="36"/>
      <c r="C61" s="37"/>
      <c r="D61" s="37"/>
      <c r="E61" s="37"/>
      <c r="F61" s="37"/>
      <c r="G61" s="318"/>
    </row>
    <row r="62" spans="1:19">
      <c r="A62" s="35"/>
      <c r="B62" s="36"/>
      <c r="C62" s="37"/>
      <c r="D62" s="37"/>
      <c r="E62" s="37"/>
      <c r="F62" s="37"/>
      <c r="G62" s="318"/>
    </row>
    <row r="63" spans="1:19">
      <c r="A63" s="35"/>
      <c r="B63" s="36"/>
      <c r="C63" s="37"/>
      <c r="D63" s="37"/>
      <c r="E63" s="37"/>
      <c r="F63" s="37"/>
      <c r="G63" s="318"/>
    </row>
    <row r="64" spans="1:19">
      <c r="A64" s="35"/>
      <c r="B64" s="36"/>
      <c r="C64" s="37"/>
      <c r="D64" s="37"/>
      <c r="E64" s="37"/>
      <c r="F64" s="37"/>
      <c r="G64" s="318"/>
    </row>
    <row r="65" spans="1:7">
      <c r="A65" s="35"/>
      <c r="B65" s="36"/>
      <c r="C65" s="37"/>
      <c r="D65" s="37"/>
      <c r="E65" s="37"/>
      <c r="F65" s="37"/>
      <c r="G65" s="318"/>
    </row>
    <row r="66" spans="1:7">
      <c r="A66" s="35"/>
      <c r="B66" s="36"/>
      <c r="C66" s="37"/>
      <c r="D66" s="37"/>
      <c r="E66" s="37"/>
      <c r="F66" s="37"/>
      <c r="G66" s="318"/>
    </row>
    <row r="67" spans="1:7">
      <c r="A67" s="35"/>
      <c r="B67" s="36"/>
      <c r="C67" s="37"/>
      <c r="D67" s="37"/>
      <c r="E67" s="37"/>
      <c r="F67" s="37"/>
      <c r="G67" s="318"/>
    </row>
    <row r="68" spans="1:7">
      <c r="A68" s="35"/>
      <c r="B68" s="36"/>
      <c r="C68" s="37"/>
      <c r="D68" s="37"/>
      <c r="E68" s="37"/>
      <c r="F68" s="37"/>
      <c r="G68" s="318"/>
    </row>
    <row r="69" spans="1:7">
      <c r="A69" s="35"/>
      <c r="B69" s="36"/>
      <c r="C69" s="37"/>
      <c r="D69" s="37"/>
      <c r="E69" s="37"/>
      <c r="F69" s="37"/>
      <c r="G69" s="318"/>
    </row>
    <row r="70" spans="1:7">
      <c r="A70" s="35"/>
      <c r="B70" s="36"/>
      <c r="C70" s="37"/>
      <c r="D70" s="37"/>
      <c r="E70" s="37"/>
      <c r="F70" s="37"/>
      <c r="G70" s="318"/>
    </row>
    <row r="93" spans="11:12">
      <c r="K93" s="3"/>
    </row>
    <row r="94" spans="11:12">
      <c r="K94" s="3"/>
      <c r="L94" s="6"/>
    </row>
    <row r="95" spans="11:12">
      <c r="K95" s="3"/>
    </row>
    <row r="98" spans="1:17" ht="102" customHeight="1"/>
    <row r="99" spans="1:17" s="16" customFormat="1">
      <c r="A99" s="1"/>
      <c r="B99" s="28"/>
      <c r="C99" s="2"/>
      <c r="D99" s="2"/>
      <c r="E99" s="2"/>
      <c r="F99" s="2"/>
      <c r="G99" s="28"/>
      <c r="H99" s="2"/>
      <c r="I99" s="2"/>
      <c r="J99" s="2"/>
      <c r="Q99" s="15"/>
    </row>
    <row r="100" spans="1:17" s="16" customFormat="1" ht="63.75" customHeight="1">
      <c r="A100" s="1"/>
      <c r="B100" s="28"/>
      <c r="C100" s="2"/>
      <c r="D100" s="2"/>
      <c r="E100" s="2"/>
      <c r="F100" s="2"/>
      <c r="G100" s="28"/>
      <c r="H100" s="2"/>
      <c r="I100" s="2"/>
      <c r="J100" s="2"/>
      <c r="Q100" s="15"/>
    </row>
    <row r="116" spans="1:17" s="16" customFormat="1">
      <c r="A116" s="1"/>
      <c r="B116" s="28"/>
      <c r="C116" s="2"/>
      <c r="D116" s="2"/>
      <c r="E116" s="2"/>
      <c r="F116" s="2"/>
      <c r="G116" s="28"/>
      <c r="H116" s="2"/>
      <c r="I116" s="2"/>
      <c r="J116" s="2"/>
      <c r="K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ht="82.5" customHeight="1">
      <c r="A119" s="1"/>
      <c r="B119" s="28"/>
      <c r="C119" s="2"/>
      <c r="D119" s="2"/>
      <c r="E119" s="2"/>
      <c r="F119" s="2"/>
      <c r="G119" s="28"/>
      <c r="H119" s="2"/>
      <c r="I119" s="2"/>
      <c r="J119" s="2"/>
      <c r="K119" s="30"/>
      <c r="L119" s="30"/>
      <c r="Q119" s="15"/>
    </row>
    <row r="120" spans="1:17" s="16" customFormat="1">
      <c r="A120" s="1"/>
      <c r="B120" s="28"/>
      <c r="C120" s="2"/>
      <c r="D120" s="2"/>
      <c r="E120" s="2"/>
      <c r="F120" s="2"/>
      <c r="G120" s="28"/>
      <c r="H120" s="2"/>
      <c r="I120" s="2"/>
      <c r="J120" s="2"/>
      <c r="K120" s="2"/>
      <c r="L120" s="2"/>
      <c r="Q120" s="15"/>
    </row>
    <row r="121" spans="1:17" s="16" customFormat="1">
      <c r="A121" s="1"/>
      <c r="B121" s="28"/>
      <c r="C121" s="2"/>
      <c r="D121" s="2"/>
      <c r="E121" s="2"/>
      <c r="F121" s="2"/>
      <c r="G121" s="28"/>
      <c r="H121" s="2"/>
      <c r="I121" s="2"/>
      <c r="J121" s="2"/>
      <c r="K121" s="2"/>
      <c r="L121" s="2"/>
      <c r="Q121" s="15"/>
    </row>
    <row r="122" spans="1:17" s="16" customFormat="1">
      <c r="A122" s="1"/>
      <c r="B122" s="28"/>
      <c r="C122" s="2"/>
      <c r="D122" s="2"/>
      <c r="E122" s="2"/>
      <c r="F122" s="2"/>
      <c r="G122" s="28"/>
      <c r="H122" s="2"/>
      <c r="I122" s="2"/>
      <c r="J122" s="2"/>
      <c r="K122" s="2"/>
      <c r="L122" s="2"/>
      <c r="Q122" s="15"/>
    </row>
    <row r="123" spans="1:17" s="16" customFormat="1">
      <c r="A123" s="1"/>
      <c r="B123" s="28"/>
      <c r="C123" s="2"/>
      <c r="D123" s="2"/>
      <c r="E123" s="2"/>
      <c r="F123" s="2"/>
      <c r="G123" s="28"/>
      <c r="H123" s="2"/>
      <c r="I123" s="2"/>
      <c r="J123" s="2"/>
      <c r="K123" s="2"/>
      <c r="L123" s="2"/>
      <c r="Q123" s="15"/>
    </row>
    <row r="124" spans="1:17" s="16" customFormat="1">
      <c r="A124" s="1"/>
      <c r="B124" s="28"/>
      <c r="C124" s="2"/>
      <c r="D124" s="2"/>
      <c r="E124" s="2"/>
      <c r="F124" s="2"/>
      <c r="G124" s="28"/>
      <c r="H124" s="2"/>
      <c r="I124" s="2"/>
      <c r="J124" s="2"/>
      <c r="K124" s="2"/>
      <c r="L124" s="2"/>
      <c r="Q124" s="15"/>
    </row>
    <row r="125" spans="1:17" s="16" customFormat="1">
      <c r="A125" s="1"/>
      <c r="B125" s="28"/>
      <c r="C125" s="2"/>
      <c r="D125" s="2"/>
      <c r="E125" s="2"/>
      <c r="F125" s="2"/>
      <c r="G125" s="28"/>
      <c r="H125" s="2"/>
      <c r="I125" s="2"/>
      <c r="J125" s="2"/>
      <c r="K125" s="2"/>
      <c r="L125" s="2"/>
      <c r="Q125" s="15"/>
    </row>
    <row r="126" spans="1:17" s="16" customFormat="1">
      <c r="A126" s="1"/>
      <c r="B126" s="28"/>
      <c r="C126" s="2"/>
      <c r="D126" s="2"/>
      <c r="E126" s="2"/>
      <c r="F126" s="2"/>
      <c r="G126" s="28"/>
      <c r="H126" s="2"/>
      <c r="I126" s="2"/>
      <c r="J126" s="2"/>
      <c r="K126" s="2"/>
      <c r="Q126" s="15"/>
    </row>
    <row r="127" spans="1:17" s="16" customFormat="1">
      <c r="A127" s="1"/>
      <c r="B127" s="28"/>
      <c r="C127" s="2"/>
      <c r="D127" s="2"/>
      <c r="E127" s="2"/>
      <c r="F127" s="2"/>
      <c r="G127" s="28"/>
      <c r="H127" s="2"/>
      <c r="I127" s="2"/>
      <c r="J127" s="2"/>
      <c r="K127" s="2"/>
      <c r="Q127" s="15"/>
    </row>
    <row r="129" spans="11:15" ht="15" customHeight="1">
      <c r="K129" s="280"/>
    </row>
    <row r="130" spans="11:15" ht="15" customHeight="1">
      <c r="K130" s="280"/>
      <c r="L130" s="6"/>
    </row>
    <row r="131" spans="11:15" ht="30.75" customHeight="1">
      <c r="K131" s="38"/>
    </row>
    <row r="132" spans="11:15">
      <c r="K132" s="38"/>
    </row>
    <row r="133" spans="11:15">
      <c r="K133" s="39"/>
      <c r="L133" s="39"/>
      <c r="M133" s="39"/>
      <c r="N133" s="39"/>
    </row>
    <row r="135" spans="11:15" ht="30.75" customHeight="1">
      <c r="K135" s="281"/>
      <c r="L135" s="281"/>
      <c r="M135" s="281"/>
      <c r="N135" s="281"/>
      <c r="O135" s="281"/>
    </row>
    <row r="136" spans="11:15" ht="15" customHeight="1">
      <c r="K136" s="281"/>
    </row>
    <row r="137" spans="11:15" ht="82.5" customHeight="1">
      <c r="K137" s="281"/>
      <c r="L137" s="281"/>
      <c r="M137" s="281"/>
      <c r="N137" s="281"/>
      <c r="O137" s="281"/>
    </row>
    <row r="138" spans="11:15" ht="15" customHeight="1">
      <c r="K138" s="41"/>
    </row>
    <row r="139" spans="11:15">
      <c r="K139" s="41"/>
    </row>
    <row r="140" spans="11:15" ht="69.75" customHeight="1">
      <c r="K140" s="41"/>
    </row>
  </sheetData>
  <mergeCells count="9">
    <mergeCell ref="B54:O54"/>
    <mergeCell ref="C13:F13"/>
    <mergeCell ref="A1:O1"/>
    <mergeCell ref="A2:O2"/>
    <mergeCell ref="A3:O3"/>
    <mergeCell ref="C14:F14"/>
    <mergeCell ref="C7:F7"/>
    <mergeCell ref="C9:F9"/>
    <mergeCell ref="C11:F11"/>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H45:J45 L45:N45" formulaRange="1"/>
    <ignoredError sqref="B19:B42"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77"/>
  <sheetViews>
    <sheetView topLeftCell="A139" zoomScale="80" zoomScaleNormal="80" workbookViewId="0">
      <selection activeCell="H84" sqref="H84"/>
    </sheetView>
  </sheetViews>
  <sheetFormatPr defaultColWidth="8.6328125" defaultRowHeight="13.2"/>
  <cols>
    <col min="1" max="1" width="5.1796875" style="566" customWidth="1"/>
    <col min="2" max="2" width="9.08984375" style="566" customWidth="1"/>
    <col min="3" max="4" width="7.54296875" style="566" customWidth="1"/>
    <col min="5" max="5" width="8.6328125" style="566" customWidth="1"/>
    <col min="6" max="6" width="7.54296875" style="566" customWidth="1"/>
    <col min="7" max="7" width="2.08984375" style="566" customWidth="1"/>
    <col min="8" max="9" width="11.453125" style="566" customWidth="1"/>
    <col min="10" max="10" width="13.453125" style="566" customWidth="1"/>
    <col min="11" max="11" width="1.453125" style="568" customWidth="1"/>
    <col min="12" max="13" width="10.1796875" style="566" bestFit="1" customWidth="1"/>
    <col min="14" max="14" width="10.6328125" style="566" bestFit="1" customWidth="1"/>
    <col min="15" max="16384" width="8.6328125" style="566"/>
  </cols>
  <sheetData>
    <row r="1" spans="1:16" s="565" customFormat="1">
      <c r="A1" s="925" t="s">
        <v>649</v>
      </c>
      <c r="B1" s="925"/>
      <c r="C1" s="925"/>
      <c r="D1" s="925"/>
      <c r="E1" s="925"/>
      <c r="F1" s="925"/>
      <c r="G1" s="925"/>
      <c r="H1" s="925"/>
      <c r="I1" s="925"/>
      <c r="J1" s="925"/>
      <c r="K1" s="925"/>
    </row>
    <row r="2" spans="1:16" s="565" customFormat="1">
      <c r="A2" s="925" t="s">
        <v>171</v>
      </c>
      <c r="B2" s="925"/>
      <c r="C2" s="925"/>
      <c r="D2" s="925"/>
      <c r="E2" s="925"/>
      <c r="F2" s="925"/>
      <c r="G2" s="925"/>
      <c r="H2" s="925"/>
      <c r="I2" s="925"/>
      <c r="J2" s="925"/>
      <c r="K2" s="925"/>
    </row>
    <row r="3" spans="1:16" s="565" customFormat="1">
      <c r="A3" s="926" t="s">
        <v>912</v>
      </c>
      <c r="B3" s="926"/>
      <c r="C3" s="926"/>
      <c r="D3" s="926"/>
      <c r="E3" s="926"/>
      <c r="F3" s="926"/>
      <c r="G3" s="926"/>
      <c r="H3" s="926"/>
      <c r="I3" s="926"/>
      <c r="J3" s="926"/>
      <c r="K3" s="926"/>
    </row>
    <row r="4" spans="1:16" s="565" customFormat="1">
      <c r="A4" s="564"/>
      <c r="B4" s="564"/>
      <c r="C4" s="564"/>
      <c r="D4" s="564"/>
      <c r="E4" s="564"/>
      <c r="F4" s="564"/>
      <c r="G4" s="564"/>
      <c r="H4" s="564"/>
      <c r="I4" s="564"/>
      <c r="J4" s="519" t="s">
        <v>724</v>
      </c>
    </row>
    <row r="5" spans="1:16">
      <c r="I5" s="567" t="s">
        <v>627</v>
      </c>
      <c r="J5" s="671">
        <v>2024</v>
      </c>
    </row>
    <row r="6" spans="1:16">
      <c r="A6" s="566">
        <v>1</v>
      </c>
      <c r="B6" s="569" t="s">
        <v>628</v>
      </c>
      <c r="H6" s="570"/>
      <c r="I6" s="570"/>
      <c r="J6" s="570"/>
      <c r="K6" s="571"/>
    </row>
    <row r="7" spans="1:16">
      <c r="A7" s="566">
        <f>+A6+1</f>
        <v>2</v>
      </c>
      <c r="B7" s="981" t="s">
        <v>629</v>
      </c>
      <c r="C7" s="982"/>
      <c r="D7" s="982"/>
      <c r="E7" s="982"/>
      <c r="F7" s="983"/>
      <c r="G7" s="572"/>
      <c r="H7" s="981" t="s">
        <v>630</v>
      </c>
      <c r="I7" s="982"/>
      <c r="J7" s="983"/>
      <c r="K7" s="571"/>
    </row>
    <row r="8" spans="1:16">
      <c r="B8" s="573" t="s">
        <v>76</v>
      </c>
      <c r="C8" s="573" t="s">
        <v>77</v>
      </c>
      <c r="D8" s="573" t="s">
        <v>78</v>
      </c>
      <c r="E8" s="573" t="s">
        <v>79</v>
      </c>
      <c r="F8" s="573" t="s">
        <v>80</v>
      </c>
      <c r="G8" s="572"/>
      <c r="H8" s="573" t="s">
        <v>81</v>
      </c>
      <c r="I8" s="573" t="s">
        <v>82</v>
      </c>
      <c r="J8" s="573" t="s">
        <v>343</v>
      </c>
      <c r="K8" s="571"/>
    </row>
    <row r="9" spans="1:16" ht="52.8">
      <c r="A9" s="566">
        <f>+A7+1</f>
        <v>3</v>
      </c>
      <c r="B9" s="574" t="s">
        <v>219</v>
      </c>
      <c r="C9" s="574" t="s">
        <v>631</v>
      </c>
      <c r="D9" s="574" t="s">
        <v>632</v>
      </c>
      <c r="E9" s="574" t="s">
        <v>633</v>
      </c>
      <c r="F9" s="574" t="s">
        <v>634</v>
      </c>
      <c r="G9" s="575"/>
      <c r="H9" s="574" t="s">
        <v>635</v>
      </c>
      <c r="I9" s="574" t="s">
        <v>636</v>
      </c>
      <c r="J9" s="574" t="s">
        <v>637</v>
      </c>
      <c r="K9" s="575"/>
    </row>
    <row r="10" spans="1:16" ht="37.950000000000003" customHeight="1">
      <c r="A10" s="566">
        <f t="shared" ref="A10:A24" si="0">+A9+1</f>
        <v>4</v>
      </c>
      <c r="C10" s="575"/>
      <c r="D10" s="575"/>
      <c r="E10" s="575"/>
      <c r="F10" s="575"/>
      <c r="G10" s="575"/>
      <c r="H10" s="575" t="s">
        <v>1188</v>
      </c>
      <c r="I10" s="575"/>
      <c r="J10" s="575"/>
      <c r="K10" s="575"/>
    </row>
    <row r="11" spans="1:16">
      <c r="A11" s="566">
        <f t="shared" si="0"/>
        <v>5</v>
      </c>
      <c r="B11" s="576" t="s">
        <v>638</v>
      </c>
      <c r="C11" s="577"/>
      <c r="D11" s="578"/>
      <c r="E11" s="578"/>
      <c r="F11" s="578"/>
      <c r="G11" s="578"/>
      <c r="H11" s="579"/>
      <c r="I11" s="579"/>
      <c r="J11" s="583">
        <v>0</v>
      </c>
      <c r="K11" s="581"/>
    </row>
    <row r="12" spans="1:16">
      <c r="A12" s="566">
        <f t="shared" si="0"/>
        <v>6</v>
      </c>
      <c r="B12" s="577" t="s">
        <v>146</v>
      </c>
      <c r="C12" s="582">
        <v>31</v>
      </c>
      <c r="D12" s="546">
        <f>E12-C12</f>
        <v>335</v>
      </c>
      <c r="E12" s="672">
        <v>366</v>
      </c>
      <c r="F12" s="517">
        <f>IF(E12=0,0,D12/E12)</f>
        <v>0.91530054644808745</v>
      </c>
      <c r="G12" s="513"/>
      <c r="H12" s="160">
        <f>-H152*'Proj Att-H'!D239</f>
        <v>-24859.936841849623</v>
      </c>
      <c r="I12" s="544">
        <f>+H12*F12</f>
        <v>-22754.313776009902</v>
      </c>
      <c r="J12" s="544">
        <f t="shared" ref="J12:J23" si="1">+I12+J11</f>
        <v>-22754.313776009902</v>
      </c>
      <c r="K12" s="581"/>
      <c r="O12" s="602"/>
      <c r="P12" s="602"/>
    </row>
    <row r="13" spans="1:16">
      <c r="A13" s="566">
        <f t="shared" si="0"/>
        <v>7</v>
      </c>
      <c r="B13" s="577" t="s">
        <v>147</v>
      </c>
      <c r="C13" s="583">
        <v>29</v>
      </c>
      <c r="D13" s="546">
        <f>D12-C13</f>
        <v>306</v>
      </c>
      <c r="E13" s="546">
        <f>$E$12</f>
        <v>366</v>
      </c>
      <c r="F13" s="517">
        <f t="shared" ref="F13:F23" si="2">IF(E13=0,0,D13/E13)</f>
        <v>0.83606557377049184</v>
      </c>
      <c r="G13" s="513"/>
      <c r="H13" s="160">
        <f>-H153*'Proj Att-H'!D239</f>
        <v>-24859.936841849623</v>
      </c>
      <c r="I13" s="544">
        <f t="shared" ref="I13:I23" si="3">+H13*F13</f>
        <v>-20784.537359579193</v>
      </c>
      <c r="J13" s="544">
        <f t="shared" si="1"/>
        <v>-43538.851135589095</v>
      </c>
      <c r="K13" s="581"/>
      <c r="O13" s="602"/>
      <c r="P13" s="602"/>
    </row>
    <row r="14" spans="1:16">
      <c r="A14" s="566">
        <f t="shared" si="0"/>
        <v>8</v>
      </c>
      <c r="B14" s="577" t="s">
        <v>397</v>
      </c>
      <c r="C14" s="582">
        <v>31</v>
      </c>
      <c r="D14" s="546">
        <f t="shared" ref="D14:D22" si="4">D13-C14</f>
        <v>275</v>
      </c>
      <c r="E14" s="546">
        <f t="shared" ref="E14:E23" si="5">$E$12</f>
        <v>366</v>
      </c>
      <c r="F14" s="517">
        <f t="shared" si="2"/>
        <v>0.75136612021857918</v>
      </c>
      <c r="G14" s="513"/>
      <c r="H14" s="160">
        <f>-H154*'Proj Att-H'!D239</f>
        <v>-24859.936841849623</v>
      </c>
      <c r="I14" s="544">
        <f t="shared" si="3"/>
        <v>-18678.914293739468</v>
      </c>
      <c r="J14" s="544">
        <f t="shared" si="1"/>
        <v>-62217.76542932856</v>
      </c>
      <c r="K14" s="581"/>
      <c r="O14" s="602"/>
      <c r="P14" s="602"/>
    </row>
    <row r="15" spans="1:16">
      <c r="A15" s="566">
        <f t="shared" si="0"/>
        <v>9</v>
      </c>
      <c r="B15" s="577" t="s">
        <v>148</v>
      </c>
      <c r="C15" s="582">
        <v>30</v>
      </c>
      <c r="D15" s="546">
        <f t="shared" si="4"/>
        <v>245</v>
      </c>
      <c r="E15" s="546">
        <f t="shared" si="5"/>
        <v>366</v>
      </c>
      <c r="F15" s="517">
        <f t="shared" si="2"/>
        <v>0.6693989071038251</v>
      </c>
      <c r="G15" s="513"/>
      <c r="H15" s="160">
        <f>-H155*'Proj Att-H'!D239</f>
        <v>-24859.936841849623</v>
      </c>
      <c r="I15" s="544">
        <f t="shared" si="3"/>
        <v>-16641.214552604255</v>
      </c>
      <c r="J15" s="544">
        <f t="shared" si="1"/>
        <v>-78858.979981932818</v>
      </c>
      <c r="K15" s="581"/>
      <c r="O15" s="602"/>
      <c r="P15" s="602"/>
    </row>
    <row r="16" spans="1:16">
      <c r="A16" s="566">
        <f t="shared" si="0"/>
        <v>10</v>
      </c>
      <c r="B16" s="577" t="s">
        <v>149</v>
      </c>
      <c r="C16" s="582">
        <v>31</v>
      </c>
      <c r="D16" s="546">
        <f t="shared" si="4"/>
        <v>214</v>
      </c>
      <c r="E16" s="546">
        <f t="shared" si="5"/>
        <v>366</v>
      </c>
      <c r="F16" s="517">
        <f t="shared" si="2"/>
        <v>0.58469945355191255</v>
      </c>
      <c r="G16" s="513"/>
      <c r="H16" s="160">
        <f>-H156*'Proj Att-H'!D239</f>
        <v>-24859.936841849623</v>
      </c>
      <c r="I16" s="544">
        <f t="shared" si="3"/>
        <v>-14535.591486764533</v>
      </c>
      <c r="J16" s="544">
        <f t="shared" si="1"/>
        <v>-93394.571468697352</v>
      </c>
      <c r="K16" s="581"/>
      <c r="O16" s="602"/>
      <c r="P16" s="602"/>
    </row>
    <row r="17" spans="1:16">
      <c r="A17" s="566">
        <f t="shared" si="0"/>
        <v>11</v>
      </c>
      <c r="B17" s="577" t="s">
        <v>150</v>
      </c>
      <c r="C17" s="582">
        <v>30</v>
      </c>
      <c r="D17" s="546">
        <f t="shared" si="4"/>
        <v>184</v>
      </c>
      <c r="E17" s="546">
        <f t="shared" si="5"/>
        <v>366</v>
      </c>
      <c r="F17" s="517">
        <f t="shared" si="2"/>
        <v>0.50273224043715847</v>
      </c>
      <c r="G17" s="513"/>
      <c r="H17" s="160">
        <f>-H157*'Proj Att-H'!D239</f>
        <v>-24859.936841849623</v>
      </c>
      <c r="I17" s="544">
        <f t="shared" si="3"/>
        <v>-12497.891745629318</v>
      </c>
      <c r="J17" s="544">
        <f t="shared" si="1"/>
        <v>-105892.46321432666</v>
      </c>
      <c r="K17" s="581"/>
      <c r="O17" s="602"/>
      <c r="P17" s="602"/>
    </row>
    <row r="18" spans="1:16">
      <c r="A18" s="566">
        <f t="shared" si="0"/>
        <v>12</v>
      </c>
      <c r="B18" s="577" t="s">
        <v>151</v>
      </c>
      <c r="C18" s="582">
        <v>31</v>
      </c>
      <c r="D18" s="546">
        <f t="shared" si="4"/>
        <v>153</v>
      </c>
      <c r="E18" s="546">
        <f t="shared" si="5"/>
        <v>366</v>
      </c>
      <c r="F18" s="517">
        <f t="shared" si="2"/>
        <v>0.41803278688524592</v>
      </c>
      <c r="G18" s="513"/>
      <c r="H18" s="160">
        <f>-H158*'Proj Att-H'!D239</f>
        <v>-24859.936841849623</v>
      </c>
      <c r="I18" s="544">
        <f t="shared" si="3"/>
        <v>-10392.268679789597</v>
      </c>
      <c r="J18" s="544">
        <f t="shared" si="1"/>
        <v>-116284.73189411627</v>
      </c>
      <c r="K18" s="581"/>
      <c r="O18" s="602"/>
      <c r="P18" s="602"/>
    </row>
    <row r="19" spans="1:16">
      <c r="A19" s="566">
        <f t="shared" si="0"/>
        <v>13</v>
      </c>
      <c r="B19" s="577" t="s">
        <v>398</v>
      </c>
      <c r="C19" s="582">
        <v>31</v>
      </c>
      <c r="D19" s="546">
        <f t="shared" si="4"/>
        <v>122</v>
      </c>
      <c r="E19" s="546">
        <f t="shared" si="5"/>
        <v>366</v>
      </c>
      <c r="F19" s="517">
        <f t="shared" si="2"/>
        <v>0.33333333333333331</v>
      </c>
      <c r="G19" s="513"/>
      <c r="H19" s="160">
        <f>-H159*'Proj Att-H'!D239</f>
        <v>-24859.936841849623</v>
      </c>
      <c r="I19" s="544">
        <f t="shared" si="3"/>
        <v>-8286.6456139498732</v>
      </c>
      <c r="J19" s="544">
        <f t="shared" si="1"/>
        <v>-124571.37750806614</v>
      </c>
      <c r="K19" s="581"/>
      <c r="O19" s="602"/>
      <c r="P19" s="602"/>
    </row>
    <row r="20" spans="1:16">
      <c r="A20" s="566">
        <f t="shared" si="0"/>
        <v>14</v>
      </c>
      <c r="B20" s="577" t="s">
        <v>152</v>
      </c>
      <c r="C20" s="582">
        <v>30</v>
      </c>
      <c r="D20" s="546">
        <f t="shared" si="4"/>
        <v>92</v>
      </c>
      <c r="E20" s="546">
        <f t="shared" si="5"/>
        <v>366</v>
      </c>
      <c r="F20" s="517">
        <f t="shared" si="2"/>
        <v>0.25136612021857924</v>
      </c>
      <c r="G20" s="513"/>
      <c r="H20" s="160">
        <f>-H160*'Proj Att-H'!D239</f>
        <v>-24859.936841849623</v>
      </c>
      <c r="I20" s="544">
        <f t="shared" si="3"/>
        <v>-6248.9458728146592</v>
      </c>
      <c r="J20" s="544">
        <f t="shared" si="1"/>
        <v>-130820.3233808808</v>
      </c>
      <c r="K20" s="581"/>
      <c r="O20" s="602"/>
      <c r="P20" s="602"/>
    </row>
    <row r="21" spans="1:16">
      <c r="A21" s="566">
        <f t="shared" si="0"/>
        <v>15</v>
      </c>
      <c r="B21" s="577" t="s">
        <v>153</v>
      </c>
      <c r="C21" s="582">
        <v>31</v>
      </c>
      <c r="D21" s="546">
        <f t="shared" si="4"/>
        <v>61</v>
      </c>
      <c r="E21" s="546">
        <f t="shared" si="5"/>
        <v>366</v>
      </c>
      <c r="F21" s="517">
        <f t="shared" si="2"/>
        <v>0.16666666666666666</v>
      </c>
      <c r="G21" s="513"/>
      <c r="H21" s="160">
        <f>-H161*'Proj Att-H'!D239</f>
        <v>-24859.936841849623</v>
      </c>
      <c r="I21" s="544">
        <f t="shared" si="3"/>
        <v>-4143.3228069749366</v>
      </c>
      <c r="J21" s="544">
        <f t="shared" si="1"/>
        <v>-134963.64618785575</v>
      </c>
      <c r="K21" s="581"/>
      <c r="O21" s="602"/>
      <c r="P21" s="602"/>
    </row>
    <row r="22" spans="1:16">
      <c r="A22" s="566">
        <f t="shared" si="0"/>
        <v>16</v>
      </c>
      <c r="B22" s="577" t="s">
        <v>154</v>
      </c>
      <c r="C22" s="582">
        <v>30</v>
      </c>
      <c r="D22" s="546">
        <f t="shared" si="4"/>
        <v>31</v>
      </c>
      <c r="E22" s="546">
        <f t="shared" si="5"/>
        <v>366</v>
      </c>
      <c r="F22" s="517">
        <f t="shared" si="2"/>
        <v>8.4699453551912565E-2</v>
      </c>
      <c r="G22" s="513"/>
      <c r="H22" s="160">
        <f>-H162*'Proj Att-H'!D239</f>
        <v>-24859.936841849623</v>
      </c>
      <c r="I22" s="544">
        <f t="shared" si="3"/>
        <v>-2105.6230658397221</v>
      </c>
      <c r="J22" s="544">
        <f t="shared" si="1"/>
        <v>-137069.26925369547</v>
      </c>
      <c r="K22" s="581"/>
      <c r="O22" s="602"/>
      <c r="P22" s="602"/>
    </row>
    <row r="23" spans="1:16">
      <c r="A23" s="566">
        <f t="shared" si="0"/>
        <v>17</v>
      </c>
      <c r="B23" s="577" t="s">
        <v>399</v>
      </c>
      <c r="C23" s="582">
        <v>31</v>
      </c>
      <c r="D23" s="546">
        <v>1</v>
      </c>
      <c r="E23" s="546">
        <f t="shared" si="5"/>
        <v>366</v>
      </c>
      <c r="F23" s="517">
        <f t="shared" si="2"/>
        <v>2.7322404371584699E-3</v>
      </c>
      <c r="G23" s="513"/>
      <c r="H23" s="160">
        <f>-H163*'Proj Att-H'!D239</f>
        <v>-24859.936841849623</v>
      </c>
      <c r="I23" s="544">
        <f t="shared" si="3"/>
        <v>-67.923324704507166</v>
      </c>
      <c r="J23" s="544">
        <f t="shared" si="1"/>
        <v>-137137.19257839999</v>
      </c>
      <c r="K23" s="581"/>
      <c r="L23" s="600"/>
      <c r="M23" s="602"/>
      <c r="N23" s="600"/>
      <c r="O23" s="602"/>
      <c r="P23" s="602"/>
    </row>
    <row r="24" spans="1:16">
      <c r="A24" s="566">
        <f t="shared" si="0"/>
        <v>18</v>
      </c>
      <c r="B24" s="584"/>
      <c r="C24" s="584" t="s">
        <v>9</v>
      </c>
      <c r="D24" s="584"/>
      <c r="E24" s="584"/>
      <c r="F24" s="585"/>
      <c r="G24" s="578"/>
      <c r="H24" s="586">
        <f>SUM(H12:H23)</f>
        <v>-298319.24210219545</v>
      </c>
      <c r="I24" s="586">
        <f>SUM(I12:I23)</f>
        <v>-137137.19257839999</v>
      </c>
      <c r="J24" s="585"/>
      <c r="K24" s="575"/>
    </row>
    <row r="25" spans="1:16">
      <c r="B25" s="587"/>
      <c r="C25" s="587"/>
      <c r="D25" s="587"/>
      <c r="E25" s="587"/>
      <c r="F25" s="588"/>
      <c r="G25" s="588"/>
      <c r="I25" s="589"/>
      <c r="J25" s="588"/>
      <c r="K25" s="575"/>
      <c r="L25" s="600"/>
    </row>
    <row r="26" spans="1:16">
      <c r="A26" s="566">
        <f>+A24+1</f>
        <v>19</v>
      </c>
      <c r="B26" s="566" t="s">
        <v>737</v>
      </c>
      <c r="F26" s="566" t="s">
        <v>1057</v>
      </c>
      <c r="G26" s="588"/>
      <c r="I26" s="588"/>
      <c r="J26" s="160">
        <f>'A3-ADIT'!E15</f>
        <v>73130366</v>
      </c>
      <c r="N26" s="738"/>
    </row>
    <row r="27" spans="1:16">
      <c r="A27" s="566">
        <f>+A26+1</f>
        <v>20</v>
      </c>
      <c r="B27" s="566" t="s">
        <v>819</v>
      </c>
      <c r="F27" s="566" t="s">
        <v>907</v>
      </c>
      <c r="G27" s="588"/>
      <c r="I27" s="588"/>
      <c r="J27" s="601">
        <f>J166*-(('Proj Att-H'!D239*'Proj Att-H'!D240)+'Proj Att-H'!D240)</f>
        <v>2141631.0154799996</v>
      </c>
    </row>
    <row r="28" spans="1:16">
      <c r="A28" s="566">
        <f t="shared" ref="A28" si="6">+A27+1</f>
        <v>21</v>
      </c>
      <c r="B28" s="566" t="s">
        <v>820</v>
      </c>
      <c r="F28" s="566" t="s">
        <v>738</v>
      </c>
      <c r="G28" s="588"/>
      <c r="I28" s="588"/>
      <c r="J28" s="601">
        <f>J26-J27</f>
        <v>70988734.984520003</v>
      </c>
    </row>
    <row r="29" spans="1:16">
      <c r="A29" s="566">
        <f>+A28+1</f>
        <v>22</v>
      </c>
      <c r="B29" s="840" t="s">
        <v>821</v>
      </c>
      <c r="F29" s="566" t="s">
        <v>739</v>
      </c>
      <c r="G29" s="588"/>
      <c r="I29" s="588"/>
      <c r="J29" s="601">
        <f>J27</f>
        <v>2141631.0154799996</v>
      </c>
    </row>
    <row r="30" spans="1:16">
      <c r="A30" s="566">
        <f>+A29+1</f>
        <v>23</v>
      </c>
      <c r="B30" s="566" t="s">
        <v>673</v>
      </c>
      <c r="F30" s="566" t="s">
        <v>685</v>
      </c>
      <c r="G30" s="588"/>
      <c r="I30" s="588"/>
      <c r="J30" s="583">
        <v>0</v>
      </c>
    </row>
    <row r="31" spans="1:16">
      <c r="A31" s="566">
        <f>+A30+1</f>
        <v>24</v>
      </c>
      <c r="B31" s="840" t="s">
        <v>818</v>
      </c>
      <c r="F31" s="566" t="s">
        <v>966</v>
      </c>
      <c r="G31" s="588"/>
      <c r="I31" s="588"/>
      <c r="J31" s="590">
        <f>J29+J30</f>
        <v>2141631.0154799996</v>
      </c>
    </row>
    <row r="32" spans="1:16">
      <c r="A32" s="566">
        <v>25</v>
      </c>
      <c r="B32" s="566" t="s">
        <v>643</v>
      </c>
      <c r="F32" s="566" t="s">
        <v>1005</v>
      </c>
      <c r="G32" s="588"/>
      <c r="I32" s="575"/>
      <c r="J32" s="591">
        <f>J23</f>
        <v>-137137.19257839999</v>
      </c>
      <c r="N32" s="738"/>
    </row>
    <row r="33" spans="1:11">
      <c r="A33" s="566">
        <v>26</v>
      </c>
      <c r="B33" s="566" t="s">
        <v>735</v>
      </c>
      <c r="F33" s="566" t="s">
        <v>1041</v>
      </c>
      <c r="J33" s="602">
        <f>J31+J32</f>
        <v>2004493.8229015996</v>
      </c>
    </row>
    <row r="34" spans="1:11">
      <c r="A34" s="566">
        <v>27</v>
      </c>
      <c r="B34" s="839" t="s">
        <v>910</v>
      </c>
      <c r="F34" s="123" t="s">
        <v>908</v>
      </c>
      <c r="J34" s="841">
        <f>'A3.1-EDIT-DDIT'!O43</f>
        <v>0.22680814926774853</v>
      </c>
    </row>
    <row r="35" spans="1:11">
      <c r="A35" s="566">
        <v>28</v>
      </c>
      <c r="B35" s="569" t="s">
        <v>652</v>
      </c>
      <c r="F35" s="566" t="s">
        <v>1042</v>
      </c>
      <c r="J35" s="609">
        <f>J33*J34</f>
        <v>454635.53419094591</v>
      </c>
    </row>
    <row r="36" spans="1:11">
      <c r="J36" s="602"/>
    </row>
    <row r="37" spans="1:11">
      <c r="J37" s="602"/>
    </row>
    <row r="38" spans="1:11" ht="15">
      <c r="A38"/>
      <c r="B38"/>
      <c r="C38"/>
      <c r="D38"/>
      <c r="E38"/>
      <c r="F38"/>
      <c r="G38"/>
      <c r="H38"/>
      <c r="I38"/>
      <c r="J38"/>
    </row>
    <row r="39" spans="1:11">
      <c r="A39" s="984" t="str">
        <f>A1</f>
        <v>Worksheet P5</v>
      </c>
      <c r="B39" s="984"/>
      <c r="C39" s="984"/>
      <c r="D39" s="984"/>
      <c r="E39" s="984"/>
      <c r="F39" s="984"/>
      <c r="G39" s="984"/>
      <c r="H39" s="984"/>
      <c r="I39" s="984"/>
      <c r="J39" s="984"/>
      <c r="K39" s="984"/>
    </row>
    <row r="40" spans="1:11">
      <c r="A40" s="984" t="str">
        <f>A2</f>
        <v>Accumulated Deferred Income Taxes</v>
      </c>
      <c r="B40" s="984"/>
      <c r="C40" s="984"/>
      <c r="D40" s="984"/>
      <c r="E40" s="984"/>
      <c r="F40" s="984"/>
      <c r="G40" s="984"/>
      <c r="H40" s="984"/>
      <c r="I40" s="984"/>
      <c r="J40" s="984"/>
      <c r="K40" s="984"/>
    </row>
    <row r="41" spans="1:11">
      <c r="A41" s="988" t="str">
        <f>A3</f>
        <v>Black Hills Colorado Electric, LLC</v>
      </c>
      <c r="B41" s="988"/>
      <c r="C41" s="988"/>
      <c r="D41" s="988"/>
      <c r="E41" s="988"/>
      <c r="F41" s="988"/>
      <c r="G41" s="988"/>
      <c r="H41" s="988"/>
      <c r="I41" s="988"/>
      <c r="J41" s="988"/>
      <c r="K41" s="988"/>
    </row>
    <row r="42" spans="1:11">
      <c r="J42" s="568" t="s">
        <v>725</v>
      </c>
    </row>
    <row r="43" spans="1:11">
      <c r="B43" s="569"/>
      <c r="J43" s="567"/>
      <c r="K43" s="593"/>
    </row>
    <row r="44" spans="1:11">
      <c r="A44" s="566">
        <f>A35+1</f>
        <v>29</v>
      </c>
      <c r="B44" s="569" t="s">
        <v>646</v>
      </c>
      <c r="H44" s="570"/>
      <c r="I44" s="570"/>
      <c r="J44" s="570"/>
    </row>
    <row r="45" spans="1:11">
      <c r="A45" s="566">
        <f>+A44+1</f>
        <v>30</v>
      </c>
      <c r="B45" s="981" t="s">
        <v>629</v>
      </c>
      <c r="C45" s="982"/>
      <c r="D45" s="982"/>
      <c r="E45" s="982"/>
      <c r="F45" s="983"/>
      <c r="G45" s="572"/>
      <c r="H45" s="981" t="s">
        <v>630</v>
      </c>
      <c r="I45" s="982"/>
      <c r="J45" s="983"/>
    </row>
    <row r="46" spans="1:11">
      <c r="B46" s="573" t="s">
        <v>76</v>
      </c>
      <c r="C46" s="573" t="s">
        <v>77</v>
      </c>
      <c r="D46" s="573" t="s">
        <v>78</v>
      </c>
      <c r="E46" s="573" t="s">
        <v>79</v>
      </c>
      <c r="F46" s="573" t="s">
        <v>80</v>
      </c>
      <c r="G46" s="572"/>
      <c r="H46" s="573" t="s">
        <v>81</v>
      </c>
      <c r="I46" s="573" t="s">
        <v>82</v>
      </c>
      <c r="J46" s="573" t="s">
        <v>343</v>
      </c>
    </row>
    <row r="47" spans="1:11" ht="52.8">
      <c r="A47" s="566">
        <f>+A45+1</f>
        <v>31</v>
      </c>
      <c r="B47" s="574" t="s">
        <v>219</v>
      </c>
      <c r="C47" s="574" t="s">
        <v>631</v>
      </c>
      <c r="D47" s="574" t="s">
        <v>632</v>
      </c>
      <c r="E47" s="574" t="s">
        <v>633</v>
      </c>
      <c r="F47" s="574" t="s">
        <v>634</v>
      </c>
      <c r="G47" s="575"/>
      <c r="H47" s="574" t="s">
        <v>635</v>
      </c>
      <c r="I47" s="574" t="s">
        <v>636</v>
      </c>
      <c r="J47" s="574" t="s">
        <v>637</v>
      </c>
    </row>
    <row r="48" spans="1:11">
      <c r="A48" s="566">
        <f t="shared" ref="A48:A62" si="7">+A47+1</f>
        <v>32</v>
      </c>
      <c r="C48" s="575"/>
      <c r="D48" s="575"/>
      <c r="E48" s="575"/>
      <c r="F48" s="575"/>
      <c r="G48" s="575"/>
      <c r="H48" s="575"/>
      <c r="I48" s="575"/>
      <c r="J48" s="575"/>
    </row>
    <row r="49" spans="1:16">
      <c r="A49" s="566">
        <f t="shared" si="7"/>
        <v>33</v>
      </c>
      <c r="B49" s="576" t="s">
        <v>638</v>
      </c>
      <c r="C49" s="577"/>
      <c r="D49" s="578"/>
      <c r="E49" s="578"/>
      <c r="F49" s="578"/>
      <c r="G49" s="578"/>
      <c r="H49" s="579"/>
      <c r="I49" s="579"/>
      <c r="J49" s="583">
        <v>0</v>
      </c>
      <c r="K49" s="594"/>
    </row>
    <row r="50" spans="1:16">
      <c r="A50" s="566">
        <f t="shared" si="7"/>
        <v>34</v>
      </c>
      <c r="B50" s="577" t="s">
        <v>146</v>
      </c>
      <c r="C50" s="601">
        <v>31</v>
      </c>
      <c r="D50" s="546">
        <f>E50-C50</f>
        <v>335</v>
      </c>
      <c r="E50" s="546">
        <f t="shared" ref="E50:E61" si="8">$E$12</f>
        <v>366</v>
      </c>
      <c r="F50" s="517">
        <f>IF(E50=0,0,D50/E50)</f>
        <v>0.91530054644808745</v>
      </c>
      <c r="G50" s="513"/>
      <c r="H50" s="580"/>
      <c r="I50" s="514">
        <f>+H50*F50</f>
        <v>0</v>
      </c>
      <c r="J50" s="514">
        <f t="shared" ref="J50:J61" si="9">+I50+J49</f>
        <v>0</v>
      </c>
      <c r="N50" s="728"/>
      <c r="O50" s="602"/>
      <c r="P50" s="602"/>
    </row>
    <row r="51" spans="1:16">
      <c r="A51" s="566">
        <f t="shared" si="7"/>
        <v>35</v>
      </c>
      <c r="B51" s="577" t="s">
        <v>147</v>
      </c>
      <c r="C51" s="546">
        <f>C13</f>
        <v>29</v>
      </c>
      <c r="D51" s="546">
        <f>D50-C51</f>
        <v>306</v>
      </c>
      <c r="E51" s="546">
        <f t="shared" si="8"/>
        <v>366</v>
      </c>
      <c r="F51" s="517">
        <f t="shared" ref="F51:F61" si="10">IF(E51=0,0,D51/E51)</f>
        <v>0.83606557377049184</v>
      </c>
      <c r="G51" s="513"/>
      <c r="H51" s="580"/>
      <c r="I51" s="514">
        <f t="shared" ref="I51:I61" si="11">+H51*F51</f>
        <v>0</v>
      </c>
      <c r="J51" s="514">
        <f t="shared" si="9"/>
        <v>0</v>
      </c>
      <c r="N51" s="728"/>
      <c r="O51" s="602"/>
      <c r="P51" s="602"/>
    </row>
    <row r="52" spans="1:16">
      <c r="A52" s="566">
        <f t="shared" si="7"/>
        <v>36</v>
      </c>
      <c r="B52" s="577" t="s">
        <v>397</v>
      </c>
      <c r="C52" s="601">
        <v>31</v>
      </c>
      <c r="D52" s="546">
        <f t="shared" ref="D52:D60" si="12">D51-C52</f>
        <v>275</v>
      </c>
      <c r="E52" s="546">
        <f t="shared" si="8"/>
        <v>366</v>
      </c>
      <c r="F52" s="517">
        <f t="shared" si="10"/>
        <v>0.75136612021857918</v>
      </c>
      <c r="G52" s="513"/>
      <c r="H52" s="580"/>
      <c r="I52" s="514">
        <f t="shared" si="11"/>
        <v>0</v>
      </c>
      <c r="J52" s="514">
        <f t="shared" si="9"/>
        <v>0</v>
      </c>
      <c r="N52" s="728"/>
      <c r="O52" s="602"/>
      <c r="P52" s="602"/>
    </row>
    <row r="53" spans="1:16">
      <c r="A53" s="566">
        <f t="shared" si="7"/>
        <v>37</v>
      </c>
      <c r="B53" s="577" t="s">
        <v>148</v>
      </c>
      <c r="C53" s="601">
        <v>30</v>
      </c>
      <c r="D53" s="546">
        <f t="shared" si="12"/>
        <v>245</v>
      </c>
      <c r="E53" s="546">
        <f t="shared" si="8"/>
        <v>366</v>
      </c>
      <c r="F53" s="517">
        <f t="shared" si="10"/>
        <v>0.6693989071038251</v>
      </c>
      <c r="G53" s="513"/>
      <c r="H53" s="580"/>
      <c r="I53" s="514">
        <f t="shared" si="11"/>
        <v>0</v>
      </c>
      <c r="J53" s="514">
        <f t="shared" si="9"/>
        <v>0</v>
      </c>
      <c r="N53" s="728"/>
      <c r="O53" s="602"/>
      <c r="P53" s="602"/>
    </row>
    <row r="54" spans="1:16">
      <c r="A54" s="566">
        <f t="shared" si="7"/>
        <v>38</v>
      </c>
      <c r="B54" s="577" t="s">
        <v>149</v>
      </c>
      <c r="C54" s="601">
        <v>31</v>
      </c>
      <c r="D54" s="546">
        <f t="shared" si="12"/>
        <v>214</v>
      </c>
      <c r="E54" s="546">
        <f t="shared" si="8"/>
        <v>366</v>
      </c>
      <c r="F54" s="517">
        <f t="shared" si="10"/>
        <v>0.58469945355191255</v>
      </c>
      <c r="G54" s="513"/>
      <c r="H54" s="580"/>
      <c r="I54" s="514">
        <f t="shared" si="11"/>
        <v>0</v>
      </c>
      <c r="J54" s="514">
        <f t="shared" si="9"/>
        <v>0</v>
      </c>
      <c r="N54" s="728"/>
      <c r="O54" s="602"/>
      <c r="P54" s="602"/>
    </row>
    <row r="55" spans="1:16">
      <c r="A55" s="566">
        <f t="shared" si="7"/>
        <v>39</v>
      </c>
      <c r="B55" s="577" t="s">
        <v>150</v>
      </c>
      <c r="C55" s="601">
        <v>30</v>
      </c>
      <c r="D55" s="546">
        <f t="shared" si="12"/>
        <v>184</v>
      </c>
      <c r="E55" s="546">
        <f t="shared" si="8"/>
        <v>366</v>
      </c>
      <c r="F55" s="517">
        <f t="shared" si="10"/>
        <v>0.50273224043715847</v>
      </c>
      <c r="G55" s="513"/>
      <c r="H55" s="580"/>
      <c r="I55" s="514">
        <f t="shared" si="11"/>
        <v>0</v>
      </c>
      <c r="J55" s="514">
        <f t="shared" si="9"/>
        <v>0</v>
      </c>
      <c r="N55" s="728"/>
      <c r="O55" s="602"/>
      <c r="P55" s="602"/>
    </row>
    <row r="56" spans="1:16">
      <c r="A56" s="566">
        <f t="shared" si="7"/>
        <v>40</v>
      </c>
      <c r="B56" s="577" t="s">
        <v>151</v>
      </c>
      <c r="C56" s="601">
        <v>31</v>
      </c>
      <c r="D56" s="546">
        <f t="shared" si="12"/>
        <v>153</v>
      </c>
      <c r="E56" s="546">
        <f t="shared" si="8"/>
        <v>366</v>
      </c>
      <c r="F56" s="517">
        <f t="shared" si="10"/>
        <v>0.41803278688524592</v>
      </c>
      <c r="G56" s="513"/>
      <c r="H56" s="580"/>
      <c r="I56" s="514">
        <f t="shared" si="11"/>
        <v>0</v>
      </c>
      <c r="J56" s="514">
        <f t="shared" si="9"/>
        <v>0</v>
      </c>
      <c r="N56" s="728"/>
      <c r="O56" s="602"/>
      <c r="P56" s="602"/>
    </row>
    <row r="57" spans="1:16">
      <c r="A57" s="566">
        <f t="shared" si="7"/>
        <v>41</v>
      </c>
      <c r="B57" s="577" t="s">
        <v>398</v>
      </c>
      <c r="C57" s="601">
        <v>31</v>
      </c>
      <c r="D57" s="546">
        <f t="shared" si="12"/>
        <v>122</v>
      </c>
      <c r="E57" s="546">
        <f t="shared" si="8"/>
        <v>366</v>
      </c>
      <c r="F57" s="517">
        <f t="shared" si="10"/>
        <v>0.33333333333333331</v>
      </c>
      <c r="G57" s="513"/>
      <c r="H57" s="580"/>
      <c r="I57" s="514">
        <f t="shared" si="11"/>
        <v>0</v>
      </c>
      <c r="J57" s="514">
        <f t="shared" si="9"/>
        <v>0</v>
      </c>
      <c r="N57" s="728"/>
      <c r="O57" s="602"/>
      <c r="P57" s="602"/>
    </row>
    <row r="58" spans="1:16">
      <c r="A58" s="566">
        <f t="shared" si="7"/>
        <v>42</v>
      </c>
      <c r="B58" s="577" t="s">
        <v>152</v>
      </c>
      <c r="C58" s="601">
        <v>30</v>
      </c>
      <c r="D58" s="546">
        <f t="shared" si="12"/>
        <v>92</v>
      </c>
      <c r="E58" s="546">
        <f t="shared" si="8"/>
        <v>366</v>
      </c>
      <c r="F58" s="517">
        <f t="shared" si="10"/>
        <v>0.25136612021857924</v>
      </c>
      <c r="G58" s="513"/>
      <c r="H58" s="580"/>
      <c r="I58" s="514">
        <f t="shared" si="11"/>
        <v>0</v>
      </c>
      <c r="J58" s="514">
        <f t="shared" si="9"/>
        <v>0</v>
      </c>
      <c r="N58" s="728"/>
      <c r="O58" s="602"/>
      <c r="P58" s="602"/>
    </row>
    <row r="59" spans="1:16">
      <c r="A59" s="566">
        <f t="shared" si="7"/>
        <v>43</v>
      </c>
      <c r="B59" s="577" t="s">
        <v>153</v>
      </c>
      <c r="C59" s="601">
        <v>31</v>
      </c>
      <c r="D59" s="546">
        <f t="shared" si="12"/>
        <v>61</v>
      </c>
      <c r="E59" s="546">
        <f t="shared" si="8"/>
        <v>366</v>
      </c>
      <c r="F59" s="517">
        <f t="shared" si="10"/>
        <v>0.16666666666666666</v>
      </c>
      <c r="G59" s="513"/>
      <c r="H59" s="580"/>
      <c r="I59" s="514">
        <f t="shared" si="11"/>
        <v>0</v>
      </c>
      <c r="J59" s="514">
        <f t="shared" si="9"/>
        <v>0</v>
      </c>
      <c r="N59" s="728"/>
      <c r="O59" s="602"/>
      <c r="P59" s="602"/>
    </row>
    <row r="60" spans="1:16">
      <c r="A60" s="566">
        <f t="shared" si="7"/>
        <v>44</v>
      </c>
      <c r="B60" s="577" t="s">
        <v>154</v>
      </c>
      <c r="C60" s="601">
        <v>30</v>
      </c>
      <c r="D60" s="546">
        <f t="shared" si="12"/>
        <v>31</v>
      </c>
      <c r="E60" s="546">
        <f t="shared" si="8"/>
        <v>366</v>
      </c>
      <c r="F60" s="517">
        <f t="shared" si="10"/>
        <v>8.4699453551912565E-2</v>
      </c>
      <c r="G60" s="513"/>
      <c r="H60" s="580"/>
      <c r="I60" s="514">
        <f t="shared" si="11"/>
        <v>0</v>
      </c>
      <c r="J60" s="514">
        <f t="shared" si="9"/>
        <v>0</v>
      </c>
      <c r="N60" s="728"/>
      <c r="O60" s="602"/>
      <c r="P60" s="602"/>
    </row>
    <row r="61" spans="1:16">
      <c r="A61" s="566">
        <f t="shared" si="7"/>
        <v>45</v>
      </c>
      <c r="B61" s="577" t="s">
        <v>399</v>
      </c>
      <c r="C61" s="601">
        <v>31</v>
      </c>
      <c r="D61" s="546">
        <v>1</v>
      </c>
      <c r="E61" s="546">
        <f t="shared" si="8"/>
        <v>366</v>
      </c>
      <c r="F61" s="517">
        <f t="shared" si="10"/>
        <v>2.7322404371584699E-3</v>
      </c>
      <c r="G61" s="513"/>
      <c r="H61" s="580"/>
      <c r="I61" s="514">
        <f t="shared" si="11"/>
        <v>0</v>
      </c>
      <c r="J61" s="514">
        <f t="shared" si="9"/>
        <v>0</v>
      </c>
      <c r="N61" s="728"/>
      <c r="O61" s="602"/>
      <c r="P61" s="602"/>
    </row>
    <row r="62" spans="1:16">
      <c r="A62" s="566">
        <f t="shared" si="7"/>
        <v>46</v>
      </c>
      <c r="B62" s="584"/>
      <c r="C62" s="584" t="s">
        <v>9</v>
      </c>
      <c r="D62" s="584"/>
      <c r="E62" s="584"/>
      <c r="F62" s="585"/>
      <c r="G62" s="578"/>
      <c r="H62" s="586">
        <f>SUM(H50:H61)</f>
        <v>0</v>
      </c>
      <c r="I62" s="586">
        <f>SUM(I50:I61)</f>
        <v>0</v>
      </c>
      <c r="J62" s="585"/>
    </row>
    <row r="63" spans="1:16">
      <c r="B63" s="587"/>
      <c r="C63" s="587"/>
      <c r="D63" s="587"/>
      <c r="E63" s="587"/>
      <c r="F63" s="588"/>
      <c r="G63" s="588"/>
      <c r="I63" s="589"/>
      <c r="J63" s="588"/>
    </row>
    <row r="64" spans="1:16">
      <c r="A64" s="566">
        <f>+A62+1</f>
        <v>47</v>
      </c>
      <c r="B64" s="566" t="s">
        <v>779</v>
      </c>
      <c r="F64" s="566" t="s">
        <v>647</v>
      </c>
      <c r="G64" s="588"/>
      <c r="I64" s="588"/>
      <c r="J64" s="583">
        <v>0</v>
      </c>
    </row>
    <row r="65" spans="1:11">
      <c r="A65" s="566">
        <f>+A64+1</f>
        <v>48</v>
      </c>
      <c r="B65" s="566" t="s">
        <v>640</v>
      </c>
      <c r="F65" s="566" t="str">
        <f>"(Line "&amp;A64&amp;" less line "&amp;A66&amp;")"</f>
        <v>(Line 47 less line 49)</v>
      </c>
      <c r="G65" s="588"/>
      <c r="I65" s="588"/>
      <c r="J65" s="590">
        <f>+J64-J66</f>
        <v>0</v>
      </c>
    </row>
    <row r="66" spans="1:11">
      <c r="A66" s="566">
        <f t="shared" ref="A66:A72" si="13">+A65+1</f>
        <v>49</v>
      </c>
      <c r="B66" s="566" t="s">
        <v>641</v>
      </c>
      <c r="F66" s="566" t="str">
        <f>"(Line "&amp;A49&amp;", Col H)"</f>
        <v>(Line 33, Col H)</v>
      </c>
      <c r="G66" s="588"/>
      <c r="I66" s="588"/>
      <c r="J66" s="579">
        <f>+J49</f>
        <v>0</v>
      </c>
    </row>
    <row r="67" spans="1:11">
      <c r="A67" s="566">
        <f t="shared" si="13"/>
        <v>50</v>
      </c>
      <c r="B67" s="566" t="s">
        <v>642</v>
      </c>
      <c r="F67" s="566" t="s">
        <v>648</v>
      </c>
      <c r="G67" s="588"/>
      <c r="I67" s="588"/>
      <c r="J67" s="583">
        <v>0</v>
      </c>
    </row>
    <row r="68" spans="1:11">
      <c r="A68" s="566">
        <f t="shared" si="13"/>
        <v>51</v>
      </c>
      <c r="B68" s="566" t="str">
        <f>+B65</f>
        <v>Less non Prorated Items</v>
      </c>
      <c r="F68" s="566" t="str">
        <f>"(Line "&amp;A67&amp;" less line "&amp;A69&amp;")"</f>
        <v>(Line 50 less line 52)</v>
      </c>
      <c r="G68" s="588"/>
      <c r="I68" s="588"/>
      <c r="J68" s="590">
        <f>+J67-J69</f>
        <v>0</v>
      </c>
    </row>
    <row r="69" spans="1:11">
      <c r="A69" s="566">
        <f t="shared" si="13"/>
        <v>52</v>
      </c>
      <c r="B69" s="566" t="s">
        <v>643</v>
      </c>
      <c r="F69" s="566" t="str">
        <f>"(Line "&amp;A61&amp;", Col H)"</f>
        <v>(Line 45, Col H)</v>
      </c>
      <c r="G69" s="588"/>
      <c r="I69" s="588"/>
      <c r="J69" s="579">
        <f>+J61</f>
        <v>0</v>
      </c>
    </row>
    <row r="70" spans="1:11">
      <c r="A70" s="566">
        <f t="shared" si="13"/>
        <v>53</v>
      </c>
      <c r="B70" s="566" t="s">
        <v>588</v>
      </c>
      <c r="F70" s="566" t="str">
        <f>"([Lines "&amp;A66&amp;" + "&amp;A69&amp;"] /2)+([Lines "&amp;A65&amp;" +"&amp;A68&amp;")/2])"</f>
        <v>([Lines 49 + 52] /2)+([Lines 48 +51)/2])</v>
      </c>
      <c r="G70" s="588"/>
      <c r="I70" s="575"/>
      <c r="J70" s="591">
        <f>(J66+J69)/2+(J65+J68)/2</f>
        <v>0</v>
      </c>
    </row>
    <row r="71" spans="1:11">
      <c r="A71" s="566">
        <f t="shared" si="13"/>
        <v>54</v>
      </c>
      <c r="B71" s="566" t="s">
        <v>1043</v>
      </c>
      <c r="G71" s="588"/>
      <c r="I71" s="575"/>
      <c r="J71" s="601">
        <v>0</v>
      </c>
    </row>
    <row r="72" spans="1:11">
      <c r="A72" s="566">
        <f t="shared" si="13"/>
        <v>55</v>
      </c>
      <c r="B72" s="566" t="s">
        <v>652</v>
      </c>
      <c r="F72" s="566" t="s">
        <v>1044</v>
      </c>
      <c r="J72" s="592">
        <f>+J70</f>
        <v>0</v>
      </c>
    </row>
    <row r="73" spans="1:11">
      <c r="A73" s="984" t="str">
        <f>A1</f>
        <v>Worksheet P5</v>
      </c>
      <c r="B73" s="984"/>
      <c r="C73" s="984"/>
      <c r="D73" s="984"/>
      <c r="E73" s="984"/>
      <c r="F73" s="984"/>
      <c r="G73" s="984"/>
      <c r="H73" s="984"/>
      <c r="I73" s="984"/>
      <c r="J73" s="984"/>
      <c r="K73" s="984"/>
    </row>
    <row r="74" spans="1:11">
      <c r="A74" s="984" t="str">
        <f>A2</f>
        <v>Accumulated Deferred Income Taxes</v>
      </c>
      <c r="B74" s="984"/>
      <c r="C74" s="984"/>
      <c r="D74" s="984"/>
      <c r="E74" s="984"/>
      <c r="F74" s="984"/>
      <c r="G74" s="984"/>
      <c r="H74" s="984"/>
      <c r="I74" s="984"/>
      <c r="J74" s="984"/>
      <c r="K74" s="984"/>
    </row>
    <row r="75" spans="1:11">
      <c r="A75" s="984" t="str">
        <f>A3</f>
        <v>Black Hills Colorado Electric, LLC</v>
      </c>
      <c r="B75" s="984"/>
      <c r="C75" s="984"/>
      <c r="D75" s="984"/>
      <c r="E75" s="984"/>
      <c r="F75" s="984"/>
      <c r="G75" s="984"/>
      <c r="H75" s="984"/>
      <c r="I75" s="984"/>
      <c r="J75" s="984"/>
      <c r="K75" s="984"/>
    </row>
    <row r="76" spans="1:11">
      <c r="A76" s="595"/>
      <c r="B76" s="595"/>
      <c r="C76" s="595"/>
      <c r="D76" s="595"/>
      <c r="E76" s="595"/>
      <c r="F76" s="595"/>
      <c r="G76" s="595"/>
      <c r="H76" s="595"/>
      <c r="I76" s="595"/>
      <c r="J76" s="568" t="s">
        <v>726</v>
      </c>
      <c r="K76" s="595"/>
    </row>
    <row r="78" spans="1:11">
      <c r="A78" s="566">
        <f>+A72+1</f>
        <v>56</v>
      </c>
      <c r="B78" s="569" t="s">
        <v>644</v>
      </c>
      <c r="H78" s="570"/>
      <c r="I78" s="570"/>
      <c r="J78" s="570"/>
    </row>
    <row r="79" spans="1:11">
      <c r="A79" s="566">
        <f>+A78+1</f>
        <v>57</v>
      </c>
      <c r="B79" s="985" t="s">
        <v>629</v>
      </c>
      <c r="C79" s="986"/>
      <c r="D79" s="986"/>
      <c r="E79" s="986"/>
      <c r="F79" s="987"/>
      <c r="G79" s="572"/>
      <c r="H79" s="981" t="s">
        <v>630</v>
      </c>
      <c r="I79" s="982"/>
      <c r="J79" s="983"/>
    </row>
    <row r="80" spans="1:11">
      <c r="B80" s="573" t="s">
        <v>76</v>
      </c>
      <c r="C80" s="573" t="s">
        <v>77</v>
      </c>
      <c r="D80" s="573" t="s">
        <v>78</v>
      </c>
      <c r="E80" s="573" t="s">
        <v>79</v>
      </c>
      <c r="F80" s="573" t="s">
        <v>80</v>
      </c>
      <c r="G80" s="572"/>
      <c r="H80" s="573" t="s">
        <v>81</v>
      </c>
      <c r="I80" s="573" t="s">
        <v>82</v>
      </c>
      <c r="J80" s="573" t="s">
        <v>343</v>
      </c>
    </row>
    <row r="81" spans="1:16" ht="52.8">
      <c r="A81" s="566">
        <f>+A79+1</f>
        <v>58</v>
      </c>
      <c r="B81" s="574" t="s">
        <v>219</v>
      </c>
      <c r="C81" s="574" t="s">
        <v>631</v>
      </c>
      <c r="D81" s="574" t="s">
        <v>632</v>
      </c>
      <c r="E81" s="574" t="s">
        <v>633</v>
      </c>
      <c r="F81" s="574" t="s">
        <v>634</v>
      </c>
      <c r="G81" s="575"/>
      <c r="H81" s="574" t="s">
        <v>635</v>
      </c>
      <c r="I81" s="574" t="s">
        <v>636</v>
      </c>
      <c r="J81" s="574" t="s">
        <v>637</v>
      </c>
    </row>
    <row r="82" spans="1:16" ht="31.2" customHeight="1">
      <c r="A82" s="566">
        <f t="shared" ref="A82:A96" si="14">+A81+1</f>
        <v>59</v>
      </c>
      <c r="C82" s="575"/>
      <c r="D82" s="575"/>
      <c r="E82" s="575"/>
      <c r="F82" s="575"/>
      <c r="G82" s="575"/>
      <c r="H82" s="575" t="s">
        <v>1187</v>
      </c>
      <c r="I82" s="575"/>
      <c r="J82" s="575"/>
      <c r="L82" s="596"/>
      <c r="M82" s="596"/>
      <c r="N82" s="596"/>
      <c r="O82" s="596"/>
      <c r="P82" s="596"/>
    </row>
    <row r="83" spans="1:16">
      <c r="A83" s="566">
        <f>+A82+1</f>
        <v>60</v>
      </c>
      <c r="B83" s="566" t="s">
        <v>641</v>
      </c>
      <c r="C83" s="577"/>
      <c r="D83" s="578"/>
      <c r="E83" s="578"/>
      <c r="F83" s="578"/>
      <c r="G83" s="578"/>
      <c r="H83" s="579"/>
      <c r="I83" s="579"/>
      <c r="J83" s="583">
        <v>0</v>
      </c>
      <c r="L83" s="597"/>
      <c r="M83" s="596"/>
      <c r="N83" s="596"/>
      <c r="O83" s="596"/>
      <c r="P83" s="596"/>
    </row>
    <row r="84" spans="1:16">
      <c r="A84" s="566">
        <f t="shared" si="14"/>
        <v>61</v>
      </c>
      <c r="B84" s="577" t="s">
        <v>146</v>
      </c>
      <c r="C84" s="601">
        <v>31</v>
      </c>
      <c r="D84" s="546">
        <f>E84-C84</f>
        <v>335</v>
      </c>
      <c r="E84" s="546">
        <f t="shared" ref="E84:E95" si="15">$E$12</f>
        <v>366</v>
      </c>
      <c r="F84" s="534">
        <f>IF(E84=0,0,D84/E84)</f>
        <v>0.91530054644808745</v>
      </c>
      <c r="G84" s="598"/>
      <c r="H84" s="160">
        <f>'P1-Trans Plant'!AA30</f>
        <v>-88722.65175197499</v>
      </c>
      <c r="I84" s="544">
        <f>+H84*F84</f>
        <v>-81207.891630906073</v>
      </c>
      <c r="J84" s="544">
        <f>+I84+J83</f>
        <v>-81207.891630906073</v>
      </c>
      <c r="L84" s="515"/>
      <c r="M84" s="516"/>
      <c r="N84" s="738"/>
      <c r="O84" s="602"/>
      <c r="P84" s="602"/>
    </row>
    <row r="85" spans="1:16">
      <c r="A85" s="566">
        <f t="shared" si="14"/>
        <v>62</v>
      </c>
      <c r="B85" s="577" t="s">
        <v>147</v>
      </c>
      <c r="C85" s="546">
        <f>C13</f>
        <v>29</v>
      </c>
      <c r="D85" s="546">
        <f>D84-C85</f>
        <v>306</v>
      </c>
      <c r="E85" s="546">
        <f t="shared" si="15"/>
        <v>366</v>
      </c>
      <c r="F85" s="534">
        <f t="shared" ref="F85:F95" si="16">IF(E85=0,0,D85/E85)</f>
        <v>0.83606557377049184</v>
      </c>
      <c r="G85" s="518"/>
      <c r="H85" s="160">
        <f>'P1-Trans Plant'!AA31</f>
        <v>-88625.610182870965</v>
      </c>
      <c r="I85" s="544">
        <f t="shared" ref="I85:I95" si="17">+H85*F85</f>
        <v>-74096.821628301957</v>
      </c>
      <c r="J85" s="544">
        <f t="shared" ref="J85:J95" si="18">+I85+J84</f>
        <v>-155304.71325920802</v>
      </c>
      <c r="K85" s="599"/>
      <c r="L85" s="515"/>
      <c r="M85" s="515"/>
      <c r="N85" s="738"/>
      <c r="O85" s="602"/>
      <c r="P85" s="602"/>
    </row>
    <row r="86" spans="1:16">
      <c r="A86" s="566">
        <f t="shared" si="14"/>
        <v>63</v>
      </c>
      <c r="B86" s="577" t="s">
        <v>397</v>
      </c>
      <c r="C86" s="601">
        <v>31</v>
      </c>
      <c r="D86" s="546">
        <f t="shared" ref="D86:D94" si="19">D85-C86</f>
        <v>275</v>
      </c>
      <c r="E86" s="546">
        <f t="shared" si="15"/>
        <v>366</v>
      </c>
      <c r="F86" s="534">
        <f t="shared" si="16"/>
        <v>0.75136612021857918</v>
      </c>
      <c r="G86" s="518"/>
      <c r="H86" s="160">
        <f>'P1-Trans Plant'!AA32</f>
        <v>-88544.893820679048</v>
      </c>
      <c r="I86" s="544">
        <f t="shared" si="17"/>
        <v>-66529.633335209655</v>
      </c>
      <c r="J86" s="544">
        <f t="shared" si="18"/>
        <v>-221834.34659441767</v>
      </c>
      <c r="L86" s="515"/>
      <c r="M86" s="515"/>
      <c r="N86" s="738"/>
      <c r="O86" s="602"/>
      <c r="P86" s="602"/>
    </row>
    <row r="87" spans="1:16">
      <c r="A87" s="566">
        <f t="shared" si="14"/>
        <v>64</v>
      </c>
      <c r="B87" s="577" t="s">
        <v>148</v>
      </c>
      <c r="C87" s="601">
        <v>30</v>
      </c>
      <c r="D87" s="546">
        <f t="shared" si="19"/>
        <v>245</v>
      </c>
      <c r="E87" s="546">
        <f t="shared" si="15"/>
        <v>366</v>
      </c>
      <c r="F87" s="534">
        <f t="shared" si="16"/>
        <v>0.6693989071038251</v>
      </c>
      <c r="G87" s="518"/>
      <c r="H87" s="160">
        <f>'P1-Trans Plant'!AA33</f>
        <v>-88469.969402440533</v>
      </c>
      <c r="I87" s="544">
        <f t="shared" si="17"/>
        <v>-59221.700829502537</v>
      </c>
      <c r="J87" s="544">
        <f t="shared" si="18"/>
        <v>-281056.04742392019</v>
      </c>
      <c r="L87" s="515"/>
      <c r="M87" s="515"/>
      <c r="N87" s="738"/>
      <c r="O87" s="602"/>
      <c r="P87" s="602"/>
    </row>
    <row r="88" spans="1:16">
      <c r="A88" s="566">
        <f t="shared" si="14"/>
        <v>65</v>
      </c>
      <c r="B88" s="577" t="s">
        <v>149</v>
      </c>
      <c r="C88" s="601">
        <v>31</v>
      </c>
      <c r="D88" s="546">
        <f t="shared" si="19"/>
        <v>214</v>
      </c>
      <c r="E88" s="546">
        <f t="shared" si="15"/>
        <v>366</v>
      </c>
      <c r="F88" s="534">
        <f t="shared" si="16"/>
        <v>0.58469945355191255</v>
      </c>
      <c r="G88" s="518"/>
      <c r="H88" s="160">
        <f>'P1-Trans Plant'!AA34</f>
        <v>-88386.638527178919</v>
      </c>
      <c r="I88" s="544">
        <f t="shared" si="17"/>
        <v>-51679.619248131938</v>
      </c>
      <c r="J88" s="544">
        <f t="shared" si="18"/>
        <v>-332735.66667205212</v>
      </c>
      <c r="L88" s="515"/>
      <c r="M88" s="515"/>
      <c r="N88" s="738"/>
      <c r="O88" s="602"/>
      <c r="P88" s="602"/>
    </row>
    <row r="89" spans="1:16">
      <c r="A89" s="566">
        <f t="shared" si="14"/>
        <v>66</v>
      </c>
      <c r="B89" s="577" t="s">
        <v>150</v>
      </c>
      <c r="C89" s="601">
        <v>30</v>
      </c>
      <c r="D89" s="546">
        <f t="shared" si="19"/>
        <v>184</v>
      </c>
      <c r="E89" s="546">
        <f t="shared" si="15"/>
        <v>366</v>
      </c>
      <c r="F89" s="534">
        <f t="shared" si="16"/>
        <v>0.50273224043715847</v>
      </c>
      <c r="G89" s="518"/>
      <c r="H89" s="160">
        <f>'P1-Trans Plant'!AA35</f>
        <v>-88137.501218017627</v>
      </c>
      <c r="I89" s="544">
        <f t="shared" si="17"/>
        <v>-44309.563453866787</v>
      </c>
      <c r="J89" s="544">
        <f t="shared" si="18"/>
        <v>-377045.23012591893</v>
      </c>
      <c r="L89" s="515"/>
      <c r="M89" s="515"/>
      <c r="N89" s="738"/>
      <c r="O89" s="602"/>
      <c r="P89" s="602"/>
    </row>
    <row r="90" spans="1:16">
      <c r="A90" s="566">
        <f t="shared" si="14"/>
        <v>67</v>
      </c>
      <c r="B90" s="577" t="s">
        <v>151</v>
      </c>
      <c r="C90" s="601">
        <v>31</v>
      </c>
      <c r="D90" s="546">
        <f t="shared" si="19"/>
        <v>153</v>
      </c>
      <c r="E90" s="546">
        <f t="shared" si="15"/>
        <v>366</v>
      </c>
      <c r="F90" s="534">
        <f t="shared" si="16"/>
        <v>0.41803278688524592</v>
      </c>
      <c r="G90" s="518"/>
      <c r="H90" s="160">
        <f>'P1-Trans Plant'!AA36</f>
        <v>-88052.845663400338</v>
      </c>
      <c r="I90" s="544">
        <f t="shared" si="17"/>
        <v>-36808.976465847685</v>
      </c>
      <c r="J90" s="544">
        <f t="shared" si="18"/>
        <v>-413854.20659176662</v>
      </c>
      <c r="L90" s="515"/>
      <c r="M90" s="515"/>
      <c r="N90" s="738"/>
      <c r="O90" s="602"/>
      <c r="P90" s="602"/>
    </row>
    <row r="91" spans="1:16">
      <c r="A91" s="566">
        <f t="shared" si="14"/>
        <v>68</v>
      </c>
      <c r="B91" s="577" t="s">
        <v>398</v>
      </c>
      <c r="C91" s="601">
        <v>31</v>
      </c>
      <c r="D91" s="546">
        <f t="shared" si="19"/>
        <v>122</v>
      </c>
      <c r="E91" s="546">
        <f t="shared" si="15"/>
        <v>366</v>
      </c>
      <c r="F91" s="534">
        <f t="shared" si="16"/>
        <v>0.33333333333333331</v>
      </c>
      <c r="G91" s="518"/>
      <c r="H91" s="160">
        <f>'P1-Trans Plant'!AA37</f>
        <v>-87967.842447172632</v>
      </c>
      <c r="I91" s="544">
        <f t="shared" si="17"/>
        <v>-29322.614149057543</v>
      </c>
      <c r="J91" s="544">
        <f t="shared" si="18"/>
        <v>-443176.82074082416</v>
      </c>
      <c r="L91" s="515"/>
      <c r="M91" s="515"/>
      <c r="N91" s="738"/>
      <c r="O91" s="602"/>
      <c r="P91" s="602"/>
    </row>
    <row r="92" spans="1:16">
      <c r="A92" s="566">
        <f t="shared" si="14"/>
        <v>69</v>
      </c>
      <c r="B92" s="577" t="s">
        <v>152</v>
      </c>
      <c r="C92" s="601">
        <v>30</v>
      </c>
      <c r="D92" s="546">
        <f t="shared" si="19"/>
        <v>92</v>
      </c>
      <c r="E92" s="546">
        <f t="shared" si="15"/>
        <v>366</v>
      </c>
      <c r="F92" s="534">
        <f t="shared" si="16"/>
        <v>0.25136612021857924</v>
      </c>
      <c r="G92" s="518"/>
      <c r="H92" s="160">
        <f>'P1-Trans Plant'!AA38</f>
        <v>-87883.729504431729</v>
      </c>
      <c r="I92" s="544">
        <f t="shared" si="17"/>
        <v>-22090.992115868085</v>
      </c>
      <c r="J92" s="544">
        <f t="shared" si="18"/>
        <v>-465267.81285669224</v>
      </c>
      <c r="L92" s="515"/>
      <c r="M92" s="515"/>
      <c r="N92" s="738"/>
      <c r="O92" s="602"/>
      <c r="P92" s="602"/>
    </row>
    <row r="93" spans="1:16">
      <c r="A93" s="566">
        <f t="shared" si="14"/>
        <v>70</v>
      </c>
      <c r="B93" s="577" t="s">
        <v>153</v>
      </c>
      <c r="C93" s="601">
        <v>31</v>
      </c>
      <c r="D93" s="546">
        <f t="shared" si="19"/>
        <v>61</v>
      </c>
      <c r="E93" s="546">
        <f t="shared" si="15"/>
        <v>366</v>
      </c>
      <c r="F93" s="534">
        <f t="shared" si="16"/>
        <v>0.16666666666666666</v>
      </c>
      <c r="G93" s="518"/>
      <c r="H93" s="160">
        <f>'P1-Trans Plant'!AA39</f>
        <v>-87764.148313014026</v>
      </c>
      <c r="I93" s="544">
        <f t="shared" si="17"/>
        <v>-14627.358052169004</v>
      </c>
      <c r="J93" s="544">
        <f t="shared" si="18"/>
        <v>-479895.17090886127</v>
      </c>
      <c r="L93" s="515"/>
      <c r="M93" s="515"/>
      <c r="N93" s="738"/>
      <c r="O93" s="602"/>
      <c r="P93" s="602"/>
    </row>
    <row r="94" spans="1:16">
      <c r="A94" s="566">
        <f t="shared" si="14"/>
        <v>71</v>
      </c>
      <c r="B94" s="577" t="s">
        <v>154</v>
      </c>
      <c r="C94" s="601">
        <v>30</v>
      </c>
      <c r="D94" s="546">
        <f t="shared" si="19"/>
        <v>31</v>
      </c>
      <c r="E94" s="546">
        <f t="shared" si="15"/>
        <v>366</v>
      </c>
      <c r="F94" s="534">
        <f t="shared" si="16"/>
        <v>8.4699453551912565E-2</v>
      </c>
      <c r="G94" s="518"/>
      <c r="H94" s="160">
        <f>'P1-Trans Plant'!AA40</f>
        <v>-85462.677273647219</v>
      </c>
      <c r="I94" s="544">
        <f t="shared" si="17"/>
        <v>-7238.6420641613759</v>
      </c>
      <c r="J94" s="544">
        <f t="shared" si="18"/>
        <v>-487133.81297302264</v>
      </c>
      <c r="L94" s="515"/>
      <c r="M94" s="515"/>
      <c r="N94" s="738"/>
      <c r="O94" s="602"/>
      <c r="P94" s="602"/>
    </row>
    <row r="95" spans="1:16">
      <c r="A95" s="566">
        <f t="shared" si="14"/>
        <v>72</v>
      </c>
      <c r="B95" s="577" t="s">
        <v>399</v>
      </c>
      <c r="C95" s="601">
        <v>31</v>
      </c>
      <c r="D95" s="546">
        <v>1</v>
      </c>
      <c r="E95" s="546">
        <f t="shared" si="15"/>
        <v>366</v>
      </c>
      <c r="F95" s="534">
        <f t="shared" si="16"/>
        <v>2.7322404371584699E-3</v>
      </c>
      <c r="G95" s="518"/>
      <c r="H95" s="160">
        <f>'P1-Trans Plant'!AA41</f>
        <v>-85419.615802645712</v>
      </c>
      <c r="I95" s="544">
        <f t="shared" si="17"/>
        <v>-233.38692842252928</v>
      </c>
      <c r="J95" s="544">
        <f t="shared" si="18"/>
        <v>-487367.19990144519</v>
      </c>
      <c r="L95" s="515"/>
      <c r="M95" s="515"/>
      <c r="N95" s="738"/>
      <c r="O95" s="602"/>
      <c r="P95" s="602"/>
    </row>
    <row r="96" spans="1:16">
      <c r="A96" s="566">
        <f t="shared" si="14"/>
        <v>73</v>
      </c>
      <c r="B96" s="584"/>
      <c r="C96" s="584" t="s">
        <v>9</v>
      </c>
      <c r="D96" s="584"/>
      <c r="E96" s="584"/>
      <c r="F96" s="585"/>
      <c r="G96" s="578"/>
      <c r="H96" s="586">
        <f>SUM(H84:H95)</f>
        <v>-1053438.1239074736</v>
      </c>
      <c r="I96" s="586">
        <f>SUM(I84:I95)</f>
        <v>-487367.19990144519</v>
      </c>
      <c r="J96" s="585"/>
      <c r="L96" s="600"/>
    </row>
    <row r="97" spans="1:16">
      <c r="B97" s="587"/>
      <c r="C97" s="587"/>
      <c r="D97" s="587"/>
      <c r="E97" s="587"/>
      <c r="F97" s="588"/>
      <c r="G97" s="578"/>
      <c r="H97" s="579"/>
      <c r="I97" s="579"/>
      <c r="J97" s="588"/>
      <c r="L97" s="600"/>
    </row>
    <row r="98" spans="1:16">
      <c r="A98" s="566">
        <f>+A96+1</f>
        <v>74</v>
      </c>
      <c r="B98" s="576" t="s">
        <v>671</v>
      </c>
      <c r="C98" s="575"/>
      <c r="D98" s="575"/>
      <c r="E98" s="575"/>
      <c r="F98" s="576" t="s">
        <v>675</v>
      </c>
      <c r="G98" s="575"/>
      <c r="H98" s="575"/>
      <c r="I98" s="575"/>
      <c r="J98" s="160">
        <f>'A3-ADIT'!E13</f>
        <v>-132909277</v>
      </c>
      <c r="L98" s="596"/>
      <c r="M98" s="596"/>
      <c r="N98" s="596"/>
      <c r="O98" s="596"/>
      <c r="P98" s="596"/>
    </row>
    <row r="99" spans="1:16">
      <c r="A99" s="566">
        <f>A98+1</f>
        <v>75</v>
      </c>
      <c r="B99" s="566" t="s">
        <v>771</v>
      </c>
      <c r="C99" s="575"/>
      <c r="D99" s="575"/>
      <c r="E99" s="575"/>
      <c r="F99" s="576" t="s">
        <v>829</v>
      </c>
      <c r="G99" s="575"/>
      <c r="H99" s="575"/>
      <c r="I99" s="575"/>
      <c r="J99" s="842">
        <f>'Proj Att-H'!G222</f>
        <v>0.25172374063863684</v>
      </c>
      <c r="L99" s="596"/>
      <c r="M99" s="596"/>
      <c r="N99" s="596"/>
      <c r="O99" s="596"/>
      <c r="P99" s="596"/>
    </row>
    <row r="100" spans="1:16">
      <c r="A100" s="566">
        <f t="shared" ref="A100:A106" si="20">+A99+1</f>
        <v>76</v>
      </c>
      <c r="B100" s="566" t="s">
        <v>672</v>
      </c>
      <c r="C100" s="575"/>
      <c r="D100" s="575"/>
      <c r="E100" s="575"/>
      <c r="F100" s="576" t="s">
        <v>1094</v>
      </c>
      <c r="G100" s="575"/>
      <c r="H100" s="575"/>
      <c r="I100" s="575"/>
      <c r="J100" s="660">
        <f>J98*J99</f>
        <v>-33456420.372016739</v>
      </c>
      <c r="L100" s="596"/>
      <c r="M100" s="596"/>
      <c r="N100" s="596"/>
      <c r="O100" s="596"/>
      <c r="P100" s="596"/>
    </row>
    <row r="101" spans="1:16">
      <c r="A101" s="566">
        <f t="shared" si="20"/>
        <v>77</v>
      </c>
      <c r="B101" s="566" t="s">
        <v>673</v>
      </c>
      <c r="C101" s="575"/>
      <c r="D101" s="575"/>
      <c r="E101" s="575"/>
      <c r="F101" s="576" t="s">
        <v>828</v>
      </c>
      <c r="G101" s="575"/>
      <c r="H101" s="575"/>
      <c r="I101" s="575"/>
      <c r="J101" s="160">
        <f>'P1-Trans Plant'!V42</f>
        <v>-485083.73668877879</v>
      </c>
      <c r="L101" s="596"/>
      <c r="M101" s="596"/>
      <c r="N101" s="596"/>
      <c r="O101" s="596"/>
      <c r="P101" s="596"/>
    </row>
    <row r="102" spans="1:16">
      <c r="A102" s="566">
        <f t="shared" si="20"/>
        <v>78</v>
      </c>
      <c r="B102" s="566" t="s">
        <v>639</v>
      </c>
      <c r="F102" s="566" t="s">
        <v>1095</v>
      </c>
      <c r="G102" s="588"/>
      <c r="I102" s="588"/>
      <c r="J102" s="601">
        <f>J100+J101</f>
        <v>-33941504.108705521</v>
      </c>
    </row>
    <row r="103" spans="1:16">
      <c r="A103" s="566">
        <f t="shared" si="20"/>
        <v>79</v>
      </c>
      <c r="B103" s="566" t="s">
        <v>643</v>
      </c>
      <c r="F103" s="566" t="str">
        <f>"(Line "&amp;A95&amp;", Col H)"</f>
        <v>(Line 72, Col H)</v>
      </c>
      <c r="G103" s="588"/>
      <c r="I103" s="588"/>
      <c r="J103" s="579">
        <f>+J95</f>
        <v>-487367.19990144519</v>
      </c>
    </row>
    <row r="104" spans="1:16">
      <c r="A104" s="566">
        <f t="shared" si="20"/>
        <v>80</v>
      </c>
      <c r="B104" s="566" t="s">
        <v>674</v>
      </c>
      <c r="F104" s="566" t="s">
        <v>1096</v>
      </c>
      <c r="G104" s="588"/>
      <c r="I104" s="575"/>
      <c r="J104" s="591">
        <f>J102+J103</f>
        <v>-34428871.308606967</v>
      </c>
      <c r="L104" s="602"/>
    </row>
    <row r="105" spans="1:16">
      <c r="A105" s="566">
        <f t="shared" si="20"/>
        <v>81</v>
      </c>
      <c r="B105" s="566" t="s">
        <v>1043</v>
      </c>
      <c r="G105" s="588"/>
      <c r="I105" s="575"/>
      <c r="J105" s="601">
        <v>0</v>
      </c>
    </row>
    <row r="106" spans="1:16">
      <c r="A106" s="566">
        <f t="shared" si="20"/>
        <v>82</v>
      </c>
      <c r="B106" s="566" t="s">
        <v>652</v>
      </c>
      <c r="F106" s="566" t="s">
        <v>1045</v>
      </c>
      <c r="J106" s="592">
        <f>+J104</f>
        <v>-34428871.308606967</v>
      </c>
    </row>
    <row r="107" spans="1:16">
      <c r="A107" s="984" t="str">
        <f>A1</f>
        <v>Worksheet P5</v>
      </c>
      <c r="B107" s="984"/>
      <c r="C107" s="984"/>
      <c r="D107" s="984"/>
      <c r="E107" s="984"/>
      <c r="F107" s="984"/>
      <c r="G107" s="984"/>
      <c r="H107" s="984"/>
      <c r="I107" s="984"/>
      <c r="J107" s="984"/>
      <c r="K107" s="984"/>
    </row>
    <row r="108" spans="1:16">
      <c r="A108" s="984" t="str">
        <f>A2</f>
        <v>Accumulated Deferred Income Taxes</v>
      </c>
      <c r="B108" s="984"/>
      <c r="C108" s="984"/>
      <c r="D108" s="984"/>
      <c r="E108" s="984"/>
      <c r="F108" s="984"/>
      <c r="G108" s="984"/>
      <c r="H108" s="984"/>
      <c r="I108" s="984"/>
      <c r="J108" s="984"/>
      <c r="K108" s="984"/>
    </row>
    <row r="109" spans="1:16">
      <c r="A109" s="984" t="str">
        <f>A3</f>
        <v>Black Hills Colorado Electric, LLC</v>
      </c>
      <c r="B109" s="984"/>
      <c r="C109" s="984"/>
      <c r="D109" s="984"/>
      <c r="E109" s="984"/>
      <c r="F109" s="984"/>
      <c r="G109" s="984"/>
      <c r="H109" s="984"/>
      <c r="I109" s="984"/>
      <c r="J109" s="984"/>
      <c r="K109" s="984"/>
    </row>
    <row r="110" spans="1:16">
      <c r="J110" s="568" t="s">
        <v>727</v>
      </c>
    </row>
    <row r="111" spans="1:16">
      <c r="A111" s="603"/>
      <c r="B111" s="603"/>
      <c r="C111" s="603"/>
      <c r="D111" s="603"/>
      <c r="E111" s="603"/>
      <c r="F111" s="603"/>
      <c r="G111" s="603"/>
      <c r="H111" s="603"/>
    </row>
    <row r="112" spans="1:16">
      <c r="A112" s="566">
        <f>A106+1</f>
        <v>83</v>
      </c>
      <c r="B112" s="569" t="s">
        <v>645</v>
      </c>
      <c r="H112" s="570"/>
      <c r="I112" s="570"/>
      <c r="J112" s="570"/>
    </row>
    <row r="113" spans="1:16">
      <c r="A113" s="566">
        <f>+A112+1</f>
        <v>84</v>
      </c>
      <c r="B113" s="981" t="s">
        <v>629</v>
      </c>
      <c r="C113" s="982"/>
      <c r="D113" s="982"/>
      <c r="E113" s="982"/>
      <c r="F113" s="983"/>
      <c r="G113" s="572"/>
      <c r="H113" s="981" t="s">
        <v>630</v>
      </c>
      <c r="I113" s="982"/>
      <c r="J113" s="983"/>
    </row>
    <row r="114" spans="1:16">
      <c r="B114" s="573" t="s">
        <v>76</v>
      </c>
      <c r="C114" s="573" t="s">
        <v>77</v>
      </c>
      <c r="D114" s="573" t="s">
        <v>78</v>
      </c>
      <c r="E114" s="573" t="s">
        <v>79</v>
      </c>
      <c r="F114" s="573" t="s">
        <v>80</v>
      </c>
      <c r="G114" s="572"/>
      <c r="H114" s="573" t="s">
        <v>81</v>
      </c>
      <c r="I114" s="573" t="s">
        <v>82</v>
      </c>
      <c r="J114" s="573" t="s">
        <v>343</v>
      </c>
    </row>
    <row r="115" spans="1:16" ht="52.8">
      <c r="A115" s="566">
        <f>+A113+1</f>
        <v>85</v>
      </c>
      <c r="B115" s="574" t="s">
        <v>219</v>
      </c>
      <c r="C115" s="574" t="s">
        <v>631</v>
      </c>
      <c r="D115" s="574" t="s">
        <v>632</v>
      </c>
      <c r="E115" s="574" t="s">
        <v>633</v>
      </c>
      <c r="F115" s="574" t="s">
        <v>634</v>
      </c>
      <c r="G115" s="575"/>
      <c r="H115" s="574" t="s">
        <v>635</v>
      </c>
      <c r="I115" s="574" t="s">
        <v>636</v>
      </c>
      <c r="J115" s="574" t="s">
        <v>637</v>
      </c>
    </row>
    <row r="116" spans="1:16">
      <c r="A116" s="566">
        <f t="shared" ref="A116:A130" si="21">+A115+1</f>
        <v>86</v>
      </c>
      <c r="C116" s="575"/>
      <c r="D116" s="575"/>
      <c r="E116" s="575"/>
      <c r="F116" s="575"/>
      <c r="G116" s="575"/>
      <c r="H116" s="575"/>
      <c r="I116" s="575"/>
      <c r="J116" s="575"/>
    </row>
    <row r="117" spans="1:16">
      <c r="A117" s="566">
        <f t="shared" si="21"/>
        <v>87</v>
      </c>
      <c r="B117" s="576" t="s">
        <v>638</v>
      </c>
      <c r="C117" s="577"/>
      <c r="D117" s="578"/>
      <c r="E117" s="578"/>
      <c r="F117" s="578"/>
      <c r="G117" s="578"/>
      <c r="H117" s="579"/>
      <c r="I117" s="579"/>
      <c r="J117" s="583">
        <v>0</v>
      </c>
    </row>
    <row r="118" spans="1:16">
      <c r="A118" s="566">
        <f t="shared" si="21"/>
        <v>88</v>
      </c>
      <c r="B118" s="577" t="s">
        <v>146</v>
      </c>
      <c r="C118" s="601">
        <v>31</v>
      </c>
      <c r="D118" s="546">
        <f>E118-C118</f>
        <v>335</v>
      </c>
      <c r="E118" s="546">
        <f t="shared" ref="E118:E129" si="22">$E$12</f>
        <v>366</v>
      </c>
      <c r="F118" s="517">
        <f>IF(E118=0,0,D118/E118)</f>
        <v>0.91530054644808745</v>
      </c>
      <c r="G118" s="513"/>
      <c r="H118" s="580">
        <v>0</v>
      </c>
      <c r="I118" s="514">
        <f>+H118*F118</f>
        <v>0</v>
      </c>
      <c r="J118" s="514">
        <f t="shared" ref="J118:J129" si="23">+I118+J117</f>
        <v>0</v>
      </c>
      <c r="O118" s="602"/>
      <c r="P118" s="602"/>
    </row>
    <row r="119" spans="1:16">
      <c r="A119" s="566">
        <f t="shared" si="21"/>
        <v>89</v>
      </c>
      <c r="B119" s="577" t="s">
        <v>147</v>
      </c>
      <c r="C119" s="546">
        <f>C13</f>
        <v>29</v>
      </c>
      <c r="D119" s="546">
        <f>D118-C119</f>
        <v>306</v>
      </c>
      <c r="E119" s="546">
        <f t="shared" si="22"/>
        <v>366</v>
      </c>
      <c r="F119" s="517">
        <f t="shared" ref="F119:F129" si="24">IF(E119=0,0,D119/E119)</f>
        <v>0.83606557377049184</v>
      </c>
      <c r="G119" s="513"/>
      <c r="H119" s="580">
        <v>0</v>
      </c>
      <c r="I119" s="514">
        <f t="shared" ref="I119:I129" si="25">+H119*F119</f>
        <v>0</v>
      </c>
      <c r="J119" s="514">
        <f t="shared" si="23"/>
        <v>0</v>
      </c>
      <c r="O119" s="602"/>
      <c r="P119" s="602"/>
    </row>
    <row r="120" spans="1:16">
      <c r="A120" s="566">
        <f t="shared" si="21"/>
        <v>90</v>
      </c>
      <c r="B120" s="577" t="s">
        <v>397</v>
      </c>
      <c r="C120" s="601">
        <v>31</v>
      </c>
      <c r="D120" s="546">
        <f t="shared" ref="D120:D128" si="26">D119-C120</f>
        <v>275</v>
      </c>
      <c r="E120" s="546">
        <f t="shared" si="22"/>
        <v>366</v>
      </c>
      <c r="F120" s="517">
        <f t="shared" si="24"/>
        <v>0.75136612021857918</v>
      </c>
      <c r="G120" s="513"/>
      <c r="H120" s="580">
        <v>0</v>
      </c>
      <c r="I120" s="514">
        <f t="shared" si="25"/>
        <v>0</v>
      </c>
      <c r="J120" s="514">
        <f t="shared" si="23"/>
        <v>0</v>
      </c>
      <c r="O120" s="602"/>
      <c r="P120" s="602"/>
    </row>
    <row r="121" spans="1:16">
      <c r="A121" s="566">
        <f t="shared" si="21"/>
        <v>91</v>
      </c>
      <c r="B121" s="577" t="s">
        <v>148</v>
      </c>
      <c r="C121" s="601">
        <v>30</v>
      </c>
      <c r="D121" s="546">
        <f t="shared" si="26"/>
        <v>245</v>
      </c>
      <c r="E121" s="546">
        <f t="shared" si="22"/>
        <v>366</v>
      </c>
      <c r="F121" s="517">
        <f t="shared" si="24"/>
        <v>0.6693989071038251</v>
      </c>
      <c r="G121" s="513"/>
      <c r="H121" s="580">
        <v>0</v>
      </c>
      <c r="I121" s="514">
        <f t="shared" si="25"/>
        <v>0</v>
      </c>
      <c r="J121" s="514">
        <f t="shared" si="23"/>
        <v>0</v>
      </c>
      <c r="O121" s="602"/>
      <c r="P121" s="602"/>
    </row>
    <row r="122" spans="1:16">
      <c r="A122" s="566">
        <f t="shared" si="21"/>
        <v>92</v>
      </c>
      <c r="B122" s="577" t="s">
        <v>149</v>
      </c>
      <c r="C122" s="601">
        <v>31</v>
      </c>
      <c r="D122" s="546">
        <f t="shared" si="26"/>
        <v>214</v>
      </c>
      <c r="E122" s="546">
        <f t="shared" si="22"/>
        <v>366</v>
      </c>
      <c r="F122" s="517">
        <f t="shared" si="24"/>
        <v>0.58469945355191255</v>
      </c>
      <c r="G122" s="513"/>
      <c r="H122" s="580">
        <v>0</v>
      </c>
      <c r="I122" s="514">
        <f t="shared" si="25"/>
        <v>0</v>
      </c>
      <c r="J122" s="514">
        <f t="shared" si="23"/>
        <v>0</v>
      </c>
      <c r="O122" s="602"/>
      <c r="P122" s="602"/>
    </row>
    <row r="123" spans="1:16">
      <c r="A123" s="566">
        <f t="shared" si="21"/>
        <v>93</v>
      </c>
      <c r="B123" s="577" t="s">
        <v>150</v>
      </c>
      <c r="C123" s="601">
        <v>30</v>
      </c>
      <c r="D123" s="546">
        <f t="shared" si="26"/>
        <v>184</v>
      </c>
      <c r="E123" s="546">
        <f t="shared" si="22"/>
        <v>366</v>
      </c>
      <c r="F123" s="517">
        <f t="shared" si="24"/>
        <v>0.50273224043715847</v>
      </c>
      <c r="G123" s="513"/>
      <c r="H123" s="580">
        <v>0</v>
      </c>
      <c r="I123" s="514">
        <f t="shared" si="25"/>
        <v>0</v>
      </c>
      <c r="J123" s="514">
        <f t="shared" si="23"/>
        <v>0</v>
      </c>
      <c r="O123" s="602"/>
      <c r="P123" s="602"/>
    </row>
    <row r="124" spans="1:16">
      <c r="A124" s="566">
        <f t="shared" si="21"/>
        <v>94</v>
      </c>
      <c r="B124" s="577" t="s">
        <v>151</v>
      </c>
      <c r="C124" s="601">
        <v>31</v>
      </c>
      <c r="D124" s="546">
        <f t="shared" si="26"/>
        <v>153</v>
      </c>
      <c r="E124" s="546">
        <f t="shared" si="22"/>
        <v>366</v>
      </c>
      <c r="F124" s="517">
        <f t="shared" si="24"/>
        <v>0.41803278688524592</v>
      </c>
      <c r="G124" s="513"/>
      <c r="H124" s="580">
        <v>0</v>
      </c>
      <c r="I124" s="514">
        <f t="shared" si="25"/>
        <v>0</v>
      </c>
      <c r="J124" s="514">
        <f t="shared" si="23"/>
        <v>0</v>
      </c>
      <c r="O124" s="602"/>
      <c r="P124" s="602"/>
    </row>
    <row r="125" spans="1:16">
      <c r="A125" s="566">
        <f t="shared" si="21"/>
        <v>95</v>
      </c>
      <c r="B125" s="577" t="s">
        <v>398</v>
      </c>
      <c r="C125" s="601">
        <v>31</v>
      </c>
      <c r="D125" s="546">
        <f t="shared" si="26"/>
        <v>122</v>
      </c>
      <c r="E125" s="546">
        <f t="shared" si="22"/>
        <v>366</v>
      </c>
      <c r="F125" s="517">
        <f t="shared" si="24"/>
        <v>0.33333333333333331</v>
      </c>
      <c r="G125" s="513"/>
      <c r="H125" s="580">
        <v>0</v>
      </c>
      <c r="I125" s="514">
        <f t="shared" si="25"/>
        <v>0</v>
      </c>
      <c r="J125" s="514">
        <f t="shared" si="23"/>
        <v>0</v>
      </c>
      <c r="O125" s="602"/>
      <c r="P125" s="602"/>
    </row>
    <row r="126" spans="1:16">
      <c r="A126" s="566">
        <f t="shared" si="21"/>
        <v>96</v>
      </c>
      <c r="B126" s="577" t="s">
        <v>152</v>
      </c>
      <c r="C126" s="601">
        <v>30</v>
      </c>
      <c r="D126" s="546">
        <f t="shared" si="26"/>
        <v>92</v>
      </c>
      <c r="E126" s="546">
        <f t="shared" si="22"/>
        <v>366</v>
      </c>
      <c r="F126" s="517">
        <f t="shared" si="24"/>
        <v>0.25136612021857924</v>
      </c>
      <c r="G126" s="513"/>
      <c r="H126" s="580">
        <v>0</v>
      </c>
      <c r="I126" s="514">
        <f t="shared" si="25"/>
        <v>0</v>
      </c>
      <c r="J126" s="514">
        <f t="shared" si="23"/>
        <v>0</v>
      </c>
      <c r="O126" s="602"/>
      <c r="P126" s="602"/>
    </row>
    <row r="127" spans="1:16">
      <c r="A127" s="566">
        <f t="shared" si="21"/>
        <v>97</v>
      </c>
      <c r="B127" s="577" t="s">
        <v>153</v>
      </c>
      <c r="C127" s="601">
        <v>31</v>
      </c>
      <c r="D127" s="546">
        <f t="shared" si="26"/>
        <v>61</v>
      </c>
      <c r="E127" s="546">
        <f t="shared" si="22"/>
        <v>366</v>
      </c>
      <c r="F127" s="517">
        <f t="shared" si="24"/>
        <v>0.16666666666666666</v>
      </c>
      <c r="G127" s="513"/>
      <c r="H127" s="580">
        <v>0</v>
      </c>
      <c r="I127" s="514">
        <f t="shared" si="25"/>
        <v>0</v>
      </c>
      <c r="J127" s="514">
        <f t="shared" si="23"/>
        <v>0</v>
      </c>
      <c r="O127" s="602"/>
      <c r="P127" s="602"/>
    </row>
    <row r="128" spans="1:16">
      <c r="A128" s="566">
        <f t="shared" si="21"/>
        <v>98</v>
      </c>
      <c r="B128" s="577" t="s">
        <v>154</v>
      </c>
      <c r="C128" s="601">
        <v>30</v>
      </c>
      <c r="D128" s="546">
        <f t="shared" si="26"/>
        <v>31</v>
      </c>
      <c r="E128" s="546">
        <f t="shared" si="22"/>
        <v>366</v>
      </c>
      <c r="F128" s="517">
        <f t="shared" si="24"/>
        <v>8.4699453551912565E-2</v>
      </c>
      <c r="G128" s="513"/>
      <c r="H128" s="580">
        <v>0</v>
      </c>
      <c r="I128" s="514">
        <f t="shared" si="25"/>
        <v>0</v>
      </c>
      <c r="J128" s="514">
        <f t="shared" si="23"/>
        <v>0</v>
      </c>
      <c r="O128" s="602"/>
      <c r="P128" s="602"/>
    </row>
    <row r="129" spans="1:16">
      <c r="A129" s="566">
        <f t="shared" si="21"/>
        <v>99</v>
      </c>
      <c r="B129" s="577" t="s">
        <v>399</v>
      </c>
      <c r="C129" s="601">
        <v>31</v>
      </c>
      <c r="D129" s="546">
        <v>1</v>
      </c>
      <c r="E129" s="546">
        <f t="shared" si="22"/>
        <v>366</v>
      </c>
      <c r="F129" s="517">
        <f t="shared" si="24"/>
        <v>2.7322404371584699E-3</v>
      </c>
      <c r="G129" s="513"/>
      <c r="H129" s="580">
        <v>0</v>
      </c>
      <c r="I129" s="514">
        <f t="shared" si="25"/>
        <v>0</v>
      </c>
      <c r="J129" s="514">
        <f t="shared" si="23"/>
        <v>0</v>
      </c>
      <c r="O129" s="602"/>
      <c r="P129" s="602"/>
    </row>
    <row r="130" spans="1:16">
      <c r="A130" s="566">
        <f t="shared" si="21"/>
        <v>100</v>
      </c>
      <c r="B130" s="584"/>
      <c r="C130" s="584" t="s">
        <v>9</v>
      </c>
      <c r="D130" s="584"/>
      <c r="E130" s="584"/>
      <c r="F130" s="585"/>
      <c r="G130" s="578"/>
      <c r="H130" s="586">
        <f>SUM(H118:H129)</f>
        <v>0</v>
      </c>
      <c r="I130" s="586">
        <f>SUM(I118:I129)</f>
        <v>0</v>
      </c>
      <c r="J130" s="585"/>
    </row>
    <row r="131" spans="1:16">
      <c r="B131" s="587"/>
      <c r="C131" s="587"/>
      <c r="D131" s="587"/>
      <c r="E131" s="587"/>
      <c r="F131" s="588"/>
      <c r="G131" s="588"/>
      <c r="I131" s="589"/>
      <c r="J131" s="588"/>
    </row>
    <row r="132" spans="1:16">
      <c r="A132" s="566">
        <f>+A130+1</f>
        <v>101</v>
      </c>
      <c r="B132" s="566" t="s">
        <v>639</v>
      </c>
      <c r="F132" s="879" t="s">
        <v>1186</v>
      </c>
      <c r="G132" s="588"/>
      <c r="I132" s="588"/>
      <c r="J132" s="160">
        <f>'A3-ADIT'!D14</f>
        <v>-41588756</v>
      </c>
      <c r="N132" s="738"/>
    </row>
    <row r="133" spans="1:16">
      <c r="A133" s="566">
        <f>+A132+1</f>
        <v>102</v>
      </c>
      <c r="B133" s="566" t="s">
        <v>640</v>
      </c>
      <c r="F133" s="566" t="str">
        <f>"(Line "&amp;A132&amp;" less line "&amp;A134&amp;")"</f>
        <v>(Line 101 less line 103)</v>
      </c>
      <c r="G133" s="588"/>
      <c r="I133" s="588"/>
      <c r="J133" s="590">
        <f>+J132-J134</f>
        <v>-41588756</v>
      </c>
    </row>
    <row r="134" spans="1:16">
      <c r="A134" s="566">
        <f t="shared" ref="A134:A140" si="27">+A133+1</f>
        <v>103</v>
      </c>
      <c r="B134" s="566" t="s">
        <v>641</v>
      </c>
      <c r="F134" s="566" t="str">
        <f>"(Line "&amp;A117&amp;", Col H)"</f>
        <v>(Line 87, Col H)</v>
      </c>
      <c r="G134" s="588"/>
      <c r="I134" s="588"/>
      <c r="J134" s="579">
        <f>+J117</f>
        <v>0</v>
      </c>
    </row>
    <row r="135" spans="1:16">
      <c r="A135" s="566">
        <f t="shared" si="27"/>
        <v>104</v>
      </c>
      <c r="B135" s="566" t="s">
        <v>642</v>
      </c>
      <c r="F135" s="566" t="s">
        <v>1047</v>
      </c>
      <c r="G135" s="588"/>
      <c r="I135" s="588"/>
      <c r="J135" s="160">
        <f>'A3-ADIT'!E14</f>
        <v>-70683636</v>
      </c>
    </row>
    <row r="136" spans="1:16">
      <c r="A136" s="566">
        <f t="shared" si="27"/>
        <v>105</v>
      </c>
      <c r="B136" s="566" t="str">
        <f>+B133</f>
        <v>Less non Prorated Items</v>
      </c>
      <c r="F136" s="566" t="str">
        <f>"(Line "&amp;A135&amp;" less line "&amp;A137&amp;")"</f>
        <v>(Line 104 less line 106)</v>
      </c>
      <c r="G136" s="588"/>
      <c r="I136" s="588"/>
      <c r="J136" s="590">
        <f>+J135-J137</f>
        <v>-70683636</v>
      </c>
    </row>
    <row r="137" spans="1:16">
      <c r="A137" s="566">
        <f t="shared" si="27"/>
        <v>106</v>
      </c>
      <c r="B137" s="566" t="s">
        <v>643</v>
      </c>
      <c r="F137" s="566" t="str">
        <f>"(Line "&amp;A129&amp;", Col H)"</f>
        <v>(Line 99, Col H)</v>
      </c>
      <c r="G137" s="588"/>
      <c r="I137" s="588"/>
      <c r="J137" s="579">
        <f>+J129</f>
        <v>0</v>
      </c>
    </row>
    <row r="138" spans="1:16">
      <c r="A138" s="566">
        <f t="shared" si="27"/>
        <v>107</v>
      </c>
      <c r="B138" s="566" t="s">
        <v>588</v>
      </c>
      <c r="F138" s="566" t="str">
        <f>"([Lines "&amp;A134&amp;" + "&amp;A137&amp;"] /2)+([Lines "&amp;A133&amp;" +"&amp;A136&amp;")/2])"</f>
        <v>([Lines 103 + 106] /2)+([Lines 102 +105)/2])</v>
      </c>
      <c r="G138" s="588"/>
      <c r="I138" s="575"/>
      <c r="J138" s="591">
        <f>(J134+J137)/2+(J133+J136)/2</f>
        <v>-56136196</v>
      </c>
    </row>
    <row r="139" spans="1:16">
      <c r="A139" s="566">
        <f t="shared" si="27"/>
        <v>108</v>
      </c>
      <c r="B139" s="566" t="s">
        <v>1043</v>
      </c>
      <c r="G139" s="588"/>
      <c r="I139" s="575"/>
      <c r="J139" s="601">
        <v>0</v>
      </c>
    </row>
    <row r="140" spans="1:16">
      <c r="A140" s="566">
        <f t="shared" si="27"/>
        <v>109</v>
      </c>
      <c r="B140" s="566" t="s">
        <v>652</v>
      </c>
      <c r="F140" s="566" t="s">
        <v>1048</v>
      </c>
      <c r="J140" s="592">
        <f>+J138</f>
        <v>-56136196</v>
      </c>
    </row>
    <row r="141" spans="1:16">
      <c r="A141" s="984" t="str">
        <f>A39</f>
        <v>Worksheet P5</v>
      </c>
      <c r="B141" s="984"/>
      <c r="C141" s="984"/>
      <c r="D141" s="984"/>
      <c r="E141" s="984"/>
      <c r="F141" s="984"/>
      <c r="G141" s="984"/>
      <c r="H141" s="984"/>
      <c r="I141" s="984"/>
      <c r="J141" s="984"/>
      <c r="K141" s="984"/>
    </row>
    <row r="142" spans="1:16">
      <c r="A142" s="984" t="str">
        <f>"Excess "&amp;A40</f>
        <v>Excess Accumulated Deferred Income Taxes</v>
      </c>
      <c r="B142" s="984"/>
      <c r="C142" s="984"/>
      <c r="D142" s="984"/>
      <c r="E142" s="984"/>
      <c r="F142" s="984"/>
      <c r="G142" s="984"/>
      <c r="H142" s="984"/>
      <c r="I142" s="984"/>
      <c r="J142" s="984"/>
      <c r="K142" s="984"/>
    </row>
    <row r="143" spans="1:16">
      <c r="A143" s="984" t="str">
        <f>A41</f>
        <v>Black Hills Colorado Electric, LLC</v>
      </c>
      <c r="B143" s="984"/>
      <c r="C143" s="984"/>
      <c r="D143" s="984"/>
      <c r="E143" s="984"/>
      <c r="F143" s="984"/>
      <c r="G143" s="984"/>
      <c r="H143" s="984"/>
      <c r="I143" s="984"/>
      <c r="J143" s="984"/>
      <c r="K143" s="984"/>
    </row>
    <row r="144" spans="1:16">
      <c r="J144" s="568" t="s">
        <v>728</v>
      </c>
    </row>
    <row r="145" spans="1:16">
      <c r="A145" s="603"/>
      <c r="B145" s="603"/>
      <c r="C145" s="603"/>
      <c r="D145" s="603"/>
      <c r="E145" s="603"/>
      <c r="F145" s="603"/>
      <c r="G145" s="603"/>
      <c r="H145" s="603"/>
    </row>
    <row r="146" spans="1:16">
      <c r="A146" s="566">
        <f>A140+1</f>
        <v>110</v>
      </c>
      <c r="B146" s="569" t="s">
        <v>836</v>
      </c>
      <c r="H146" s="570"/>
      <c r="I146" s="570"/>
      <c r="J146" s="570"/>
    </row>
    <row r="147" spans="1:16">
      <c r="A147" s="566">
        <f>+A146+1</f>
        <v>111</v>
      </c>
      <c r="B147" s="981" t="s">
        <v>629</v>
      </c>
      <c r="C147" s="982"/>
      <c r="D147" s="982"/>
      <c r="E147" s="982"/>
      <c r="F147" s="983"/>
      <c r="G147" s="572"/>
      <c r="H147" s="981" t="s">
        <v>630</v>
      </c>
      <c r="I147" s="982"/>
      <c r="J147" s="983"/>
    </row>
    <row r="148" spans="1:16">
      <c r="B148" s="573" t="s">
        <v>76</v>
      </c>
      <c r="C148" s="573" t="s">
        <v>77</v>
      </c>
      <c r="D148" s="573" t="s">
        <v>78</v>
      </c>
      <c r="E148" s="573" t="s">
        <v>79</v>
      </c>
      <c r="F148" s="573" t="s">
        <v>80</v>
      </c>
      <c r="G148" s="572"/>
      <c r="H148" s="573" t="s">
        <v>81</v>
      </c>
      <c r="I148" s="573" t="s">
        <v>82</v>
      </c>
      <c r="J148" s="573" t="s">
        <v>343</v>
      </c>
    </row>
    <row r="149" spans="1:16" ht="52.8">
      <c r="A149" s="566">
        <f>+A147+1</f>
        <v>112</v>
      </c>
      <c r="B149" s="574" t="s">
        <v>219</v>
      </c>
      <c r="C149" s="574" t="s">
        <v>631</v>
      </c>
      <c r="D149" s="574" t="s">
        <v>632</v>
      </c>
      <c r="E149" s="574" t="s">
        <v>633</v>
      </c>
      <c r="F149" s="574" t="s">
        <v>634</v>
      </c>
      <c r="G149" s="575"/>
      <c r="H149" s="574" t="s">
        <v>635</v>
      </c>
      <c r="I149" s="574" t="s">
        <v>636</v>
      </c>
      <c r="J149" s="574" t="s">
        <v>637</v>
      </c>
    </row>
    <row r="150" spans="1:16" ht="39.6">
      <c r="A150" s="566">
        <f t="shared" ref="A150:A164" si="28">+A149+1</f>
        <v>113</v>
      </c>
      <c r="C150" s="575"/>
      <c r="D150" s="575"/>
      <c r="E150" s="575"/>
      <c r="F150" s="575"/>
      <c r="G150" s="575"/>
      <c r="H150" s="878" t="s">
        <v>1185</v>
      </c>
      <c r="I150" s="575"/>
      <c r="J150" s="575"/>
    </row>
    <row r="151" spans="1:16">
      <c r="A151" s="566">
        <f t="shared" si="28"/>
        <v>114</v>
      </c>
      <c r="B151" s="576" t="s">
        <v>638</v>
      </c>
      <c r="C151" s="577"/>
      <c r="D151" s="578"/>
      <c r="E151" s="578"/>
      <c r="F151" s="578"/>
      <c r="G151" s="578"/>
      <c r="H151" s="579"/>
      <c r="I151" s="579"/>
      <c r="J151" s="580"/>
    </row>
    <row r="152" spans="1:16">
      <c r="A152" s="566">
        <f t="shared" si="28"/>
        <v>115</v>
      </c>
      <c r="B152" s="577" t="s">
        <v>146</v>
      </c>
      <c r="C152" s="601">
        <v>31</v>
      </c>
      <c r="D152" s="546">
        <f>E152-C152</f>
        <v>335</v>
      </c>
      <c r="E152" s="546">
        <f t="shared" ref="E152:E163" si="29">$E$12</f>
        <v>366</v>
      </c>
      <c r="F152" s="517">
        <f>IF(E152=0,0,D152/E152)</f>
        <v>0.91530054644808745</v>
      </c>
      <c r="G152" s="513"/>
      <c r="H152" s="160">
        <f>'A3.1-EDIT-DDIT'!$G$39/12</f>
        <v>118380.65162785536</v>
      </c>
      <c r="I152" s="514">
        <f>+H152*F152</f>
        <v>108353.87512385669</v>
      </c>
      <c r="J152" s="544">
        <f t="shared" ref="J152:J163" si="30">+I152+J151</f>
        <v>108353.87512385669</v>
      </c>
      <c r="N152" s="738"/>
      <c r="O152" s="602"/>
      <c r="P152" s="602"/>
    </row>
    <row r="153" spans="1:16">
      <c r="A153" s="566">
        <f t="shared" si="28"/>
        <v>116</v>
      </c>
      <c r="B153" s="577" t="s">
        <v>147</v>
      </c>
      <c r="C153" s="546">
        <f>C13</f>
        <v>29</v>
      </c>
      <c r="D153" s="546">
        <f>D152-C153</f>
        <v>306</v>
      </c>
      <c r="E153" s="546">
        <f t="shared" si="29"/>
        <v>366</v>
      </c>
      <c r="F153" s="517">
        <f t="shared" ref="F153:F163" si="31">IF(E153=0,0,D153/E153)</f>
        <v>0.83606557377049184</v>
      </c>
      <c r="G153" s="513"/>
      <c r="H153" s="160">
        <f>'A3.1-EDIT-DDIT'!$G$39/12</f>
        <v>118380.65162785536</v>
      </c>
      <c r="I153" s="514">
        <f t="shared" ref="I153:I163" si="32">+H153*F153</f>
        <v>98973.987426567604</v>
      </c>
      <c r="J153" s="544">
        <f t="shared" si="30"/>
        <v>207327.8625504243</v>
      </c>
      <c r="N153" s="738"/>
      <c r="O153" s="602"/>
      <c r="P153" s="602"/>
    </row>
    <row r="154" spans="1:16">
      <c r="A154" s="566">
        <f t="shared" si="28"/>
        <v>117</v>
      </c>
      <c r="B154" s="577" t="s">
        <v>397</v>
      </c>
      <c r="C154" s="601">
        <v>31</v>
      </c>
      <c r="D154" s="546">
        <f t="shared" ref="D154:D162" si="33">D153-C154</f>
        <v>275</v>
      </c>
      <c r="E154" s="546">
        <f t="shared" si="29"/>
        <v>366</v>
      </c>
      <c r="F154" s="517">
        <f t="shared" si="31"/>
        <v>0.75136612021857918</v>
      </c>
      <c r="G154" s="513"/>
      <c r="H154" s="160">
        <f>'A3.1-EDIT-DDIT'!$G$39/12</f>
        <v>118380.65162785536</v>
      </c>
      <c r="I154" s="514">
        <f t="shared" si="32"/>
        <v>88947.210922568906</v>
      </c>
      <c r="J154" s="544">
        <f t="shared" si="30"/>
        <v>296275.07347299322</v>
      </c>
      <c r="N154" s="738"/>
      <c r="O154" s="602"/>
      <c r="P154" s="602"/>
    </row>
    <row r="155" spans="1:16">
      <c r="A155" s="566">
        <f t="shared" si="28"/>
        <v>118</v>
      </c>
      <c r="B155" s="577" t="s">
        <v>148</v>
      </c>
      <c r="C155" s="601">
        <v>30</v>
      </c>
      <c r="D155" s="546">
        <f t="shared" si="33"/>
        <v>245</v>
      </c>
      <c r="E155" s="546">
        <f t="shared" si="29"/>
        <v>366</v>
      </c>
      <c r="F155" s="517">
        <f t="shared" si="31"/>
        <v>0.6693989071038251</v>
      </c>
      <c r="G155" s="513"/>
      <c r="H155" s="160">
        <f>'A3.1-EDIT-DDIT'!$G$39/12</f>
        <v>118380.65162785536</v>
      </c>
      <c r="I155" s="514">
        <f t="shared" si="32"/>
        <v>79243.878821925027</v>
      </c>
      <c r="J155" s="544">
        <f t="shared" si="30"/>
        <v>375518.95229491824</v>
      </c>
      <c r="N155" s="738"/>
      <c r="O155" s="602"/>
      <c r="P155" s="602"/>
    </row>
    <row r="156" spans="1:16">
      <c r="A156" s="566">
        <f t="shared" si="28"/>
        <v>119</v>
      </c>
      <c r="B156" s="577" t="s">
        <v>149</v>
      </c>
      <c r="C156" s="601">
        <v>31</v>
      </c>
      <c r="D156" s="546">
        <f t="shared" si="33"/>
        <v>214</v>
      </c>
      <c r="E156" s="546">
        <f t="shared" si="29"/>
        <v>366</v>
      </c>
      <c r="F156" s="517">
        <f t="shared" si="31"/>
        <v>0.58469945355191255</v>
      </c>
      <c r="G156" s="513"/>
      <c r="H156" s="160">
        <f>'A3.1-EDIT-DDIT'!$G$39/12</f>
        <v>118380.65162785536</v>
      </c>
      <c r="I156" s="514">
        <f t="shared" si="32"/>
        <v>69217.102317926358</v>
      </c>
      <c r="J156" s="544">
        <f t="shared" si="30"/>
        <v>444736.0546128446</v>
      </c>
      <c r="N156" s="738"/>
      <c r="O156" s="602"/>
      <c r="P156" s="602"/>
    </row>
    <row r="157" spans="1:16">
      <c r="A157" s="566">
        <f t="shared" si="28"/>
        <v>120</v>
      </c>
      <c r="B157" s="577" t="s">
        <v>150</v>
      </c>
      <c r="C157" s="601">
        <v>30</v>
      </c>
      <c r="D157" s="546">
        <f t="shared" si="33"/>
        <v>184</v>
      </c>
      <c r="E157" s="546">
        <f t="shared" si="29"/>
        <v>366</v>
      </c>
      <c r="F157" s="517">
        <f t="shared" si="31"/>
        <v>0.50273224043715847</v>
      </c>
      <c r="G157" s="513"/>
      <c r="H157" s="160">
        <f>'A3.1-EDIT-DDIT'!$G$39/12</f>
        <v>118380.65162785536</v>
      </c>
      <c r="I157" s="514">
        <f t="shared" si="32"/>
        <v>59513.770217282479</v>
      </c>
      <c r="J157" s="544">
        <f t="shared" si="30"/>
        <v>504249.82483012707</v>
      </c>
      <c r="N157" s="738"/>
      <c r="O157" s="602"/>
      <c r="P157" s="602"/>
    </row>
    <row r="158" spans="1:16">
      <c r="A158" s="566">
        <f t="shared" si="28"/>
        <v>121</v>
      </c>
      <c r="B158" s="577" t="s">
        <v>151</v>
      </c>
      <c r="C158" s="601">
        <v>31</v>
      </c>
      <c r="D158" s="546">
        <f t="shared" si="33"/>
        <v>153</v>
      </c>
      <c r="E158" s="546">
        <f t="shared" si="29"/>
        <v>366</v>
      </c>
      <c r="F158" s="517">
        <f t="shared" si="31"/>
        <v>0.41803278688524592</v>
      </c>
      <c r="G158" s="513"/>
      <c r="H158" s="160">
        <f>'A3.1-EDIT-DDIT'!$G$39/12</f>
        <v>118380.65162785536</v>
      </c>
      <c r="I158" s="514">
        <f t="shared" si="32"/>
        <v>49486.993713283802</v>
      </c>
      <c r="J158" s="544">
        <f t="shared" si="30"/>
        <v>553736.81854341086</v>
      </c>
      <c r="N158" s="738"/>
      <c r="O158" s="602"/>
      <c r="P158" s="602"/>
    </row>
    <row r="159" spans="1:16">
      <c r="A159" s="566">
        <f t="shared" si="28"/>
        <v>122</v>
      </c>
      <c r="B159" s="577" t="s">
        <v>398</v>
      </c>
      <c r="C159" s="601">
        <v>31</v>
      </c>
      <c r="D159" s="546">
        <f t="shared" si="33"/>
        <v>122</v>
      </c>
      <c r="E159" s="546">
        <f t="shared" si="29"/>
        <v>366</v>
      </c>
      <c r="F159" s="517">
        <f t="shared" si="31"/>
        <v>0.33333333333333331</v>
      </c>
      <c r="G159" s="513"/>
      <c r="H159" s="160">
        <f>'A3.1-EDIT-DDIT'!$G$39/12</f>
        <v>118380.65162785536</v>
      </c>
      <c r="I159" s="514">
        <f t="shared" si="32"/>
        <v>39460.217209285118</v>
      </c>
      <c r="J159" s="544">
        <f t="shared" si="30"/>
        <v>593197.03575269599</v>
      </c>
      <c r="N159" s="738"/>
      <c r="O159" s="602"/>
      <c r="P159" s="602"/>
    </row>
    <row r="160" spans="1:16">
      <c r="A160" s="566">
        <f t="shared" si="28"/>
        <v>123</v>
      </c>
      <c r="B160" s="577" t="s">
        <v>152</v>
      </c>
      <c r="C160" s="601">
        <v>30</v>
      </c>
      <c r="D160" s="546">
        <f t="shared" si="33"/>
        <v>92</v>
      </c>
      <c r="E160" s="546">
        <f t="shared" si="29"/>
        <v>366</v>
      </c>
      <c r="F160" s="517">
        <f t="shared" si="31"/>
        <v>0.25136612021857924</v>
      </c>
      <c r="G160" s="513"/>
      <c r="H160" s="160">
        <f>'A3.1-EDIT-DDIT'!$G$39/12</f>
        <v>118380.65162785536</v>
      </c>
      <c r="I160" s="514">
        <f t="shared" si="32"/>
        <v>29756.88510864124</v>
      </c>
      <c r="J160" s="544">
        <f t="shared" si="30"/>
        <v>622953.92086133722</v>
      </c>
      <c r="N160" s="738"/>
      <c r="O160" s="602"/>
      <c r="P160" s="602"/>
    </row>
    <row r="161" spans="1:16">
      <c r="A161" s="566">
        <f t="shared" si="28"/>
        <v>124</v>
      </c>
      <c r="B161" s="577" t="s">
        <v>153</v>
      </c>
      <c r="C161" s="601">
        <v>31</v>
      </c>
      <c r="D161" s="546">
        <f t="shared" si="33"/>
        <v>61</v>
      </c>
      <c r="E161" s="546">
        <f t="shared" si="29"/>
        <v>366</v>
      </c>
      <c r="F161" s="517">
        <f t="shared" si="31"/>
        <v>0.16666666666666666</v>
      </c>
      <c r="G161" s="513"/>
      <c r="H161" s="160">
        <f>'A3.1-EDIT-DDIT'!$G$39/12</f>
        <v>118380.65162785536</v>
      </c>
      <c r="I161" s="514">
        <f t="shared" si="32"/>
        <v>19730.108604642559</v>
      </c>
      <c r="J161" s="544">
        <f t="shared" si="30"/>
        <v>642684.02946597978</v>
      </c>
      <c r="N161" s="738"/>
      <c r="O161" s="602"/>
      <c r="P161" s="602"/>
    </row>
    <row r="162" spans="1:16">
      <c r="A162" s="566">
        <f t="shared" si="28"/>
        <v>125</v>
      </c>
      <c r="B162" s="577" t="s">
        <v>154</v>
      </c>
      <c r="C162" s="601">
        <v>30</v>
      </c>
      <c r="D162" s="546">
        <f t="shared" si="33"/>
        <v>31</v>
      </c>
      <c r="E162" s="546">
        <f t="shared" si="29"/>
        <v>366</v>
      </c>
      <c r="F162" s="517">
        <f t="shared" si="31"/>
        <v>8.4699453551912565E-2</v>
      </c>
      <c r="G162" s="513"/>
      <c r="H162" s="160">
        <f>'A3.1-EDIT-DDIT'!$G$39/12</f>
        <v>118380.65162785536</v>
      </c>
      <c r="I162" s="514">
        <f t="shared" si="32"/>
        <v>10026.776503998677</v>
      </c>
      <c r="J162" s="544">
        <f t="shared" si="30"/>
        <v>652710.80596997845</v>
      </c>
      <c r="N162" s="738"/>
      <c r="O162" s="602"/>
      <c r="P162" s="602"/>
    </row>
    <row r="163" spans="1:16">
      <c r="A163" s="566">
        <f t="shared" si="28"/>
        <v>126</v>
      </c>
      <c r="B163" s="577" t="s">
        <v>399</v>
      </c>
      <c r="C163" s="601">
        <v>31</v>
      </c>
      <c r="D163" s="546">
        <v>1</v>
      </c>
      <c r="E163" s="546">
        <f t="shared" si="29"/>
        <v>366</v>
      </c>
      <c r="F163" s="517">
        <f t="shared" si="31"/>
        <v>2.7322404371584699E-3</v>
      </c>
      <c r="G163" s="513"/>
      <c r="H163" s="160">
        <f>'A3.1-EDIT-DDIT'!$G$39/12</f>
        <v>118380.65162785536</v>
      </c>
      <c r="I163" s="514">
        <f t="shared" si="32"/>
        <v>323.44440335479607</v>
      </c>
      <c r="J163" s="544">
        <f t="shared" si="30"/>
        <v>653034.25037333323</v>
      </c>
      <c r="L163" s="600"/>
      <c r="N163" s="738"/>
      <c r="O163" s="602"/>
      <c r="P163" s="602"/>
    </row>
    <row r="164" spans="1:16">
      <c r="A164" s="566">
        <f t="shared" si="28"/>
        <v>127</v>
      </c>
      <c r="B164" s="584"/>
      <c r="C164" s="584" t="s">
        <v>9</v>
      </c>
      <c r="D164" s="584"/>
      <c r="E164" s="584"/>
      <c r="F164" s="585"/>
      <c r="G164" s="578"/>
      <c r="H164" s="586">
        <f>SUM(H152:H163)</f>
        <v>1420567.8195342643</v>
      </c>
      <c r="I164" s="586">
        <f>SUM(I152:I163)</f>
        <v>653034.25037333323</v>
      </c>
      <c r="J164" s="585"/>
    </row>
    <row r="165" spans="1:16">
      <c r="B165" s="587"/>
      <c r="C165" s="587"/>
      <c r="D165" s="587"/>
      <c r="E165" s="587"/>
      <c r="F165" s="588"/>
      <c r="G165" s="588"/>
      <c r="I165" s="607"/>
      <c r="J165" s="588"/>
    </row>
    <row r="166" spans="1:16">
      <c r="A166" s="566">
        <f>+A164+1</f>
        <v>128</v>
      </c>
      <c r="B166" s="566" t="s">
        <v>729</v>
      </c>
      <c r="F166" s="566" t="s">
        <v>1006</v>
      </c>
      <c r="G166" s="588"/>
      <c r="I166" s="588"/>
      <c r="J166" s="160">
        <f>'A3.1-EDIT-DDIT'!I39</f>
        <v>-40225977</v>
      </c>
      <c r="M166" s="600"/>
      <c r="N166" s="738"/>
    </row>
    <row r="167" spans="1:16">
      <c r="A167" s="566">
        <f t="shared" ref="A167:A175" si="34">+A166+1</f>
        <v>129</v>
      </c>
      <c r="B167" s="566" t="s">
        <v>673</v>
      </c>
      <c r="F167" s="566" t="s">
        <v>1007</v>
      </c>
      <c r="G167" s="588"/>
      <c r="I167" s="588"/>
      <c r="J167" s="160">
        <f>'A3.1-EDIT-DDIT'!G39</f>
        <v>1420567.8195342643</v>
      </c>
      <c r="N167" s="738"/>
    </row>
    <row r="168" spans="1:16">
      <c r="A168" s="566">
        <f t="shared" si="34"/>
        <v>130</v>
      </c>
      <c r="B168" s="566" t="s">
        <v>730</v>
      </c>
      <c r="F168" s="566" t="s">
        <v>1097</v>
      </c>
      <c r="G168" s="588"/>
      <c r="I168" s="588"/>
      <c r="J168" s="601">
        <f>J166+J167</f>
        <v>-38805409.180465735</v>
      </c>
    </row>
    <row r="169" spans="1:16">
      <c r="A169" s="566">
        <f t="shared" si="34"/>
        <v>131</v>
      </c>
      <c r="B169" s="566" t="s">
        <v>731</v>
      </c>
      <c r="F169" s="576" t="s">
        <v>1098</v>
      </c>
      <c r="G169" s="588"/>
      <c r="I169" s="588"/>
      <c r="J169" s="590">
        <f>J168</f>
        <v>-38805409.180465735</v>
      </c>
      <c r="L169" s="576"/>
    </row>
    <row r="170" spans="1:16">
      <c r="A170" s="566">
        <f t="shared" si="34"/>
        <v>132</v>
      </c>
      <c r="B170" s="566" t="s">
        <v>643</v>
      </c>
      <c r="F170" s="566" t="s">
        <v>1099</v>
      </c>
      <c r="G170" s="588"/>
      <c r="I170" s="575"/>
      <c r="J170" s="591">
        <f>J163</f>
        <v>653034.25037333323</v>
      </c>
    </row>
    <row r="171" spans="1:16">
      <c r="A171" s="566">
        <f t="shared" si="34"/>
        <v>133</v>
      </c>
      <c r="B171" s="566" t="s">
        <v>674</v>
      </c>
      <c r="F171" s="566" t="s">
        <v>1100</v>
      </c>
      <c r="G171" s="588"/>
      <c r="I171" s="575"/>
      <c r="J171" s="601">
        <f>J169+J170</f>
        <v>-38152374.930092402</v>
      </c>
    </row>
    <row r="172" spans="1:16">
      <c r="A172" s="566">
        <f t="shared" si="34"/>
        <v>134</v>
      </c>
      <c r="B172" s="566" t="s">
        <v>1043</v>
      </c>
      <c r="G172" s="588"/>
      <c r="I172" s="575"/>
      <c r="J172" s="601">
        <v>0</v>
      </c>
    </row>
    <row r="173" spans="1:16">
      <c r="A173" s="566">
        <f t="shared" si="34"/>
        <v>135</v>
      </c>
      <c r="B173" s="566" t="s">
        <v>735</v>
      </c>
      <c r="F173" s="566" t="s">
        <v>1101</v>
      </c>
      <c r="J173" s="602">
        <f>J171</f>
        <v>-38152374.930092402</v>
      </c>
    </row>
    <row r="174" spans="1:16">
      <c r="A174" s="566">
        <f t="shared" si="34"/>
        <v>136</v>
      </c>
      <c r="B174" s="839" t="s">
        <v>910</v>
      </c>
      <c r="F174" s="123" t="s">
        <v>908</v>
      </c>
      <c r="J174" s="841">
        <f>'A3.1-EDIT-DDIT'!O43</f>
        <v>0.22680814926774853</v>
      </c>
    </row>
    <row r="175" spans="1:16">
      <c r="A175" s="566">
        <f t="shared" si="34"/>
        <v>137</v>
      </c>
      <c r="B175" s="569" t="s">
        <v>652</v>
      </c>
      <c r="F175" s="566" t="s">
        <v>1049</v>
      </c>
      <c r="J175" s="592">
        <f>J173*J174</f>
        <v>-8653269.5480635036</v>
      </c>
      <c r="L175" s="600"/>
      <c r="M175" s="602"/>
      <c r="N175" s="600"/>
    </row>
    <row r="176" spans="1:16">
      <c r="J176" s="605"/>
      <c r="M176" s="600"/>
      <c r="N176" s="600"/>
    </row>
    <row r="177" spans="10:12">
      <c r="J177" s="606"/>
      <c r="L177" s="606"/>
    </row>
  </sheetData>
  <mergeCells count="25">
    <mergeCell ref="A74:K74"/>
    <mergeCell ref="A1:K1"/>
    <mergeCell ref="A2:K2"/>
    <mergeCell ref="A3:K3"/>
    <mergeCell ref="B7:F7"/>
    <mergeCell ref="H7:J7"/>
    <mergeCell ref="A39:K39"/>
    <mergeCell ref="A40:K40"/>
    <mergeCell ref="A41:K41"/>
    <mergeCell ref="B45:F45"/>
    <mergeCell ref="H45:J45"/>
    <mergeCell ref="A73:K73"/>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s>
  <pageMargins left="0.5" right="0.25" top="1" bottom="1" header="0.5" footer="0.5"/>
  <pageSetup scale="58" fitToHeight="0" orientation="portrait" r:id="rId1"/>
  <headerFooter alignWithMargins="0">
    <oddHeader xml:space="preserve">&amp;C&amp;"Times New Roman,Regular"&amp;KFF0000CUI//PRIV&amp;K000000
FOR SETTLEMENT PURPOSES ONLY 
SUBJECT TO RULES 602 AND 606
</oddHeader>
  </headerFooter>
  <rowBreaks count="4" manualBreakCount="4">
    <brk id="38" max="9" man="1"/>
    <brk id="72" max="9" man="1"/>
    <brk id="106" max="9" man="1"/>
    <brk id="140" max="9" man="1"/>
  </rowBreaks>
  <ignoredErrors>
    <ignoredError sqref="J32 J103" formula="1"/>
    <ignoredError sqref="E13:E23 E152:E163 E118:E129 E84:E95 E50:E61 D52:D60 D50:D51 D61 D12:D23 D152:D163 D118:D129 D84:D95 C51 C85 C119 C15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S265"/>
  <sheetViews>
    <sheetView topLeftCell="A3" zoomScaleNormal="100" workbookViewId="0">
      <selection activeCell="D79" sqref="D79"/>
    </sheetView>
  </sheetViews>
  <sheetFormatPr defaultColWidth="8.6328125" defaultRowHeight="13.2"/>
  <cols>
    <col min="1" max="1" width="4.1796875" style="93" customWidth="1"/>
    <col min="2" max="2" width="40.08984375" style="93" customWidth="1"/>
    <col min="3" max="3" width="40.36328125" style="93" customWidth="1"/>
    <col min="4" max="4" width="14.08984375" style="93" customWidth="1"/>
    <col min="5" max="5" width="5.90625" style="93" customWidth="1"/>
    <col min="6" max="6" width="3.54296875" style="93" customWidth="1"/>
    <col min="7" max="7" width="11.54296875" style="93" customWidth="1"/>
    <col min="8" max="8" width="3.1796875" style="93" bestFit="1" customWidth="1"/>
    <col min="9" max="9" width="10.6328125" style="93" customWidth="1"/>
    <col min="10" max="10" width="1.453125" style="93" customWidth="1"/>
    <col min="11" max="11" width="6.54296875" style="93" customWidth="1"/>
    <col min="12" max="12" width="8.6328125" style="93"/>
    <col min="13" max="14" width="10.6328125" style="93" customWidth="1"/>
    <col min="15" max="15" width="9.1796875" style="93" bestFit="1" customWidth="1"/>
    <col min="16" max="16" width="8.6328125" style="93"/>
    <col min="17" max="17" width="10.1796875" style="93" customWidth="1"/>
    <col min="18" max="18" width="8.6328125" style="93"/>
    <col min="19" max="19" width="10.1796875" style="93" customWidth="1"/>
    <col min="20" max="16384" width="8.6328125" style="93"/>
  </cols>
  <sheetData>
    <row r="1" spans="1:11">
      <c r="B1" s="62"/>
      <c r="C1" s="62"/>
      <c r="D1" s="94"/>
      <c r="E1" s="62"/>
      <c r="F1" s="62"/>
      <c r="G1" s="62"/>
      <c r="H1" s="62"/>
      <c r="I1" s="912" t="s">
        <v>369</v>
      </c>
      <c r="J1" s="912"/>
      <c r="K1" s="912"/>
    </row>
    <row r="2" spans="1:11">
      <c r="B2" s="62"/>
      <c r="C2" s="62"/>
      <c r="D2" s="94"/>
      <c r="E2" s="62"/>
      <c r="F2" s="62"/>
      <c r="G2" s="62"/>
      <c r="H2" s="62"/>
      <c r="I2" s="62"/>
      <c r="J2" s="911" t="s">
        <v>193</v>
      </c>
      <c r="K2" s="911"/>
    </row>
    <row r="3" spans="1:11">
      <c r="B3" s="62"/>
      <c r="D3" s="94"/>
      <c r="E3" s="62"/>
      <c r="F3" s="62"/>
      <c r="G3" s="62"/>
      <c r="H3" s="62"/>
      <c r="I3" s="62"/>
      <c r="J3" s="62"/>
      <c r="K3" s="95"/>
    </row>
    <row r="4" spans="1:11">
      <c r="B4" s="94" t="s">
        <v>0</v>
      </c>
      <c r="C4" s="68" t="s">
        <v>112</v>
      </c>
      <c r="E4" s="62"/>
      <c r="F4" s="62"/>
      <c r="G4" s="62"/>
      <c r="H4" s="62"/>
      <c r="I4" s="62"/>
      <c r="J4" s="62"/>
      <c r="K4" s="96" t="s">
        <v>1250</v>
      </c>
    </row>
    <row r="5" spans="1:11">
      <c r="B5" s="62"/>
      <c r="C5" s="98" t="s">
        <v>113</v>
      </c>
      <c r="E5" s="97"/>
      <c r="F5" s="97"/>
      <c r="G5" s="97"/>
      <c r="H5" s="62"/>
      <c r="I5" s="62"/>
      <c r="J5" s="62"/>
      <c r="K5" s="62"/>
    </row>
    <row r="6" spans="1:11">
      <c r="B6" s="62"/>
      <c r="C6" s="97"/>
      <c r="D6" s="97"/>
      <c r="E6" s="97"/>
      <c r="F6" s="97"/>
      <c r="G6" s="97"/>
      <c r="H6" s="62"/>
      <c r="I6" s="62"/>
      <c r="J6" s="62"/>
      <c r="K6" s="62"/>
    </row>
    <row r="7" spans="1:11">
      <c r="B7" s="62"/>
      <c r="C7" s="99" t="s">
        <v>912</v>
      </c>
      <c r="E7" s="97"/>
      <c r="F7" s="97"/>
      <c r="G7" s="97"/>
      <c r="H7" s="97"/>
      <c r="I7" s="97"/>
      <c r="J7" s="97"/>
      <c r="K7" s="97"/>
    </row>
    <row r="8" spans="1:11">
      <c r="A8" s="68" t="s">
        <v>4</v>
      </c>
      <c r="B8" s="62"/>
      <c r="C8" s="62"/>
      <c r="D8" s="100"/>
      <c r="E8" s="62"/>
      <c r="F8" s="62"/>
      <c r="G8" s="62"/>
      <c r="H8" s="62"/>
      <c r="I8" s="68" t="s">
        <v>5</v>
      </c>
      <c r="J8" s="62"/>
      <c r="K8" s="62"/>
    </row>
    <row r="9" spans="1:11" ht="13.8" thickBot="1">
      <c r="A9" s="101" t="s">
        <v>6</v>
      </c>
      <c r="B9" s="62"/>
      <c r="C9" s="62"/>
      <c r="D9" s="62"/>
      <c r="E9" s="62"/>
      <c r="F9" s="62"/>
      <c r="G9" s="62"/>
      <c r="H9" s="62"/>
      <c r="I9" s="101" t="s">
        <v>7</v>
      </c>
      <c r="J9" s="62"/>
      <c r="K9" s="62"/>
    </row>
    <row r="10" spans="1:11">
      <c r="A10" s="68">
        <v>1</v>
      </c>
      <c r="B10" s="62" t="s">
        <v>709</v>
      </c>
      <c r="C10" s="62"/>
      <c r="D10" s="97"/>
      <c r="E10" s="62"/>
      <c r="F10" s="62"/>
      <c r="G10" s="62"/>
      <c r="H10" s="62"/>
      <c r="I10" s="102">
        <f>'Act Att-H'!I156</f>
        <v>25541035.202106193</v>
      </c>
      <c r="J10" s="62"/>
      <c r="K10" s="62"/>
    </row>
    <row r="11" spans="1:11">
      <c r="A11" s="68"/>
      <c r="B11" s="62"/>
      <c r="C11" s="62"/>
      <c r="D11" s="62"/>
      <c r="E11" s="62"/>
      <c r="F11" s="62"/>
      <c r="G11" s="62"/>
      <c r="H11" s="62"/>
      <c r="I11" s="97"/>
      <c r="J11" s="62"/>
      <c r="K11" s="62"/>
    </row>
    <row r="12" spans="1:11" ht="15.75" customHeight="1" thickBot="1">
      <c r="A12" s="68" t="s">
        <v>2</v>
      </c>
      <c r="B12" s="62" t="s">
        <v>8</v>
      </c>
      <c r="C12" s="97" t="s">
        <v>355</v>
      </c>
      <c r="D12" s="101" t="s">
        <v>9</v>
      </c>
      <c r="E12" s="97"/>
      <c r="F12" s="913" t="s">
        <v>10</v>
      </c>
      <c r="G12" s="913"/>
      <c r="H12" s="62"/>
      <c r="I12" s="97"/>
      <c r="J12" s="62"/>
      <c r="K12" s="62"/>
    </row>
    <row r="13" spans="1:11">
      <c r="A13" s="68">
        <v>2</v>
      </c>
      <c r="B13" s="62" t="s">
        <v>12</v>
      </c>
      <c r="C13" s="97" t="s">
        <v>496</v>
      </c>
      <c r="D13" s="160">
        <f>'A1-RevCred'!J14</f>
        <v>502.17343589929112</v>
      </c>
      <c r="E13" s="97"/>
      <c r="F13" s="105" t="s">
        <v>290</v>
      </c>
      <c r="G13" s="104">
        <v>1</v>
      </c>
      <c r="H13" s="97"/>
      <c r="I13" s="54">
        <f>+G13*D13</f>
        <v>502.17343589929112</v>
      </c>
      <c r="J13" s="62"/>
      <c r="K13" s="62"/>
    </row>
    <row r="14" spans="1:11">
      <c r="A14" s="68">
        <v>3</v>
      </c>
      <c r="B14" s="62" t="s">
        <v>102</v>
      </c>
      <c r="C14" s="97" t="s">
        <v>609</v>
      </c>
      <c r="D14" s="160">
        <f>'A1-RevCred'!F50</f>
        <v>468959</v>
      </c>
      <c r="E14" s="97"/>
      <c r="F14" s="105" t="s">
        <v>290</v>
      </c>
      <c r="G14" s="104">
        <v>1</v>
      </c>
      <c r="H14" s="97"/>
      <c r="I14" s="54">
        <f>+G14*D14</f>
        <v>468959</v>
      </c>
      <c r="J14" s="62"/>
      <c r="K14" s="62"/>
    </row>
    <row r="15" spans="1:11">
      <c r="A15" s="68">
        <v>4</v>
      </c>
      <c r="B15" s="162" t="s">
        <v>441</v>
      </c>
      <c r="C15" s="97"/>
      <c r="D15" s="161"/>
      <c r="E15" s="97"/>
      <c r="F15" s="105"/>
      <c r="G15" s="104"/>
      <c r="H15" s="97"/>
      <c r="I15" s="54"/>
      <c r="J15" s="62"/>
      <c r="K15" s="62"/>
    </row>
    <row r="16" spans="1:11" ht="13.8" thickBot="1">
      <c r="A16" s="68">
        <v>5</v>
      </c>
      <c r="B16" s="162" t="s">
        <v>441</v>
      </c>
      <c r="C16" s="97"/>
      <c r="D16" s="161"/>
      <c r="E16" s="97"/>
      <c r="F16" s="105"/>
      <c r="G16" s="104"/>
      <c r="H16" s="97"/>
      <c r="I16" s="55"/>
      <c r="J16" s="62"/>
      <c r="K16" s="62"/>
    </row>
    <row r="17" spans="1:11">
      <c r="A17" s="68">
        <v>6</v>
      </c>
      <c r="B17" s="62" t="s">
        <v>88</v>
      </c>
      <c r="C17" s="62"/>
      <c r="D17" s="107" t="s">
        <v>2</v>
      </c>
      <c r="E17" s="97"/>
      <c r="F17" s="97"/>
      <c r="G17" s="108"/>
      <c r="H17" s="97"/>
      <c r="I17" s="54">
        <f>SUM(I13:I16)</f>
        <v>469461.17343589931</v>
      </c>
      <c r="J17" s="62"/>
      <c r="K17" s="62"/>
    </row>
    <row r="18" spans="1:11">
      <c r="A18" s="68"/>
      <c r="B18" s="62"/>
      <c r="C18" s="62"/>
      <c r="I18" s="54"/>
      <c r="J18" s="62"/>
      <c r="K18" s="62"/>
    </row>
    <row r="19" spans="1:11" ht="13.8" thickBot="1">
      <c r="A19" s="68">
        <v>7</v>
      </c>
      <c r="B19" s="62" t="s">
        <v>13</v>
      </c>
      <c r="C19" s="62" t="s">
        <v>617</v>
      </c>
      <c r="D19" s="107"/>
      <c r="E19" s="97"/>
      <c r="F19" s="97"/>
      <c r="G19" s="97"/>
      <c r="H19" s="97"/>
      <c r="I19" s="109">
        <f>I10-I17</f>
        <v>25071574.028670292</v>
      </c>
      <c r="J19" s="62"/>
      <c r="K19" s="62"/>
    </row>
    <row r="20" spans="1:11" ht="13.8" thickTop="1">
      <c r="A20" s="68"/>
      <c r="B20" s="62"/>
      <c r="C20" s="62"/>
      <c r="D20" s="107"/>
      <c r="E20" s="97"/>
      <c r="F20" s="97"/>
      <c r="G20" s="97"/>
      <c r="H20" s="97"/>
      <c r="I20" s="395"/>
      <c r="J20" s="62"/>
      <c r="K20" s="62"/>
    </row>
    <row r="21" spans="1:11">
      <c r="A21" s="68"/>
      <c r="B21" s="62" t="s">
        <v>14</v>
      </c>
      <c r="C21" s="62"/>
      <c r="D21" s="97"/>
      <c r="E21" s="62"/>
      <c r="F21" s="62"/>
      <c r="G21" s="62"/>
      <c r="H21" s="62"/>
      <c r="I21" s="97"/>
      <c r="J21" s="62"/>
      <c r="K21" s="62"/>
    </row>
    <row r="22" spans="1:11">
      <c r="A22" s="68">
        <v>8</v>
      </c>
      <c r="B22" s="62" t="s">
        <v>206</v>
      </c>
      <c r="C22" s="93" t="s">
        <v>497</v>
      </c>
      <c r="D22" s="97"/>
      <c r="E22" s="62"/>
      <c r="F22" s="62"/>
      <c r="G22" s="62"/>
      <c r="H22" s="62"/>
      <c r="I22" s="160">
        <f>'A6-Divisor'!E21</f>
        <v>407583.33333333331</v>
      </c>
      <c r="J22" s="62"/>
      <c r="K22" s="62"/>
    </row>
    <row r="23" spans="1:11">
      <c r="A23" s="68">
        <v>9</v>
      </c>
      <c r="B23" s="62"/>
      <c r="C23" s="97"/>
      <c r="D23" s="97"/>
      <c r="E23" s="97"/>
      <c r="F23" s="97"/>
      <c r="G23" s="97"/>
      <c r="H23" s="97"/>
      <c r="I23" s="97"/>
      <c r="J23" s="62"/>
      <c r="K23" s="62"/>
    </row>
    <row r="24" spans="1:11">
      <c r="A24" s="68">
        <v>10</v>
      </c>
      <c r="B24" s="97" t="s">
        <v>205</v>
      </c>
      <c r="C24" s="97"/>
      <c r="D24" s="97"/>
      <c r="E24" s="97"/>
      <c r="F24" s="97"/>
      <c r="G24" s="97"/>
      <c r="H24" s="97"/>
      <c r="I24" s="97"/>
      <c r="J24" s="97"/>
      <c r="K24" s="62"/>
    </row>
    <row r="25" spans="1:11">
      <c r="A25" s="68">
        <v>11</v>
      </c>
      <c r="B25" s="62" t="s">
        <v>207</v>
      </c>
      <c r="C25" s="62"/>
      <c r="D25" s="713">
        <f>ROUND(I19/I22,2)</f>
        <v>61.51</v>
      </c>
      <c r="E25" s="62" t="s">
        <v>197</v>
      </c>
      <c r="F25" s="97"/>
      <c r="G25" s="97"/>
      <c r="H25" s="97"/>
      <c r="I25" s="97"/>
      <c r="J25" s="97"/>
      <c r="K25" s="62"/>
    </row>
    <row r="26" spans="1:11">
      <c r="A26" s="68">
        <v>12</v>
      </c>
      <c r="B26" s="62" t="s">
        <v>208</v>
      </c>
      <c r="C26" s="62" t="s">
        <v>603</v>
      </c>
      <c r="D26" s="713">
        <f>ROUND(D25/12,2)</f>
        <v>5.13</v>
      </c>
      <c r="E26" s="62" t="s">
        <v>198</v>
      </c>
      <c r="F26" s="97"/>
      <c r="G26" s="97"/>
      <c r="H26" s="97"/>
      <c r="I26" s="97"/>
      <c r="J26" s="97"/>
      <c r="K26" s="62"/>
    </row>
    <row r="27" spans="1:11">
      <c r="A27" s="68">
        <v>13</v>
      </c>
      <c r="B27" s="62" t="s">
        <v>209</v>
      </c>
      <c r="C27" s="62" t="s">
        <v>604</v>
      </c>
      <c r="D27" s="713">
        <f>ROUND(D25/52,2)</f>
        <v>1.18</v>
      </c>
      <c r="E27" s="62" t="s">
        <v>199</v>
      </c>
      <c r="F27" s="97"/>
      <c r="G27" s="97"/>
      <c r="H27" s="97"/>
      <c r="I27" s="97"/>
      <c r="J27" s="97"/>
      <c r="K27" s="62"/>
    </row>
    <row r="28" spans="1:11">
      <c r="A28" s="68">
        <v>14</v>
      </c>
      <c r="B28" s="62" t="s">
        <v>210</v>
      </c>
      <c r="C28" s="62" t="s">
        <v>200</v>
      </c>
      <c r="D28" s="714">
        <f>+D27/6</f>
        <v>0.19666666666666666</v>
      </c>
      <c r="E28" s="62" t="s">
        <v>201</v>
      </c>
      <c r="F28" s="97"/>
      <c r="G28" s="97"/>
      <c r="H28" s="97"/>
      <c r="I28" s="97"/>
      <c r="J28" s="97"/>
      <c r="K28" s="62"/>
    </row>
    <row r="29" spans="1:11">
      <c r="A29" s="68">
        <v>15</v>
      </c>
      <c r="B29" s="62" t="s">
        <v>211</v>
      </c>
      <c r="C29" s="62" t="s">
        <v>202</v>
      </c>
      <c r="D29" s="714">
        <f>+D27/7</f>
        <v>0.16857142857142857</v>
      </c>
      <c r="E29" s="62" t="s">
        <v>201</v>
      </c>
      <c r="F29" s="97"/>
      <c r="G29" s="97"/>
      <c r="H29" s="97"/>
      <c r="I29" s="97"/>
      <c r="J29" s="97"/>
      <c r="K29" s="62"/>
    </row>
    <row r="30" spans="1:11">
      <c r="A30" s="68">
        <v>16</v>
      </c>
      <c r="B30" s="62" t="s">
        <v>212</v>
      </c>
      <c r="C30" s="62" t="s">
        <v>203</v>
      </c>
      <c r="D30" s="713">
        <f>+D28/16*1000</f>
        <v>12.291666666666666</v>
      </c>
      <c r="E30" s="62" t="s">
        <v>668</v>
      </c>
      <c r="F30" s="97"/>
      <c r="G30" s="97"/>
      <c r="H30" s="97"/>
      <c r="I30" s="97"/>
      <c r="J30" s="97"/>
      <c r="K30" s="62"/>
    </row>
    <row r="31" spans="1:11">
      <c r="A31" s="68">
        <v>17</v>
      </c>
      <c r="B31" s="62" t="s">
        <v>213</v>
      </c>
      <c r="C31" s="62" t="s">
        <v>204</v>
      </c>
      <c r="D31" s="713">
        <f>+D29/24*1000</f>
        <v>7.0238095238095237</v>
      </c>
      <c r="E31" s="62" t="s">
        <v>668</v>
      </c>
      <c r="F31" s="97"/>
      <c r="G31" s="97"/>
      <c r="H31" s="97"/>
      <c r="I31" s="97"/>
      <c r="J31" s="97"/>
      <c r="K31" s="62"/>
    </row>
    <row r="32" spans="1:11">
      <c r="B32" s="62"/>
      <c r="C32" s="62"/>
      <c r="D32" s="94"/>
      <c r="E32" s="62"/>
      <c r="F32" s="62"/>
      <c r="G32" s="62"/>
      <c r="H32" s="62"/>
      <c r="I32" s="912" t="str">
        <f>I1</f>
        <v>Actual Attachment H</v>
      </c>
      <c r="J32" s="912"/>
      <c r="K32" s="912"/>
    </row>
    <row r="33" spans="1:11">
      <c r="B33" s="62"/>
      <c r="C33" s="62"/>
      <c r="D33" s="94"/>
      <c r="E33" s="62"/>
      <c r="F33" s="62"/>
      <c r="G33" s="62"/>
      <c r="H33" s="62"/>
      <c r="I33" s="62"/>
      <c r="J33" s="911" t="s">
        <v>194</v>
      </c>
      <c r="K33" s="911"/>
    </row>
    <row r="34" spans="1:11">
      <c r="B34" s="62"/>
      <c r="C34" s="62"/>
      <c r="D34" s="94"/>
      <c r="E34" s="62"/>
      <c r="F34" s="62"/>
      <c r="G34" s="62"/>
      <c r="H34" s="62"/>
      <c r="I34" s="62"/>
      <c r="J34" s="62"/>
      <c r="K34" s="95"/>
    </row>
    <row r="35" spans="1:11">
      <c r="B35" s="94" t="s">
        <v>0</v>
      </c>
      <c r="C35" s="68" t="s">
        <v>1</v>
      </c>
      <c r="E35" s="62"/>
      <c r="F35" s="62"/>
      <c r="G35" s="62"/>
      <c r="H35" s="62"/>
      <c r="I35" s="62"/>
      <c r="J35" s="62"/>
      <c r="K35" s="110" t="str">
        <f>K4</f>
        <v>Actuals - For the 12 months ended 12/31/2022</v>
      </c>
    </row>
    <row r="36" spans="1:11">
      <c r="B36" s="62"/>
      <c r="C36" s="98" t="s">
        <v>3</v>
      </c>
      <c r="E36" s="97"/>
      <c r="F36" s="97"/>
      <c r="G36" s="97"/>
      <c r="H36" s="62"/>
      <c r="I36" s="62"/>
      <c r="J36" s="62"/>
      <c r="K36" s="62"/>
    </row>
    <row r="37" spans="1:11">
      <c r="B37" s="62"/>
      <c r="D37" s="97"/>
      <c r="E37" s="97"/>
      <c r="F37" s="97"/>
      <c r="G37" s="97"/>
      <c r="H37" s="62"/>
      <c r="I37" s="62"/>
      <c r="J37" s="62"/>
      <c r="K37" s="62"/>
    </row>
    <row r="38" spans="1:11">
      <c r="A38" s="68"/>
      <c r="C38" s="111" t="str">
        <f>C7</f>
        <v>Black Hills Colorado Electric, LLC</v>
      </c>
      <c r="J38" s="97"/>
      <c r="K38" s="97"/>
    </row>
    <row r="39" spans="1:11">
      <c r="B39" s="62"/>
      <c r="C39" s="62"/>
      <c r="D39" s="62"/>
      <c r="E39" s="62"/>
      <c r="F39" s="62"/>
      <c r="G39" s="62"/>
      <c r="H39" s="62"/>
      <c r="J39" s="62"/>
      <c r="K39" s="62"/>
    </row>
    <row r="40" spans="1:11">
      <c r="B40" s="68" t="s">
        <v>15</v>
      </c>
      <c r="C40" s="68" t="s">
        <v>16</v>
      </c>
      <c r="D40" s="68" t="s">
        <v>17</v>
      </c>
      <c r="E40" s="97" t="s">
        <v>2</v>
      </c>
      <c r="F40" s="97"/>
      <c r="G40" s="112" t="s">
        <v>18</v>
      </c>
      <c r="H40" s="97"/>
      <c r="I40" s="113" t="s">
        <v>19</v>
      </c>
      <c r="J40" s="97"/>
      <c r="K40" s="68"/>
    </row>
    <row r="41" spans="1:11">
      <c r="B41" s="62"/>
      <c r="C41" s="114" t="s">
        <v>20</v>
      </c>
      <c r="D41" s="97"/>
      <c r="E41" s="97"/>
      <c r="F41" s="97"/>
      <c r="G41" s="68"/>
      <c r="H41" s="97"/>
      <c r="I41" s="115" t="s">
        <v>21</v>
      </c>
      <c r="J41" s="97"/>
      <c r="K41" s="68"/>
    </row>
    <row r="42" spans="1:11">
      <c r="A42" s="68" t="s">
        <v>4</v>
      </c>
      <c r="B42" s="62"/>
      <c r="C42" s="116" t="s">
        <v>22</v>
      </c>
      <c r="D42" s="115" t="s">
        <v>23</v>
      </c>
      <c r="E42" s="117"/>
      <c r="F42" s="115" t="s">
        <v>24</v>
      </c>
      <c r="H42" s="117"/>
      <c r="I42" s="68" t="s">
        <v>25</v>
      </c>
      <c r="J42" s="97"/>
      <c r="K42" s="68"/>
    </row>
    <row r="43" spans="1:11" ht="13.8" thickBot="1">
      <c r="A43" s="101" t="s">
        <v>6</v>
      </c>
      <c r="B43" s="118" t="s">
        <v>363</v>
      </c>
      <c r="C43" s="97"/>
      <c r="D43" s="97"/>
      <c r="E43" s="97"/>
      <c r="F43" s="97"/>
      <c r="G43" s="97"/>
      <c r="H43" s="97"/>
      <c r="I43" s="97"/>
      <c r="J43" s="97"/>
      <c r="K43" s="97"/>
    </row>
    <row r="44" spans="1:11">
      <c r="A44" s="68"/>
      <c r="B44" s="62" t="s">
        <v>361</v>
      </c>
      <c r="C44" s="97"/>
      <c r="D44" s="97"/>
      <c r="E44" s="97"/>
      <c r="F44" s="97"/>
      <c r="G44" s="97"/>
      <c r="H44" s="97"/>
      <c r="I44" s="97"/>
      <c r="J44" s="97"/>
      <c r="K44" s="97"/>
    </row>
    <row r="45" spans="1:11">
      <c r="A45" s="68">
        <v>1</v>
      </c>
      <c r="B45" s="62" t="s">
        <v>26</v>
      </c>
      <c r="C45" s="42" t="s">
        <v>501</v>
      </c>
      <c r="D45" s="160">
        <f>'A4-Rate Base'!C23</f>
        <v>425332814.78615391</v>
      </c>
      <c r="E45" s="97"/>
      <c r="F45" s="97" t="s">
        <v>27</v>
      </c>
      <c r="G45" s="119" t="s">
        <v>2</v>
      </c>
      <c r="H45" s="97"/>
      <c r="I45" s="54">
        <v>0</v>
      </c>
      <c r="J45" s="97"/>
      <c r="K45" s="97"/>
    </row>
    <row r="46" spans="1:11">
      <c r="A46" s="68">
        <v>2</v>
      </c>
      <c r="B46" s="62" t="s">
        <v>28</v>
      </c>
      <c r="C46" s="42" t="s">
        <v>502</v>
      </c>
      <c r="D46" s="160">
        <f>'A4-Rate Base'!D23</f>
        <v>255097845.26384613</v>
      </c>
      <c r="E46" s="97"/>
      <c r="F46" s="97" t="s">
        <v>11</v>
      </c>
      <c r="G46" s="104">
        <f>$I$175</f>
        <v>0.93124420194583424</v>
      </c>
      <c r="H46" s="97"/>
      <c r="I46" s="54">
        <f>+G46*D46</f>
        <v>237558389.3308323</v>
      </c>
      <c r="J46" s="97"/>
      <c r="K46" s="97"/>
    </row>
    <row r="47" spans="1:11">
      <c r="A47" s="68">
        <v>3</v>
      </c>
      <c r="B47" s="62" t="s">
        <v>29</v>
      </c>
      <c r="C47" s="42" t="s">
        <v>503</v>
      </c>
      <c r="D47" s="160">
        <f>'A4-Rate Base'!E23</f>
        <v>395453458.89769226</v>
      </c>
      <c r="E47" s="97"/>
      <c r="F47" s="97" t="s">
        <v>27</v>
      </c>
      <c r="G47" s="119" t="s">
        <v>2</v>
      </c>
      <c r="H47" s="97"/>
      <c r="I47" s="54">
        <v>0</v>
      </c>
      <c r="J47" s="97"/>
      <c r="K47" s="97"/>
    </row>
    <row r="48" spans="1:11">
      <c r="A48" s="68">
        <v>4</v>
      </c>
      <c r="B48" s="62" t="s">
        <v>30</v>
      </c>
      <c r="C48" s="42" t="s">
        <v>1079</v>
      </c>
      <c r="D48" s="160">
        <f>'A4-Rate Base'!F23</f>
        <v>42380370.828461543</v>
      </c>
      <c r="E48" s="97"/>
      <c r="F48" s="97" t="s">
        <v>31</v>
      </c>
      <c r="G48" s="120">
        <f>$I$192</f>
        <v>0.12706661096257854</v>
      </c>
      <c r="H48" s="97"/>
      <c r="I48" s="54">
        <f>+G48*D48</f>
        <v>5385130.0925099356</v>
      </c>
      <c r="J48" s="97"/>
      <c r="K48" s="97"/>
    </row>
    <row r="49" spans="1:11">
      <c r="A49" s="68">
        <v>5</v>
      </c>
      <c r="B49" s="62" t="s">
        <v>58</v>
      </c>
      <c r="C49" s="42" t="s">
        <v>504</v>
      </c>
      <c r="D49" s="160">
        <f>'A4-Rate Base'!G23</f>
        <v>22764182.923076924</v>
      </c>
      <c r="E49" s="97"/>
      <c r="F49" s="97" t="s">
        <v>1256</v>
      </c>
      <c r="G49" s="120">
        <f>$K$196</f>
        <v>0.12451406279937895</v>
      </c>
      <c r="H49" s="97"/>
      <c r="I49" s="54">
        <f>+G49*D49</f>
        <v>2834460.9020605497</v>
      </c>
      <c r="J49" s="97"/>
      <c r="K49" s="97"/>
    </row>
    <row r="50" spans="1:11">
      <c r="A50" s="68">
        <v>6</v>
      </c>
      <c r="B50" s="62" t="s">
        <v>281</v>
      </c>
      <c r="C50" s="43" t="s">
        <v>280</v>
      </c>
      <c r="D50" s="170">
        <f>SUM(D45:D49)</f>
        <v>1141028672.6992309</v>
      </c>
      <c r="E50" s="97"/>
      <c r="F50" s="97" t="s">
        <v>32</v>
      </c>
      <c r="G50" s="104">
        <f>IF(I50&gt;0,I50/D50,0)</f>
        <v>0.21540035426453175</v>
      </c>
      <c r="H50" s="97"/>
      <c r="I50" s="170">
        <f>SUM(I45:I49)</f>
        <v>245777980.32540277</v>
      </c>
      <c r="J50" s="97"/>
      <c r="K50" s="355"/>
    </row>
    <row r="51" spans="1:11">
      <c r="B51" s="62"/>
      <c r="C51" s="97"/>
      <c r="D51" s="97"/>
      <c r="E51" s="97"/>
      <c r="F51" s="97"/>
      <c r="G51" s="122"/>
      <c r="H51" s="97"/>
      <c r="I51" s="54"/>
      <c r="J51" s="97"/>
      <c r="K51" s="122"/>
    </row>
    <row r="52" spans="1:11">
      <c r="B52" s="62" t="s">
        <v>362</v>
      </c>
      <c r="C52" s="97"/>
      <c r="D52" s="97"/>
      <c r="E52" s="97"/>
      <c r="F52" s="97"/>
      <c r="G52" s="97"/>
      <c r="H52" s="97"/>
      <c r="I52" s="97"/>
      <c r="J52" s="97"/>
      <c r="K52" s="97"/>
    </row>
    <row r="53" spans="1:11">
      <c r="A53" s="68">
        <v>7</v>
      </c>
      <c r="B53" s="123" t="str">
        <f>+B45</f>
        <v xml:space="preserve">  Production</v>
      </c>
      <c r="C53" s="42" t="s">
        <v>505</v>
      </c>
      <c r="D53" s="160">
        <f>'A4-Rate Base'!E46</f>
        <v>121205250.92437965</v>
      </c>
      <c r="E53" s="97"/>
      <c r="F53" s="105" t="str">
        <f>+F45</f>
        <v>NA</v>
      </c>
      <c r="G53" s="120"/>
      <c r="H53" s="97"/>
      <c r="I53" s="54">
        <v>0</v>
      </c>
      <c r="J53" s="97"/>
      <c r="K53" s="97"/>
    </row>
    <row r="54" spans="1:11">
      <c r="A54" s="68">
        <v>8</v>
      </c>
      <c r="B54" s="123" t="str">
        <f>+B46</f>
        <v xml:space="preserve">  Transmission</v>
      </c>
      <c r="C54" s="42" t="s">
        <v>506</v>
      </c>
      <c r="D54" s="160">
        <f>'A4-Rate Base'!F46</f>
        <v>47089685.003158025</v>
      </c>
      <c r="E54" s="97"/>
      <c r="F54" s="105" t="str">
        <f t="shared" ref="F54:F57" si="0">+F46</f>
        <v>TP</v>
      </c>
      <c r="G54" s="104">
        <f>$I$175</f>
        <v>0.93124420194583424</v>
      </c>
      <c r="H54" s="97"/>
      <c r="I54" s="54">
        <f>+G54*D54</f>
        <v>43851996.130646616</v>
      </c>
      <c r="J54" s="97"/>
      <c r="K54" s="97"/>
    </row>
    <row r="55" spans="1:11">
      <c r="A55" s="68">
        <v>9</v>
      </c>
      <c r="B55" s="123" t="str">
        <f>+B47</f>
        <v xml:space="preserve">  Distribution</v>
      </c>
      <c r="C55" s="42" t="s">
        <v>507</v>
      </c>
      <c r="D55" s="160">
        <f>'A4-Rate Base'!G46</f>
        <v>155098915.78578222</v>
      </c>
      <c r="E55" s="97"/>
      <c r="F55" s="105" t="str">
        <f t="shared" si="0"/>
        <v>NA</v>
      </c>
      <c r="G55" s="120"/>
      <c r="H55" s="97"/>
      <c r="I55" s="54">
        <v>0</v>
      </c>
      <c r="J55" s="97"/>
      <c r="K55" s="97"/>
    </row>
    <row r="56" spans="1:11">
      <c r="A56" s="68">
        <v>10</v>
      </c>
      <c r="B56" s="123" t="str">
        <f>+B48</f>
        <v xml:space="preserve">  General &amp; Intangible</v>
      </c>
      <c r="C56" s="42" t="s">
        <v>508</v>
      </c>
      <c r="D56" s="160">
        <f>'A4-Rate Base'!H46</f>
        <v>20654574.548218567</v>
      </c>
      <c r="E56" s="97"/>
      <c r="F56" s="105" t="str">
        <f t="shared" si="0"/>
        <v>W/S</v>
      </c>
      <c r="G56" s="120">
        <f>$I$192</f>
        <v>0.12706661096257854</v>
      </c>
      <c r="H56" s="97"/>
      <c r="I56" s="54">
        <f>+G56*D56</f>
        <v>2624506.7887160652</v>
      </c>
      <c r="J56" s="97"/>
      <c r="K56" s="97"/>
    </row>
    <row r="57" spans="1:11">
      <c r="A57" s="68">
        <v>11</v>
      </c>
      <c r="B57" s="123" t="str">
        <f>+B49</f>
        <v xml:space="preserve">  Other</v>
      </c>
      <c r="C57" s="42" t="s">
        <v>509</v>
      </c>
      <c r="D57" s="160">
        <f>'A4-Rate Base'!I46</f>
        <v>5028451.076923077</v>
      </c>
      <c r="E57" s="97"/>
      <c r="F57" s="105" t="str">
        <f t="shared" si="0"/>
        <v>OE</v>
      </c>
      <c r="G57" s="120">
        <f>$K$196</f>
        <v>0.12451406279937895</v>
      </c>
      <c r="H57" s="97"/>
      <c r="I57" s="50">
        <f>+G57*D57</f>
        <v>626112.87317560473</v>
      </c>
      <c r="J57" s="97"/>
      <c r="K57" s="97"/>
    </row>
    <row r="58" spans="1:11">
      <c r="A58" s="68">
        <v>12</v>
      </c>
      <c r="B58" s="62" t="s">
        <v>283</v>
      </c>
      <c r="C58" s="43" t="s">
        <v>282</v>
      </c>
      <c r="D58" s="170">
        <f>SUM(D53:D57)</f>
        <v>349076877.33846152</v>
      </c>
      <c r="E58" s="97"/>
      <c r="F58" s="97"/>
      <c r="G58" s="97"/>
      <c r="H58" s="97"/>
      <c r="I58" s="170">
        <f>SUM(I53:I57)</f>
        <v>47102615.792538285</v>
      </c>
      <c r="J58" s="97"/>
      <c r="K58" s="97"/>
    </row>
    <row r="59" spans="1:11">
      <c r="A59" s="68"/>
      <c r="C59" s="97" t="s">
        <v>2</v>
      </c>
      <c r="E59" s="97"/>
      <c r="F59" s="97"/>
      <c r="G59" s="122"/>
      <c r="H59" s="97"/>
      <c r="J59" s="97"/>
      <c r="K59" s="122"/>
    </row>
    <row r="60" spans="1:11">
      <c r="A60" s="68"/>
      <c r="B60" s="62" t="s">
        <v>126</v>
      </c>
      <c r="C60" s="97"/>
      <c r="D60" s="97"/>
      <c r="E60" s="97"/>
      <c r="F60" s="97"/>
      <c r="G60" s="97"/>
      <c r="H60" s="97"/>
      <c r="I60" s="97"/>
      <c r="J60" s="97"/>
      <c r="K60" s="97"/>
    </row>
    <row r="61" spans="1:11">
      <c r="A61" s="68">
        <v>13</v>
      </c>
      <c r="B61" s="123" t="str">
        <f>+B53</f>
        <v xml:space="preserve">  Production</v>
      </c>
      <c r="C61" s="43" t="str">
        <f>"(Line "&amp;A45&amp;" - Line "&amp;A53&amp;")"</f>
        <v>(Line 1 - Line 7)</v>
      </c>
      <c r="D61" s="54">
        <f>D45-D53</f>
        <v>304127563.86177427</v>
      </c>
      <c r="E61" s="97"/>
      <c r="F61" s="97"/>
      <c r="G61" s="122"/>
      <c r="H61" s="97"/>
      <c r="I61" s="97" t="s">
        <v>2</v>
      </c>
      <c r="J61" s="97"/>
      <c r="K61" s="122"/>
    </row>
    <row r="62" spans="1:11">
      <c r="A62" s="68">
        <v>14</v>
      </c>
      <c r="B62" s="123" t="str">
        <f>+B54</f>
        <v xml:space="preserve">  Transmission</v>
      </c>
      <c r="C62" s="43" t="str">
        <f>"(Line "&amp;A46&amp;" - Line "&amp;A54&amp;")"</f>
        <v>(Line 2 - Line 8)</v>
      </c>
      <c r="D62" s="54">
        <f>D46-D54</f>
        <v>208008160.2606881</v>
      </c>
      <c r="E62" s="97"/>
      <c r="F62" s="97"/>
      <c r="G62" s="119"/>
      <c r="H62" s="97"/>
      <c r="I62" s="54">
        <f>I46-I54</f>
        <v>193706393.20018569</v>
      </c>
      <c r="J62" s="97"/>
      <c r="K62" s="122"/>
    </row>
    <row r="63" spans="1:11">
      <c r="A63" s="68">
        <v>15</v>
      </c>
      <c r="B63" s="123" t="str">
        <f>+B55</f>
        <v xml:space="preserve">  Distribution</v>
      </c>
      <c r="C63" s="43" t="str">
        <f>"(Line "&amp;A47&amp;" - Line "&amp;A55&amp;")"</f>
        <v>(Line 3 - Line 9)</v>
      </c>
      <c r="D63" s="54">
        <f>D47-D55</f>
        <v>240354543.11191005</v>
      </c>
      <c r="E63" s="97"/>
      <c r="F63" s="97"/>
      <c r="G63" s="122"/>
      <c r="H63" s="97"/>
      <c r="I63" s="54" t="s">
        <v>2</v>
      </c>
      <c r="J63" s="97"/>
      <c r="K63" s="122"/>
    </row>
    <row r="64" spans="1:11">
      <c r="A64" s="68">
        <v>16</v>
      </c>
      <c r="B64" s="123" t="str">
        <f>+B56</f>
        <v xml:space="preserve">  General &amp; Intangible</v>
      </c>
      <c r="C64" s="43" t="str">
        <f>"(Line "&amp;A48&amp;" - Line "&amp;A56&amp;")"</f>
        <v>(Line 4 - Line 10)</v>
      </c>
      <c r="D64" s="54">
        <f>D48-D56</f>
        <v>21725796.280242976</v>
      </c>
      <c r="E64" s="97"/>
      <c r="F64" s="97"/>
      <c r="G64" s="122"/>
      <c r="H64" s="97"/>
      <c r="I64" s="54">
        <f>I48-I56</f>
        <v>2760623.3037938704</v>
      </c>
      <c r="J64" s="97"/>
      <c r="K64" s="122"/>
    </row>
    <row r="65" spans="1:11" ht="13.8" thickBot="1">
      <c r="A65" s="68">
        <v>17</v>
      </c>
      <c r="B65" s="123" t="str">
        <f>+B57</f>
        <v xml:space="preserve">  Other</v>
      </c>
      <c r="C65" s="43" t="str">
        <f>"(Line "&amp;A49&amp;" - Line "&amp;A57&amp;")"</f>
        <v>(Line 5 - Line 11)</v>
      </c>
      <c r="D65" s="55">
        <f>D49-D57</f>
        <v>17735731.846153848</v>
      </c>
      <c r="E65" s="97"/>
      <c r="F65" s="97"/>
      <c r="G65" s="122"/>
      <c r="H65" s="97"/>
      <c r="I65" s="50">
        <f>I49-I57</f>
        <v>2208348.028884945</v>
      </c>
      <c r="J65" s="97"/>
      <c r="K65" s="122"/>
    </row>
    <row r="66" spans="1:11">
      <c r="A66" s="68">
        <v>18</v>
      </c>
      <c r="B66" s="62" t="s">
        <v>285</v>
      </c>
      <c r="C66" s="43" t="s">
        <v>284</v>
      </c>
      <c r="D66" s="54">
        <f>SUM(D61:D65)</f>
        <v>791951795.36076915</v>
      </c>
      <c r="E66" s="97"/>
      <c r="F66" s="97" t="s">
        <v>33</v>
      </c>
      <c r="G66" s="104">
        <f>IF(I66&gt;0,I66/D66,0)</f>
        <v>0.25086800193736425</v>
      </c>
      <c r="H66" s="97"/>
      <c r="I66" s="170">
        <f>SUM(I61:I65)</f>
        <v>198675364.53286451</v>
      </c>
      <c r="J66" s="97"/>
      <c r="K66" s="97"/>
    </row>
    <row r="67" spans="1:11" s="2" customFormat="1">
      <c r="A67" s="44"/>
      <c r="B67" s="45"/>
      <c r="C67" s="43"/>
      <c r="D67" s="46"/>
      <c r="E67" s="42"/>
      <c r="F67" s="42"/>
      <c r="G67" s="47"/>
      <c r="H67" s="42"/>
      <c r="I67" s="54"/>
      <c r="J67" s="43"/>
      <c r="K67" s="43"/>
    </row>
    <row r="68" spans="1:11" s="2" customFormat="1">
      <c r="A68" s="44" t="s">
        <v>286</v>
      </c>
      <c r="B68" s="48" t="s">
        <v>287</v>
      </c>
      <c r="C68" s="49" t="s">
        <v>1119</v>
      </c>
      <c r="D68" s="160">
        <f>'A4-Rate Base'!H23</f>
        <v>0</v>
      </c>
      <c r="E68" s="49"/>
      <c r="F68" s="64"/>
      <c r="G68" s="621"/>
      <c r="H68" s="49"/>
      <c r="I68" s="51">
        <f>+G68*D68</f>
        <v>0</v>
      </c>
      <c r="J68" s="43"/>
      <c r="K68" s="43"/>
    </row>
    <row r="69" spans="1:11" s="2" customFormat="1">
      <c r="A69" s="44"/>
      <c r="B69" s="52"/>
      <c r="C69" s="43"/>
      <c r="D69" s="46"/>
      <c r="E69" s="43"/>
      <c r="F69" s="52"/>
      <c r="G69" s="52"/>
      <c r="H69" s="43"/>
      <c r="I69" s="46"/>
      <c r="J69" s="43"/>
      <c r="K69" s="53"/>
    </row>
    <row r="70" spans="1:11">
      <c r="A70" s="68"/>
      <c r="B70" s="62" t="s">
        <v>572</v>
      </c>
      <c r="C70" s="97"/>
      <c r="D70" s="97"/>
      <c r="E70" s="97"/>
      <c r="F70" s="97"/>
      <c r="G70" s="97"/>
      <c r="H70" s="97"/>
      <c r="I70" s="97"/>
      <c r="J70" s="97"/>
      <c r="K70" s="97"/>
    </row>
    <row r="71" spans="1:11">
      <c r="A71" s="44">
        <f>+A66+1</f>
        <v>19</v>
      </c>
      <c r="B71" s="45" t="s">
        <v>772</v>
      </c>
      <c r="C71" s="43" t="s">
        <v>510</v>
      </c>
      <c r="D71" s="160">
        <f>'A4-Rate Base'!E89</f>
        <v>0</v>
      </c>
      <c r="E71" s="43"/>
      <c r="F71" s="93" t="s">
        <v>36</v>
      </c>
      <c r="G71" s="56">
        <f>GP</f>
        <v>0.21540035426453175</v>
      </c>
      <c r="H71" s="42"/>
      <c r="I71" s="46">
        <f t="shared" ref="I71:I78" si="1">D71*G71</f>
        <v>0</v>
      </c>
      <c r="J71" s="97"/>
      <c r="K71" s="122"/>
    </row>
    <row r="72" spans="1:11">
      <c r="A72" s="44">
        <f t="shared" ref="A72:A75" si="2">+A71+1</f>
        <v>20</v>
      </c>
      <c r="B72" s="45" t="s">
        <v>774</v>
      </c>
      <c r="C72" s="43" t="s">
        <v>511</v>
      </c>
      <c r="D72" s="160">
        <f>'A4-Rate Base'!F89</f>
        <v>-131677842</v>
      </c>
      <c r="E72" s="43"/>
      <c r="F72" s="93" t="s">
        <v>36</v>
      </c>
      <c r="G72" s="56">
        <f>GP</f>
        <v>0.21540035426453175</v>
      </c>
      <c r="H72" s="42"/>
      <c r="I72" s="46">
        <f t="shared" si="1"/>
        <v>-28363453.815589037</v>
      </c>
      <c r="J72" s="97"/>
      <c r="K72" s="122"/>
    </row>
    <row r="73" spans="1:11">
      <c r="A73" s="44">
        <f t="shared" si="2"/>
        <v>21</v>
      </c>
      <c r="B73" s="45" t="s">
        <v>773</v>
      </c>
      <c r="C73" s="43" t="s">
        <v>512</v>
      </c>
      <c r="D73" s="160">
        <f>'A4-Rate Base'!G89</f>
        <v>-56136196</v>
      </c>
      <c r="E73" s="43"/>
      <c r="F73" s="93" t="s">
        <v>36</v>
      </c>
      <c r="G73" s="56">
        <f>GP</f>
        <v>0.21540035426453175</v>
      </c>
      <c r="H73" s="42"/>
      <c r="I73" s="46">
        <f t="shared" si="1"/>
        <v>-12091756.50546319</v>
      </c>
      <c r="J73" s="97"/>
      <c r="K73" s="122"/>
    </row>
    <row r="74" spans="1:11">
      <c r="A74" s="44">
        <f t="shared" si="2"/>
        <v>22</v>
      </c>
      <c r="B74" s="45" t="s">
        <v>121</v>
      </c>
      <c r="C74" s="43" t="s">
        <v>513</v>
      </c>
      <c r="D74" s="160">
        <f>'A4-Rate Base'!H89</f>
        <v>74043207.5</v>
      </c>
      <c r="E74" s="43"/>
      <c r="F74" s="93" t="s">
        <v>36</v>
      </c>
      <c r="G74" s="56">
        <f>GP</f>
        <v>0.21540035426453175</v>
      </c>
      <c r="H74" s="42"/>
      <c r="I74" s="46">
        <f t="shared" si="1"/>
        <v>15948933.126382234</v>
      </c>
      <c r="J74" s="97"/>
      <c r="K74" s="122"/>
    </row>
    <row r="75" spans="1:11">
      <c r="A75" s="44">
        <f t="shared" si="2"/>
        <v>23</v>
      </c>
      <c r="B75" s="52" t="s">
        <v>732</v>
      </c>
      <c r="C75" s="52" t="s">
        <v>747</v>
      </c>
      <c r="D75" s="508">
        <v>0</v>
      </c>
      <c r="E75" s="43"/>
      <c r="F75" s="43"/>
      <c r="G75" s="57">
        <v>0</v>
      </c>
      <c r="H75" s="42"/>
      <c r="I75" s="51">
        <f t="shared" si="1"/>
        <v>0</v>
      </c>
      <c r="J75" s="97"/>
      <c r="K75" s="122"/>
    </row>
    <row r="76" spans="1:11">
      <c r="A76" s="44" t="s">
        <v>292</v>
      </c>
      <c r="B76" s="48" t="s">
        <v>288</v>
      </c>
      <c r="C76" s="49" t="s">
        <v>1120</v>
      </c>
      <c r="D76" s="160">
        <f>'A4-Rate Base'!C89</f>
        <v>0</v>
      </c>
      <c r="E76" s="49"/>
      <c r="F76" s="64"/>
      <c r="G76" s="621"/>
      <c r="H76" s="49"/>
      <c r="I76" s="51">
        <f t="shared" si="1"/>
        <v>0</v>
      </c>
      <c r="J76" s="97"/>
      <c r="K76" s="122"/>
    </row>
    <row r="77" spans="1:11">
      <c r="A77" s="44" t="s">
        <v>1126</v>
      </c>
      <c r="B77" s="48" t="s">
        <v>1125</v>
      </c>
      <c r="C77" s="49" t="s">
        <v>1129</v>
      </c>
      <c r="D77" s="160">
        <f>'A4-Rate Base'!I66</f>
        <v>0</v>
      </c>
      <c r="E77" s="49"/>
      <c r="F77" s="64"/>
      <c r="G77" s="621"/>
      <c r="H77" s="49"/>
      <c r="I77" s="51">
        <f t="shared" ref="I77" si="3">D77*G77</f>
        <v>0</v>
      </c>
      <c r="J77" s="97"/>
      <c r="K77" s="122"/>
    </row>
    <row r="78" spans="1:11">
      <c r="A78" s="44" t="s">
        <v>293</v>
      </c>
      <c r="B78" s="48" t="s">
        <v>289</v>
      </c>
      <c r="C78" s="49" t="s">
        <v>1121</v>
      </c>
      <c r="D78" s="160">
        <f>'A4-Rate Base'!D89</f>
        <v>0</v>
      </c>
      <c r="E78" s="49"/>
      <c r="F78" s="64"/>
      <c r="G78" s="621"/>
      <c r="H78" s="49"/>
      <c r="I78" s="51">
        <f t="shared" si="1"/>
        <v>0</v>
      </c>
      <c r="J78" s="97"/>
      <c r="K78" s="122"/>
    </row>
    <row r="79" spans="1:11">
      <c r="A79" s="44" t="s">
        <v>294</v>
      </c>
      <c r="B79" s="48" t="s">
        <v>686</v>
      </c>
      <c r="C79" s="49" t="s">
        <v>1142</v>
      </c>
      <c r="D79" s="160">
        <f>'A4-Rate Base'!F104</f>
        <v>-763487.19957563549</v>
      </c>
      <c r="E79" s="49"/>
      <c r="F79" s="49"/>
      <c r="G79" s="58"/>
      <c r="H79" s="49"/>
      <c r="I79" s="51">
        <f t="shared" ref="I79" si="4">D79</f>
        <v>-763487.19957563549</v>
      </c>
      <c r="J79" s="97"/>
      <c r="K79" s="122"/>
    </row>
    <row r="80" spans="1:11">
      <c r="A80" s="44">
        <v>24</v>
      </c>
      <c r="B80" s="123" t="s">
        <v>122</v>
      </c>
      <c r="C80" s="123" t="s">
        <v>1217</v>
      </c>
      <c r="D80" s="160">
        <f>'A3-ADIT'!F47</f>
        <v>2895605.8200000105</v>
      </c>
      <c r="E80" s="97"/>
      <c r="F80" s="93" t="s">
        <v>36</v>
      </c>
      <c r="G80" s="56">
        <f>GP</f>
        <v>0.21540035426453175</v>
      </c>
      <c r="H80" s="97"/>
      <c r="I80" s="51">
        <f t="shared" ref="I80" si="5">D80*G80</f>
        <v>623714.51943844219</v>
      </c>
      <c r="J80" s="97"/>
      <c r="K80" s="122"/>
    </row>
    <row r="81" spans="1:11" ht="13.8" thickBot="1">
      <c r="A81" s="68">
        <v>25</v>
      </c>
      <c r="B81" s="123" t="s">
        <v>1030</v>
      </c>
      <c r="C81" s="123" t="s">
        <v>903</v>
      </c>
      <c r="D81" s="808">
        <f>'A3.1-EDIT-DDIT'!I42</f>
        <v>-40842790.5</v>
      </c>
      <c r="E81" s="97"/>
      <c r="F81" s="97"/>
      <c r="G81" s="97"/>
      <c r="H81" s="97"/>
      <c r="I81" s="808">
        <f>'A3.1-EDIT-DDIT'!O42</f>
        <v>-9263477.7242353819</v>
      </c>
      <c r="J81" s="97"/>
      <c r="K81" s="122"/>
    </row>
    <row r="82" spans="1:11">
      <c r="A82" s="68">
        <v>26</v>
      </c>
      <c r="B82" s="62" t="s">
        <v>297</v>
      </c>
      <c r="C82" s="43" t="s">
        <v>762</v>
      </c>
      <c r="D82" s="54">
        <f>SUM(D71:D81)</f>
        <v>-152481502.37957561</v>
      </c>
      <c r="E82" s="97"/>
      <c r="F82" s="97"/>
      <c r="G82" s="97"/>
      <c r="H82" s="97"/>
      <c r="I82" s="54">
        <f>SUM(I71:I81)</f>
        <v>-33909527.599042565</v>
      </c>
      <c r="J82" s="97"/>
      <c r="K82" s="97"/>
    </row>
    <row r="83" spans="1:11">
      <c r="A83" s="68"/>
      <c r="C83" s="97"/>
      <c r="E83" s="97"/>
      <c r="F83" s="97"/>
      <c r="G83" s="122"/>
      <c r="H83" s="97"/>
      <c r="J83" s="97"/>
      <c r="K83" s="122"/>
    </row>
    <row r="84" spans="1:11">
      <c r="A84" s="68">
        <v>27</v>
      </c>
      <c r="B84" s="62" t="s">
        <v>34</v>
      </c>
      <c r="C84" s="60" t="s">
        <v>514</v>
      </c>
      <c r="D84" s="160">
        <f>'A4-Rate Base'!I23</f>
        <v>0</v>
      </c>
      <c r="E84" s="97"/>
      <c r="F84" s="105" t="str">
        <f>+F54</f>
        <v>TP</v>
      </c>
      <c r="G84" s="104">
        <f>$I$175</f>
        <v>0.93124420194583424</v>
      </c>
      <c r="H84" s="97"/>
      <c r="I84" s="54">
        <f>+G84*D84</f>
        <v>0</v>
      </c>
      <c r="J84" s="97"/>
      <c r="K84" s="97"/>
    </row>
    <row r="85" spans="1:11">
      <c r="A85" s="68"/>
      <c r="B85" s="62"/>
      <c r="C85" s="97"/>
      <c r="D85" s="97"/>
      <c r="E85" s="97"/>
      <c r="F85" s="97"/>
      <c r="G85" s="97"/>
      <c r="H85" s="97"/>
      <c r="I85" s="97"/>
      <c r="J85" s="97"/>
      <c r="K85" s="97"/>
    </row>
    <row r="86" spans="1:11">
      <c r="A86" s="68"/>
      <c r="B86" s="62" t="s">
        <v>127</v>
      </c>
      <c r="C86" s="43" t="s">
        <v>117</v>
      </c>
      <c r="D86" s="97"/>
      <c r="E86" s="97"/>
      <c r="F86" s="97"/>
      <c r="G86" s="97"/>
      <c r="H86" s="97"/>
      <c r="I86" s="97"/>
      <c r="J86" s="97"/>
      <c r="K86" s="97"/>
    </row>
    <row r="87" spans="1:11">
      <c r="A87" s="68">
        <v>28</v>
      </c>
      <c r="B87" s="62" t="s">
        <v>693</v>
      </c>
      <c r="C87" s="52" t="s">
        <v>472</v>
      </c>
      <c r="D87" s="54">
        <f>+D117/8</f>
        <v>3660087.0222999998</v>
      </c>
      <c r="E87" s="97"/>
      <c r="F87" s="97"/>
      <c r="G87" s="122"/>
      <c r="H87" s="97"/>
      <c r="I87" s="54">
        <f>+I117/8</f>
        <v>694499.68390537845</v>
      </c>
      <c r="J87" s="62"/>
      <c r="K87" s="122"/>
    </row>
    <row r="88" spans="1:11">
      <c r="A88" s="68">
        <v>29</v>
      </c>
      <c r="B88" s="62" t="s">
        <v>128</v>
      </c>
      <c r="C88" s="60" t="s">
        <v>1080</v>
      </c>
      <c r="D88" s="160">
        <f>'A4-Rate Base'!F129</f>
        <v>166099.40547235648</v>
      </c>
      <c r="E88" s="97"/>
      <c r="F88" s="97" t="s">
        <v>35</v>
      </c>
      <c r="G88" s="120">
        <f>$I$184</f>
        <v>0.93124420194583424</v>
      </c>
      <c r="H88" s="97"/>
      <c r="I88" s="54">
        <f>+G88*D88</f>
        <v>154679.10829278213</v>
      </c>
      <c r="J88" s="97" t="s">
        <v>2</v>
      </c>
      <c r="K88" s="122"/>
    </row>
    <row r="89" spans="1:11" ht="13.8" thickBot="1">
      <c r="A89" s="68">
        <v>30</v>
      </c>
      <c r="B89" s="62" t="s">
        <v>123</v>
      </c>
      <c r="C89" s="42" t="s">
        <v>951</v>
      </c>
      <c r="D89" s="160">
        <f>'A8-Prepmts'!H16</f>
        <v>176248.09127380204</v>
      </c>
      <c r="E89" s="97"/>
      <c r="F89" s="97"/>
      <c r="G89" s="120"/>
      <c r="H89" s="97"/>
      <c r="I89" s="55">
        <f>D89</f>
        <v>176248.09127380204</v>
      </c>
      <c r="J89" s="97"/>
      <c r="K89" s="122"/>
    </row>
    <row r="90" spans="1:11">
      <c r="A90" s="68">
        <v>31</v>
      </c>
      <c r="B90" s="62" t="s">
        <v>295</v>
      </c>
      <c r="C90" s="43" t="s">
        <v>296</v>
      </c>
      <c r="D90" s="170">
        <f>D87+D88+D89</f>
        <v>4002434.5190461581</v>
      </c>
      <c r="E90" s="62"/>
      <c r="F90" s="62"/>
      <c r="G90" s="62"/>
      <c r="H90" s="62"/>
      <c r="I90" s="54">
        <f>I87+I88+I89</f>
        <v>1025426.8834719625</v>
      </c>
      <c r="J90" s="62"/>
      <c r="K90" s="62"/>
    </row>
    <row r="91" spans="1:11" ht="13.8" thickBot="1">
      <c r="C91" s="97"/>
      <c r="E91" s="97"/>
      <c r="F91" s="97"/>
      <c r="G91" s="97"/>
      <c r="H91" s="97"/>
      <c r="I91" s="124"/>
      <c r="J91" s="97"/>
      <c r="K91" s="97"/>
    </row>
    <row r="92" spans="1:11" ht="13.8" thickBot="1">
      <c r="A92" s="68">
        <v>32</v>
      </c>
      <c r="B92" s="62" t="s">
        <v>443</v>
      </c>
      <c r="C92" s="62" t="s">
        <v>444</v>
      </c>
      <c r="D92" s="61">
        <f>+D90+D84+D82+D66</f>
        <v>643472727.50023973</v>
      </c>
      <c r="E92" s="97"/>
      <c r="F92" s="97"/>
      <c r="G92" s="122"/>
      <c r="H92" s="97"/>
      <c r="I92" s="61">
        <f>+I90+I84+I82+I66</f>
        <v>165791263.81729391</v>
      </c>
      <c r="J92" s="97"/>
      <c r="K92" s="122"/>
    </row>
    <row r="93" spans="1:11" ht="13.8" thickTop="1">
      <c r="B93" s="62"/>
      <c r="C93" s="62"/>
      <c r="D93" s="94"/>
      <c r="E93" s="62"/>
      <c r="F93" s="62"/>
      <c r="G93" s="62"/>
      <c r="H93" s="62"/>
      <c r="I93" s="95"/>
      <c r="J93" s="95"/>
      <c r="K93" s="95"/>
    </row>
    <row r="94" spans="1:11">
      <c r="B94" s="62"/>
      <c r="C94" s="62"/>
      <c r="D94" s="94"/>
      <c r="E94" s="62"/>
      <c r="F94" s="62"/>
      <c r="G94" s="62"/>
      <c r="H94" s="62"/>
      <c r="I94" s="912" t="str">
        <f>I1</f>
        <v>Actual Attachment H</v>
      </c>
      <c r="J94" s="912"/>
      <c r="K94" s="912"/>
    </row>
    <row r="95" spans="1:11">
      <c r="B95" s="62"/>
      <c r="C95" s="62"/>
      <c r="D95" s="94"/>
      <c r="E95" s="62"/>
      <c r="F95" s="62"/>
      <c r="G95" s="62"/>
      <c r="H95" s="62"/>
      <c r="I95" s="62"/>
      <c r="J95" s="911" t="s">
        <v>195</v>
      </c>
      <c r="K95" s="911"/>
    </row>
    <row r="96" spans="1:11">
      <c r="B96" s="62"/>
      <c r="C96" s="62"/>
      <c r="D96" s="94"/>
      <c r="E96" s="62"/>
      <c r="F96" s="62"/>
      <c r="G96" s="62"/>
      <c r="H96" s="62"/>
      <c r="I96" s="62"/>
      <c r="J96" s="62"/>
      <c r="K96" s="95"/>
    </row>
    <row r="97" spans="1:11">
      <c r="B97" s="94" t="s">
        <v>0</v>
      </c>
      <c r="C97" s="68" t="s">
        <v>1</v>
      </c>
      <c r="E97" s="62"/>
      <c r="F97" s="62"/>
      <c r="G97" s="62"/>
      <c r="H97" s="62"/>
      <c r="I97" s="62"/>
      <c r="J97" s="62"/>
      <c r="K97" s="110" t="str">
        <f>K4</f>
        <v>Actuals - For the 12 months ended 12/31/2022</v>
      </c>
    </row>
    <row r="98" spans="1:11">
      <c r="B98" s="62"/>
      <c r="C98" s="98" t="s">
        <v>3</v>
      </c>
      <c r="E98" s="97"/>
      <c r="F98" s="97"/>
      <c r="G98" s="97"/>
      <c r="H98" s="62"/>
      <c r="I98" s="62"/>
      <c r="J98" s="62"/>
      <c r="K98" s="62"/>
    </row>
    <row r="99" spans="1:11">
      <c r="B99" s="62"/>
      <c r="C99" s="97"/>
      <c r="E99" s="97"/>
      <c r="F99" s="97"/>
      <c r="G99" s="97"/>
      <c r="H99" s="62"/>
      <c r="I99" s="62"/>
      <c r="J99" s="62"/>
      <c r="K99" s="62"/>
    </row>
    <row r="100" spans="1:11">
      <c r="A100" s="68"/>
      <c r="C100" s="111" t="str">
        <f>C7</f>
        <v>Black Hills Colorado Electric, LLC</v>
      </c>
      <c r="J100" s="97"/>
      <c r="K100" s="97"/>
    </row>
    <row r="101" spans="1:11">
      <c r="A101" s="68"/>
      <c r="C101" s="125"/>
      <c r="J101" s="97"/>
      <c r="K101" s="97"/>
    </row>
    <row r="102" spans="1:11">
      <c r="A102" s="68"/>
      <c r="B102" s="68" t="s">
        <v>15</v>
      </c>
      <c r="C102" s="68" t="s">
        <v>16</v>
      </c>
      <c r="D102" s="68" t="s">
        <v>17</v>
      </c>
      <c r="E102" s="97" t="s">
        <v>2</v>
      </c>
      <c r="F102" s="97"/>
      <c r="G102" s="112" t="s">
        <v>18</v>
      </c>
      <c r="H102" s="97"/>
      <c r="I102" s="113" t="s">
        <v>19</v>
      </c>
      <c r="J102" s="97"/>
      <c r="K102" s="97"/>
    </row>
    <row r="103" spans="1:11">
      <c r="A103" s="68" t="s">
        <v>4</v>
      </c>
      <c r="B103" s="62"/>
      <c r="C103" s="114" t="s">
        <v>20</v>
      </c>
      <c r="D103" s="97"/>
      <c r="E103" s="97"/>
      <c r="F103" s="97"/>
      <c r="G103" s="68"/>
      <c r="H103" s="97"/>
      <c r="I103" s="115" t="s">
        <v>21</v>
      </c>
      <c r="J103" s="97"/>
      <c r="K103" s="115"/>
    </row>
    <row r="104" spans="1:11" ht="13.8" thickBot="1">
      <c r="A104" s="101" t="s">
        <v>6</v>
      </c>
      <c r="B104" s="62"/>
      <c r="C104" s="116" t="s">
        <v>22</v>
      </c>
      <c r="D104" s="115" t="s">
        <v>23</v>
      </c>
      <c r="E104" s="117"/>
      <c r="F104" s="115" t="s">
        <v>24</v>
      </c>
      <c r="H104" s="117"/>
      <c r="I104" s="68" t="s">
        <v>25</v>
      </c>
      <c r="J104" s="97"/>
      <c r="K104" s="115"/>
    </row>
    <row r="105" spans="1:11">
      <c r="A105" s="68"/>
      <c r="B105" s="62" t="s">
        <v>131</v>
      </c>
      <c r="C105" s="97"/>
      <c r="D105" s="97"/>
      <c r="E105" s="97"/>
      <c r="F105" s="97"/>
      <c r="G105" s="97"/>
      <c r="H105" s="97"/>
      <c r="I105" s="97"/>
      <c r="J105" s="97"/>
      <c r="K105" s="97"/>
    </row>
    <row r="106" spans="1:11">
      <c r="A106" s="68">
        <v>1</v>
      </c>
      <c r="B106" s="62" t="s">
        <v>37</v>
      </c>
      <c r="C106" s="97" t="s">
        <v>103</v>
      </c>
      <c r="D106" s="64">
        <v>5324954</v>
      </c>
      <c r="E106" s="97"/>
      <c r="F106" s="97" t="s">
        <v>35</v>
      </c>
      <c r="G106" s="120">
        <f>$I$184</f>
        <v>0.93124420194583424</v>
      </c>
      <c r="H106" s="97"/>
      <c r="I106" s="54">
        <f>+G106*D106</f>
        <v>4958832.5381282782</v>
      </c>
      <c r="J106" s="62"/>
      <c r="K106" s="97"/>
    </row>
    <row r="107" spans="1:11">
      <c r="A107" s="68">
        <v>2</v>
      </c>
      <c r="B107" s="62" t="s">
        <v>600</v>
      </c>
      <c r="C107" s="97" t="s">
        <v>601</v>
      </c>
      <c r="D107" s="64">
        <f>113201+622791+175227</f>
        <v>911219</v>
      </c>
      <c r="E107" s="97"/>
      <c r="F107" s="97" t="s">
        <v>35</v>
      </c>
      <c r="G107" s="120">
        <f>$I$184</f>
        <v>0.93124420194583424</v>
      </c>
      <c r="H107" s="97"/>
      <c r="I107" s="46">
        <f t="shared" ref="I107:I116" si="6">+G107*D107</f>
        <v>848567.41045288113</v>
      </c>
      <c r="J107" s="62"/>
      <c r="K107" s="97"/>
    </row>
    <row r="108" spans="1:11">
      <c r="A108" s="68" t="s">
        <v>130</v>
      </c>
      <c r="B108" s="62" t="s">
        <v>38</v>
      </c>
      <c r="C108" s="97" t="s">
        <v>104</v>
      </c>
      <c r="D108" s="64">
        <v>2241356</v>
      </c>
      <c r="E108" s="97"/>
      <c r="F108" s="97" t="s">
        <v>35</v>
      </c>
      <c r="G108" s="120">
        <f>$I$184</f>
        <v>0.93124420194583424</v>
      </c>
      <c r="H108" s="97"/>
      <c r="I108" s="46">
        <f t="shared" ref="I108" si="7">+G108*D108</f>
        <v>2087249.7794965073</v>
      </c>
      <c r="J108" s="62"/>
      <c r="K108" s="97"/>
    </row>
    <row r="109" spans="1:11">
      <c r="A109" s="68">
        <v>3</v>
      </c>
      <c r="B109" s="62" t="s">
        <v>39</v>
      </c>
      <c r="C109" s="97" t="s">
        <v>105</v>
      </c>
      <c r="D109" s="64">
        <v>28304306</v>
      </c>
      <c r="E109" s="97"/>
      <c r="F109" s="97" t="s">
        <v>31</v>
      </c>
      <c r="G109" s="120">
        <f>$I$192</f>
        <v>0.12706661096257854</v>
      </c>
      <c r="H109" s="97"/>
      <c r="I109" s="54">
        <f t="shared" si="6"/>
        <v>3596532.2390677775</v>
      </c>
      <c r="J109" s="97"/>
      <c r="K109" s="97" t="s">
        <v>2</v>
      </c>
    </row>
    <row r="110" spans="1:11">
      <c r="A110" s="68">
        <v>4</v>
      </c>
      <c r="B110" s="62" t="s">
        <v>832</v>
      </c>
      <c r="C110" s="97"/>
      <c r="D110" s="97"/>
      <c r="E110" s="97"/>
      <c r="F110" s="105"/>
      <c r="G110" s="120"/>
      <c r="H110" s="97"/>
      <c r="I110" s="54"/>
      <c r="J110" s="97"/>
      <c r="K110" s="97"/>
    </row>
    <row r="111" spans="1:11">
      <c r="A111" s="68">
        <v>5</v>
      </c>
      <c r="B111" s="62" t="s">
        <v>357</v>
      </c>
      <c r="C111" s="97" t="s">
        <v>495</v>
      </c>
      <c r="D111" s="160">
        <f>'A2-A&amp;G'!D14</f>
        <v>1618905</v>
      </c>
      <c r="E111" s="97"/>
      <c r="F111" s="105" t="str">
        <f>F109</f>
        <v>W/S</v>
      </c>
      <c r="G111" s="120">
        <f>$I$192</f>
        <v>0.12706661096257854</v>
      </c>
      <c r="H111" s="97"/>
      <c r="I111" s="46">
        <f t="shared" si="6"/>
        <v>205708.77182037322</v>
      </c>
      <c r="J111" s="97"/>
      <c r="K111" s="97"/>
    </row>
    <row r="112" spans="1:11">
      <c r="A112" s="68" t="s">
        <v>99</v>
      </c>
      <c r="B112" s="62" t="s">
        <v>489</v>
      </c>
      <c r="C112" s="97" t="s">
        <v>682</v>
      </c>
      <c r="D112" s="160">
        <f>'A2-A&amp;G'!D23</f>
        <v>109951</v>
      </c>
      <c r="E112" s="97"/>
      <c r="F112" s="126" t="str">
        <f>+F106</f>
        <v>TE</v>
      </c>
      <c r="G112" s="120">
        <f>$I$184</f>
        <v>0.93124420194583424</v>
      </c>
      <c r="H112" s="97"/>
      <c r="I112" s="46">
        <f>+G112*D112</f>
        <v>102391.23124814642</v>
      </c>
      <c r="J112" s="97"/>
      <c r="K112" s="97"/>
    </row>
    <row r="113" spans="1:12">
      <c r="A113" s="68" t="s">
        <v>133</v>
      </c>
      <c r="B113" s="62" t="s">
        <v>694</v>
      </c>
      <c r="C113" s="97" t="s">
        <v>1148</v>
      </c>
      <c r="D113" s="662">
        <v>489249.84179999999</v>
      </c>
      <c r="E113" s="97"/>
      <c r="F113" s="105" t="s">
        <v>31</v>
      </c>
      <c r="G113" s="120">
        <f>$I$192</f>
        <v>0.12706661096257854</v>
      </c>
      <c r="H113" s="97"/>
      <c r="I113" s="51">
        <f t="shared" ref="I113:I114" si="8">+G113*D113</f>
        <v>62167.319311503699</v>
      </c>
      <c r="J113" s="97"/>
      <c r="K113" s="97"/>
    </row>
    <row r="114" spans="1:12">
      <c r="A114" s="68" t="s">
        <v>134</v>
      </c>
      <c r="B114" s="62" t="s">
        <v>695</v>
      </c>
      <c r="C114" s="97" t="s">
        <v>518</v>
      </c>
      <c r="D114" s="160">
        <f>'A2-A&amp;G'!D31</f>
        <v>176284.66340000002</v>
      </c>
      <c r="E114" s="97"/>
      <c r="F114" s="105" t="str">
        <f>+F113</f>
        <v>W/S</v>
      </c>
      <c r="G114" s="120">
        <f>$I$192</f>
        <v>0.12706661096257854</v>
      </c>
      <c r="H114" s="97"/>
      <c r="I114" s="51">
        <f t="shared" si="8"/>
        <v>22399.894742916909</v>
      </c>
      <c r="J114" s="97"/>
      <c r="K114" s="97"/>
    </row>
    <row r="115" spans="1:12">
      <c r="A115" s="68">
        <v>6</v>
      </c>
      <c r="B115" s="62" t="s">
        <v>58</v>
      </c>
      <c r="C115" s="550" t="s">
        <v>683</v>
      </c>
      <c r="D115" s="64">
        <v>0</v>
      </c>
      <c r="E115" s="97"/>
      <c r="F115" s="97" t="s">
        <v>1256</v>
      </c>
      <c r="G115" s="120">
        <f>$K$196</f>
        <v>0.12451406279937895</v>
      </c>
      <c r="H115" s="97"/>
      <c r="I115" s="54">
        <f t="shared" si="6"/>
        <v>0</v>
      </c>
      <c r="J115" s="97"/>
      <c r="K115" s="97"/>
    </row>
    <row r="116" spans="1:12" ht="13.8" thickBot="1">
      <c r="A116" s="68">
        <v>7</v>
      </c>
      <c r="B116" s="62" t="s">
        <v>40</v>
      </c>
      <c r="C116" s="97" t="s">
        <v>498</v>
      </c>
      <c r="D116" s="64">
        <v>0</v>
      </c>
      <c r="E116" s="97"/>
      <c r="F116" s="97" t="s">
        <v>290</v>
      </c>
      <c r="G116" s="119">
        <v>1</v>
      </c>
      <c r="H116" s="97"/>
      <c r="I116" s="55">
        <f t="shared" si="6"/>
        <v>0</v>
      </c>
      <c r="J116" s="97"/>
      <c r="K116" s="97"/>
    </row>
    <row r="117" spans="1:12">
      <c r="A117" s="68">
        <v>8</v>
      </c>
      <c r="B117" s="62" t="s">
        <v>833</v>
      </c>
      <c r="C117" s="97"/>
      <c r="D117" s="63">
        <f>+D106-D107-D108+D109-D111+D115+D116+D112+D113-D114</f>
        <v>29280696.178399999</v>
      </c>
      <c r="E117" s="97"/>
      <c r="F117" s="97"/>
      <c r="G117" s="97"/>
      <c r="H117" s="97"/>
      <c r="I117" s="63">
        <f>+I106-I107-I108+I109-I111+I115+I116+I112+I113-I114</f>
        <v>5555997.4712430276</v>
      </c>
      <c r="J117" s="97"/>
      <c r="K117" s="97"/>
    </row>
    <row r="118" spans="1:12">
      <c r="A118" s="68"/>
      <c r="C118" s="97"/>
      <c r="E118" s="97"/>
      <c r="F118" s="97"/>
      <c r="G118" s="97"/>
      <c r="H118" s="97"/>
      <c r="J118" s="97"/>
      <c r="K118" s="97"/>
    </row>
    <row r="119" spans="1:12">
      <c r="A119" s="68"/>
      <c r="B119" s="62" t="s">
        <v>364</v>
      </c>
      <c r="C119" s="97"/>
      <c r="D119" s="97"/>
      <c r="E119" s="97"/>
      <c r="F119" s="97"/>
      <c r="G119" s="97"/>
      <c r="H119" s="97"/>
      <c r="I119" s="97"/>
      <c r="J119" s="97"/>
      <c r="K119" s="97"/>
    </row>
    <row r="120" spans="1:12">
      <c r="A120" s="68">
        <v>9</v>
      </c>
      <c r="B120" s="123" t="str">
        <f>+B106</f>
        <v xml:space="preserve">  Transmission </v>
      </c>
      <c r="C120" s="97" t="s">
        <v>1063</v>
      </c>
      <c r="D120" s="809">
        <v>4346526</v>
      </c>
      <c r="E120" s="97"/>
      <c r="F120" s="97" t="s">
        <v>11</v>
      </c>
      <c r="G120" s="104">
        <f>$I$175</f>
        <v>0.93124420194583424</v>
      </c>
      <c r="H120" s="97"/>
      <c r="I120" s="54">
        <f>+G120*D120</f>
        <v>4047677.1361068189</v>
      </c>
      <c r="J120" s="97"/>
      <c r="K120" s="122"/>
      <c r="L120" s="722"/>
    </row>
    <row r="121" spans="1:12">
      <c r="A121" s="68">
        <v>10</v>
      </c>
      <c r="B121" s="62" t="s">
        <v>114</v>
      </c>
      <c r="C121" s="97" t="s">
        <v>1064</v>
      </c>
      <c r="D121" s="809">
        <f>4435026+8274</f>
        <v>4443300</v>
      </c>
      <c r="E121" s="97"/>
      <c r="F121" s="97" t="s">
        <v>31</v>
      </c>
      <c r="G121" s="120">
        <f>$I$192</f>
        <v>0.12706661096257854</v>
      </c>
      <c r="H121" s="97"/>
      <c r="I121" s="54">
        <f>+G121*D121</f>
        <v>564595.0724900252</v>
      </c>
      <c r="J121" s="97"/>
      <c r="K121" s="122"/>
      <c r="L121" s="722"/>
    </row>
    <row r="122" spans="1:12">
      <c r="A122" s="68">
        <v>11</v>
      </c>
      <c r="B122" s="123" t="str">
        <f>+B115</f>
        <v xml:space="preserve">  Other</v>
      </c>
      <c r="C122" s="97" t="s">
        <v>1065</v>
      </c>
      <c r="D122" s="64">
        <f>0-0</f>
        <v>0</v>
      </c>
      <c r="E122" s="97"/>
      <c r="F122" s="97" t="s">
        <v>1256</v>
      </c>
      <c r="G122" s="120">
        <f>$K$196</f>
        <v>0.12451406279937895</v>
      </c>
      <c r="H122" s="97"/>
      <c r="I122" s="54">
        <f>+G122*D122</f>
        <v>0</v>
      </c>
      <c r="J122" s="97"/>
      <c r="K122" s="122"/>
      <c r="L122" s="722"/>
    </row>
    <row r="123" spans="1:12" s="2" customFormat="1" ht="13.8" thickBot="1">
      <c r="A123" s="65" t="s">
        <v>299</v>
      </c>
      <c r="B123" s="48" t="s">
        <v>303</v>
      </c>
      <c r="C123" s="806" t="s">
        <v>1122</v>
      </c>
      <c r="D123" s="64">
        <v>0</v>
      </c>
      <c r="E123" s="46"/>
      <c r="F123" s="64"/>
      <c r="G123" s="621"/>
      <c r="H123" s="46"/>
      <c r="I123" s="59">
        <f>+G123*D123</f>
        <v>0</v>
      </c>
      <c r="J123" s="43"/>
      <c r="K123" s="53"/>
    </row>
    <row r="124" spans="1:12">
      <c r="A124" s="68">
        <v>12</v>
      </c>
      <c r="B124" s="62" t="s">
        <v>304</v>
      </c>
      <c r="C124" s="43" t="s">
        <v>305</v>
      </c>
      <c r="D124" s="63">
        <f>SUM(D120:D123)</f>
        <v>8789826</v>
      </c>
      <c r="E124" s="97"/>
      <c r="F124" s="97"/>
      <c r="G124" s="97"/>
      <c r="H124" s="97"/>
      <c r="I124" s="54">
        <f>SUM(I120:I123)</f>
        <v>4612272.2085968442</v>
      </c>
      <c r="J124" s="97"/>
      <c r="K124" s="97"/>
    </row>
    <row r="125" spans="1:12">
      <c r="A125" s="68"/>
      <c r="B125" s="62"/>
      <c r="C125" s="97"/>
      <c r="D125" s="97"/>
      <c r="E125" s="97"/>
      <c r="F125" s="97"/>
      <c r="G125" s="97"/>
      <c r="H125" s="97"/>
      <c r="I125" s="97"/>
      <c r="J125" s="97"/>
      <c r="K125" s="97"/>
    </row>
    <row r="126" spans="1:12">
      <c r="A126" s="68" t="s">
        <v>2</v>
      </c>
      <c r="B126" s="62" t="s">
        <v>360</v>
      </c>
      <c r="D126" s="97"/>
      <c r="E126" s="97"/>
      <c r="F126" s="97"/>
      <c r="G126" s="97"/>
      <c r="H126" s="97"/>
      <c r="I126" s="97"/>
      <c r="J126" s="97"/>
      <c r="K126" s="97"/>
    </row>
    <row r="127" spans="1:12">
      <c r="A127" s="68"/>
      <c r="B127" s="62" t="s">
        <v>41</v>
      </c>
      <c r="E127" s="97"/>
      <c r="F127" s="97"/>
      <c r="H127" s="97"/>
      <c r="J127" s="97"/>
      <c r="K127" s="122"/>
    </row>
    <row r="128" spans="1:12">
      <c r="A128" s="68">
        <v>13</v>
      </c>
      <c r="B128" s="62" t="s">
        <v>42</v>
      </c>
      <c r="C128" s="97" t="s">
        <v>1219</v>
      </c>
      <c r="D128" s="64">
        <f>1449462+15774+58900</f>
        <v>1524136</v>
      </c>
      <c r="E128" s="97"/>
      <c r="F128" s="97" t="s">
        <v>31</v>
      </c>
      <c r="G128" s="120">
        <f>$I$192</f>
        <v>0.12706661096257854</v>
      </c>
      <c r="H128" s="97"/>
      <c r="I128" s="54">
        <f>+G128*D128</f>
        <v>193666.79616606061</v>
      </c>
      <c r="J128" s="97"/>
      <c r="K128" s="122"/>
    </row>
    <row r="129" spans="1:12">
      <c r="A129" s="68">
        <v>14</v>
      </c>
      <c r="B129" s="62" t="s">
        <v>43</v>
      </c>
      <c r="C129" s="97" t="s">
        <v>100</v>
      </c>
      <c r="D129" s="64">
        <v>0</v>
      </c>
      <c r="E129" s="97"/>
      <c r="F129" s="105" t="str">
        <f>+F128</f>
        <v>W/S</v>
      </c>
      <c r="G129" s="120">
        <f>$I$192</f>
        <v>0.12706661096257854</v>
      </c>
      <c r="H129" s="97"/>
      <c r="I129" s="54">
        <f>+G129*D129</f>
        <v>0</v>
      </c>
      <c r="J129" s="97"/>
      <c r="K129" s="122"/>
    </row>
    <row r="130" spans="1:12">
      <c r="A130" s="68">
        <v>15</v>
      </c>
      <c r="B130" s="62" t="s">
        <v>44</v>
      </c>
      <c r="C130" s="97" t="s">
        <v>2</v>
      </c>
      <c r="E130" s="97"/>
      <c r="F130" s="97"/>
      <c r="H130" s="97"/>
      <c r="J130" s="97"/>
      <c r="K130" s="122"/>
    </row>
    <row r="131" spans="1:12">
      <c r="A131" s="68">
        <v>16</v>
      </c>
      <c r="B131" s="62" t="s">
        <v>45</v>
      </c>
      <c r="C131" s="97" t="s">
        <v>1220</v>
      </c>
      <c r="D131" s="64">
        <v>11502591</v>
      </c>
      <c r="E131" s="97"/>
      <c r="F131" s="97" t="s">
        <v>36</v>
      </c>
      <c r="G131" s="120">
        <f>+$G$50</f>
        <v>0.21540035426453175</v>
      </c>
      <c r="H131" s="97"/>
      <c r="I131" s="54">
        <f>+G131*D131</f>
        <v>2477662.1763600144</v>
      </c>
      <c r="J131" s="97"/>
      <c r="K131" s="122"/>
    </row>
    <row r="132" spans="1:12">
      <c r="A132" s="68">
        <v>17</v>
      </c>
      <c r="B132" s="62" t="s">
        <v>46</v>
      </c>
      <c r="C132" s="97" t="s">
        <v>1221</v>
      </c>
      <c r="D132" s="64">
        <v>-51150</v>
      </c>
      <c r="E132" s="97"/>
      <c r="F132" s="105" t="s">
        <v>27</v>
      </c>
      <c r="G132" s="127">
        <v>0</v>
      </c>
      <c r="H132" s="97"/>
      <c r="I132" s="54">
        <v>0</v>
      </c>
      <c r="J132" s="97"/>
      <c r="K132" s="122"/>
    </row>
    <row r="133" spans="1:12">
      <c r="A133" s="68">
        <v>18</v>
      </c>
      <c r="B133" s="62" t="s">
        <v>789</v>
      </c>
      <c r="C133" s="97" t="s">
        <v>100</v>
      </c>
      <c r="D133" s="64">
        <v>0</v>
      </c>
      <c r="E133" s="97"/>
      <c r="F133" s="64"/>
      <c r="G133" s="621"/>
      <c r="H133" s="97"/>
      <c r="I133" s="54">
        <f>+G133*D133</f>
        <v>0</v>
      </c>
      <c r="J133" s="97"/>
      <c r="K133" s="122"/>
    </row>
    <row r="134" spans="1:12" ht="13.8" thickBot="1">
      <c r="A134" s="68">
        <v>19</v>
      </c>
      <c r="B134" s="62" t="s">
        <v>794</v>
      </c>
      <c r="C134" s="97"/>
      <c r="D134" s="161"/>
      <c r="E134" s="97"/>
      <c r="F134" s="97"/>
      <c r="G134" s="120"/>
      <c r="H134" s="97"/>
      <c r="I134" s="54"/>
      <c r="J134" s="97"/>
      <c r="K134" s="122"/>
    </row>
    <row r="135" spans="1:12">
      <c r="A135" s="68">
        <v>20</v>
      </c>
      <c r="B135" s="62" t="s">
        <v>307</v>
      </c>
      <c r="C135" s="43" t="s">
        <v>306</v>
      </c>
      <c r="D135" s="63">
        <f>SUM(D128:D134)</f>
        <v>12975577</v>
      </c>
      <c r="E135" s="97"/>
      <c r="F135" s="97"/>
      <c r="G135" s="108"/>
      <c r="H135" s="97"/>
      <c r="I135" s="63">
        <f>SUM(I128:I134)</f>
        <v>2671328.9725260749</v>
      </c>
      <c r="J135" s="97"/>
      <c r="K135" s="97"/>
    </row>
    <row r="136" spans="1:12">
      <c r="A136" s="68"/>
      <c r="B136" s="62"/>
      <c r="C136" s="97"/>
      <c r="D136" s="97"/>
      <c r="E136" s="97"/>
      <c r="F136" s="97"/>
      <c r="G136" s="108"/>
      <c r="H136" s="97"/>
      <c r="I136" s="97"/>
      <c r="J136" s="97"/>
      <c r="K136" s="97"/>
    </row>
    <row r="137" spans="1:12">
      <c r="A137" s="68" t="s">
        <v>2</v>
      </c>
      <c r="B137" s="62" t="s">
        <v>48</v>
      </c>
      <c r="C137" s="97" t="s">
        <v>358</v>
      </c>
      <c r="D137" s="97"/>
      <c r="E137" s="97"/>
      <c r="G137" s="128"/>
      <c r="H137" s="97"/>
      <c r="J137" s="97"/>
    </row>
    <row r="138" spans="1:12">
      <c r="A138" s="68">
        <v>21</v>
      </c>
      <c r="B138" s="129" t="s">
        <v>95</v>
      </c>
      <c r="C138" s="97"/>
      <c r="D138" s="130">
        <f>IF(D233&gt;0,1-(((1-D234)*(1-D233))/(1-D234*D233*D235)),0)</f>
        <v>0.24475999999999998</v>
      </c>
      <c r="E138" s="97"/>
      <c r="G138" s="128"/>
      <c r="H138" s="97"/>
      <c r="J138" s="97"/>
    </row>
    <row r="139" spans="1:12">
      <c r="A139" s="68">
        <v>22</v>
      </c>
      <c r="B139" s="93" t="s">
        <v>703</v>
      </c>
      <c r="C139" s="97"/>
      <c r="D139" s="130">
        <f>IF(I205&gt;0,(D138/(1-D138))*(1-I203/I205),0)</f>
        <v>0.23160596182462684</v>
      </c>
      <c r="E139" s="97"/>
      <c r="G139" s="128"/>
      <c r="H139" s="97"/>
      <c r="J139" s="97"/>
    </row>
    <row r="140" spans="1:12">
      <c r="A140" s="68"/>
      <c r="B140" s="62" t="s">
        <v>1083</v>
      </c>
      <c r="C140" s="97"/>
      <c r="D140" s="97"/>
      <c r="E140" s="97"/>
      <c r="G140" s="128"/>
      <c r="H140" s="97"/>
      <c r="J140" s="97"/>
    </row>
    <row r="141" spans="1:12">
      <c r="A141" s="68"/>
      <c r="B141" s="62" t="s">
        <v>485</v>
      </c>
      <c r="C141" s="97"/>
      <c r="D141" s="97"/>
      <c r="E141" s="97"/>
      <c r="G141" s="128"/>
      <c r="H141" s="97"/>
      <c r="J141" s="97"/>
    </row>
    <row r="142" spans="1:12">
      <c r="A142" s="68">
        <v>23</v>
      </c>
      <c r="B142" s="129" t="s">
        <v>96</v>
      </c>
      <c r="C142" s="97"/>
      <c r="D142" s="356">
        <f>IF(D138&gt;0,1/(1-D138),0)</f>
        <v>1.3240824108892537</v>
      </c>
      <c r="E142" s="97"/>
      <c r="G142" s="128"/>
      <c r="H142" s="97"/>
      <c r="J142" s="97"/>
    </row>
    <row r="143" spans="1:12" ht="15">
      <c r="A143" s="68">
        <v>24</v>
      </c>
      <c r="B143" s="62" t="s">
        <v>701</v>
      </c>
      <c r="C143" s="97" t="s">
        <v>302</v>
      </c>
      <c r="D143" s="64">
        <v>486651</v>
      </c>
      <c r="E143" s="97"/>
      <c r="G143" s="128"/>
      <c r="H143" s="97"/>
      <c r="J143" s="97"/>
      <c r="L143"/>
    </row>
    <row r="144" spans="1:12" ht="26.4">
      <c r="A144" s="68" t="s">
        <v>300</v>
      </c>
      <c r="B144" s="810" t="s">
        <v>1031</v>
      </c>
      <c r="C144" s="123" t="s">
        <v>1032</v>
      </c>
      <c r="D144" s="160">
        <f>'A3.1-EDIT-DDIT'!M41</f>
        <v>243335.57745963894</v>
      </c>
      <c r="E144" s="97"/>
      <c r="G144" s="128"/>
      <c r="H144" s="97"/>
      <c r="J144" s="97"/>
      <c r="L144"/>
    </row>
    <row r="145" spans="1:12" ht="15">
      <c r="A145" s="68" t="s">
        <v>625</v>
      </c>
      <c r="B145" s="45" t="s">
        <v>1192</v>
      </c>
      <c r="C145" s="43" t="s">
        <v>1193</v>
      </c>
      <c r="D145" s="64">
        <v>6824</v>
      </c>
      <c r="E145" s="97"/>
      <c r="G145" s="128"/>
      <c r="H145" s="97"/>
      <c r="J145" s="97"/>
      <c r="L145"/>
    </row>
    <row r="146" spans="1:12" ht="15">
      <c r="A146" s="68" t="s">
        <v>301</v>
      </c>
      <c r="B146" s="45" t="s">
        <v>298</v>
      </c>
      <c r="C146" s="43" t="s">
        <v>705</v>
      </c>
      <c r="D146" s="54">
        <f>D145*D138</f>
        <v>1670.2422399999998</v>
      </c>
      <c r="E146" s="97"/>
      <c r="G146" s="128"/>
      <c r="H146" s="97"/>
      <c r="J146" s="97"/>
      <c r="L146"/>
    </row>
    <row r="147" spans="1:12" ht="15">
      <c r="A147" s="68">
        <v>25</v>
      </c>
      <c r="B147" s="129" t="s">
        <v>310</v>
      </c>
      <c r="C147" s="131" t="s">
        <v>308</v>
      </c>
      <c r="D147" s="54">
        <f>D139*D154</f>
        <v>9605269.1635812111</v>
      </c>
      <c r="E147" s="97"/>
      <c r="F147" s="97"/>
      <c r="G147" s="108"/>
      <c r="H147" s="97"/>
      <c r="I147" s="54">
        <f>D139*I154</f>
        <v>2474805.2961340426</v>
      </c>
      <c r="J147" s="97"/>
      <c r="K147" s="132" t="s">
        <v>2</v>
      </c>
      <c r="L147"/>
    </row>
    <row r="148" spans="1:12" ht="15">
      <c r="A148" s="68">
        <v>26</v>
      </c>
      <c r="B148" s="93" t="s">
        <v>311</v>
      </c>
      <c r="C148" s="131" t="s">
        <v>309</v>
      </c>
      <c r="D148" s="54">
        <f>D142*D143</f>
        <v>644366.02934166626</v>
      </c>
      <c r="E148" s="97"/>
      <c r="F148" s="93" t="s">
        <v>36</v>
      </c>
      <c r="G148" s="56">
        <f>GP</f>
        <v>0.21540035426453175</v>
      </c>
      <c r="H148" s="97"/>
      <c r="I148" s="54">
        <f>G148*D148</f>
        <v>138796.67099622457</v>
      </c>
      <c r="J148" s="97"/>
      <c r="K148" s="132"/>
      <c r="L148"/>
    </row>
    <row r="149" spans="1:12" ht="15">
      <c r="A149" s="68" t="s">
        <v>312</v>
      </c>
      <c r="B149" s="52" t="s">
        <v>835</v>
      </c>
      <c r="C149" s="66" t="s">
        <v>315</v>
      </c>
      <c r="D149" s="54">
        <f>D142*D144</f>
        <v>322196.35805788747</v>
      </c>
      <c r="E149" s="97"/>
      <c r="G149" s="57"/>
      <c r="H149" s="97"/>
      <c r="I149" s="54">
        <f>D149</f>
        <v>322196.35805788747</v>
      </c>
      <c r="J149" s="97"/>
      <c r="K149" s="132"/>
      <c r="L149"/>
    </row>
    <row r="150" spans="1:12" ht="15.6" thickBot="1">
      <c r="A150" s="68" t="s">
        <v>313</v>
      </c>
      <c r="B150" s="52" t="s">
        <v>314</v>
      </c>
      <c r="C150" s="66" t="s">
        <v>316</v>
      </c>
      <c r="D150" s="54">
        <f>D142*D146</f>
        <v>2211.5383719082674</v>
      </c>
      <c r="E150" s="97"/>
      <c r="G150" s="57"/>
      <c r="H150" s="97"/>
      <c r="I150" s="54">
        <f>D150</f>
        <v>2211.5383719082674</v>
      </c>
      <c r="J150" s="97"/>
      <c r="K150" s="132"/>
      <c r="L150"/>
    </row>
    <row r="151" spans="1:12" ht="15">
      <c r="A151" s="68">
        <v>27</v>
      </c>
      <c r="B151" s="129" t="s">
        <v>89</v>
      </c>
      <c r="C151" s="52" t="s">
        <v>702</v>
      </c>
      <c r="D151" s="63">
        <f>D147+D150-D148-D149</f>
        <v>8640918.3145535644</v>
      </c>
      <c r="E151" s="97"/>
      <c r="F151" s="97" t="s">
        <v>2</v>
      </c>
      <c r="G151" s="108" t="s">
        <v>2</v>
      </c>
      <c r="H151" s="97"/>
      <c r="I151" s="63">
        <f>I147+I150-I148-I149</f>
        <v>2016023.805451839</v>
      </c>
      <c r="J151" s="97"/>
      <c r="K151" s="97"/>
      <c r="L151"/>
    </row>
    <row r="152" spans="1:12" ht="15">
      <c r="A152" s="68" t="s">
        <v>2</v>
      </c>
      <c r="C152" s="133"/>
      <c r="D152" s="97"/>
      <c r="E152" s="97"/>
      <c r="F152" s="97"/>
      <c r="G152" s="108"/>
      <c r="H152" s="97"/>
      <c r="I152" s="97"/>
      <c r="J152" s="97"/>
      <c r="K152" s="97"/>
      <c r="L152"/>
    </row>
    <row r="153" spans="1:12" ht="15">
      <c r="B153" s="62" t="s">
        <v>49</v>
      </c>
      <c r="C153" s="122"/>
      <c r="J153" s="97"/>
      <c r="L153"/>
    </row>
    <row r="154" spans="1:12">
      <c r="A154" s="68">
        <v>28</v>
      </c>
      <c r="B154" s="129" t="s">
        <v>540</v>
      </c>
      <c r="C154" s="676" t="s">
        <v>769</v>
      </c>
      <c r="D154" s="160">
        <f>+$I205*D92+I208</f>
        <v>41472460.760117948</v>
      </c>
      <c r="E154" s="97"/>
      <c r="F154" s="97"/>
      <c r="G154" s="128"/>
      <c r="H154" s="97"/>
      <c r="I154" s="54">
        <f>+$I205*I92+I208</f>
        <v>10685412.744288409</v>
      </c>
      <c r="J154" s="97"/>
      <c r="K154" s="122"/>
    </row>
    <row r="155" spans="1:12">
      <c r="A155" s="68"/>
      <c r="B155" s="62"/>
      <c r="D155" s="97"/>
      <c r="E155" s="97"/>
      <c r="F155" s="97"/>
      <c r="G155" s="128"/>
      <c r="H155" s="97"/>
      <c r="I155" s="97"/>
      <c r="J155" s="97"/>
      <c r="K155" s="122"/>
    </row>
    <row r="156" spans="1:12" ht="13.8" thickBot="1">
      <c r="A156" s="68">
        <v>29</v>
      </c>
      <c r="B156" s="62" t="s">
        <v>318</v>
      </c>
      <c r="C156" s="97" t="s">
        <v>317</v>
      </c>
      <c r="D156" s="67">
        <f>+D117+D124+D135+D151+D154</f>
        <v>101159478.25307152</v>
      </c>
      <c r="E156" s="97"/>
      <c r="F156" s="97"/>
      <c r="G156" s="97"/>
      <c r="H156" s="97"/>
      <c r="I156" s="67">
        <f>+I117+I124+I135+I151+I154</f>
        <v>25541035.202106193</v>
      </c>
      <c r="J156" s="62"/>
      <c r="K156" s="62"/>
    </row>
    <row r="157" spans="1:12" ht="13.8" thickTop="1">
      <c r="A157" s="68"/>
      <c r="B157" s="62"/>
      <c r="C157" s="97"/>
      <c r="D157" s="105"/>
      <c r="E157" s="97"/>
      <c r="F157" s="97"/>
      <c r="G157" s="97"/>
      <c r="H157" s="97"/>
      <c r="I157" s="105"/>
      <c r="J157" s="62"/>
      <c r="K157" s="62"/>
    </row>
    <row r="158" spans="1:12">
      <c r="B158" s="62"/>
      <c r="C158" s="62"/>
      <c r="D158" s="94"/>
      <c r="E158" s="62"/>
      <c r="F158" s="911"/>
      <c r="G158" s="911"/>
      <c r="H158" s="911"/>
      <c r="I158" s="911"/>
      <c r="J158" s="911"/>
      <c r="K158" s="911"/>
    </row>
    <row r="159" spans="1:12">
      <c r="B159" s="62"/>
      <c r="C159" s="62"/>
      <c r="D159" s="94"/>
      <c r="E159" s="62"/>
      <c r="F159" s="62"/>
      <c r="G159" s="62"/>
      <c r="H159" s="62"/>
      <c r="I159" s="912" t="str">
        <f>I1</f>
        <v>Actual Attachment H</v>
      </c>
      <c r="J159" s="912"/>
      <c r="K159" s="912"/>
    </row>
    <row r="160" spans="1:12">
      <c r="B160" s="62"/>
      <c r="C160" s="62"/>
      <c r="D160" s="94"/>
      <c r="E160" s="62"/>
      <c r="F160" s="62"/>
      <c r="G160" s="62"/>
      <c r="H160" s="62"/>
      <c r="I160" s="62"/>
      <c r="J160" s="911" t="s">
        <v>196</v>
      </c>
      <c r="K160" s="911"/>
    </row>
    <row r="161" spans="1:17">
      <c r="B161" s="62"/>
      <c r="C161" s="62"/>
      <c r="D161" s="94"/>
      <c r="E161" s="62"/>
      <c r="F161" s="62"/>
      <c r="G161" s="62"/>
      <c r="H161" s="62"/>
      <c r="I161" s="62"/>
      <c r="J161" s="95"/>
      <c r="K161" s="95"/>
    </row>
    <row r="162" spans="1:17">
      <c r="B162" s="94" t="s">
        <v>0</v>
      </c>
      <c r="C162" s="68" t="s">
        <v>1</v>
      </c>
      <c r="E162" s="62"/>
      <c r="F162" s="62"/>
      <c r="G162" s="914" t="str">
        <f>K4</f>
        <v>Actuals - For the 12 months ended 12/31/2022</v>
      </c>
      <c r="H162" s="914"/>
      <c r="I162" s="914"/>
      <c r="J162" s="914"/>
      <c r="K162" s="914"/>
    </row>
    <row r="163" spans="1:17">
      <c r="B163" s="62"/>
      <c r="C163" s="98" t="s">
        <v>3</v>
      </c>
      <c r="E163" s="97"/>
      <c r="F163" s="97"/>
      <c r="G163" s="97"/>
      <c r="H163" s="62"/>
      <c r="I163" s="62"/>
      <c r="J163" s="62"/>
      <c r="K163" s="62"/>
    </row>
    <row r="164" spans="1:17" ht="9" customHeight="1">
      <c r="A164" s="68"/>
      <c r="J164" s="97"/>
      <c r="K164" s="97"/>
    </row>
    <row r="165" spans="1:17">
      <c r="A165" s="68"/>
      <c r="C165" s="111" t="str">
        <f>C7</f>
        <v>Black Hills Colorado Electric, LLC</v>
      </c>
      <c r="J165" s="97"/>
      <c r="K165" s="97"/>
    </row>
    <row r="166" spans="1:17">
      <c r="A166" s="68"/>
      <c r="C166" s="125"/>
      <c r="J166" s="97"/>
      <c r="K166" s="97"/>
    </row>
    <row r="167" spans="1:17">
      <c r="A167" s="68"/>
      <c r="C167" s="115" t="s">
        <v>124</v>
      </c>
      <c r="E167" s="62"/>
      <c r="F167" s="62"/>
      <c r="G167" s="62"/>
      <c r="H167" s="62"/>
      <c r="I167" s="62"/>
      <c r="J167" s="97"/>
      <c r="K167" s="97"/>
    </row>
    <row r="168" spans="1:17">
      <c r="A168" s="68" t="s">
        <v>4</v>
      </c>
      <c r="B168" s="68" t="s">
        <v>15</v>
      </c>
      <c r="C168" s="68" t="s">
        <v>16</v>
      </c>
      <c r="D168" s="68" t="s">
        <v>17</v>
      </c>
      <c r="E168" s="97" t="s">
        <v>2</v>
      </c>
      <c r="F168" s="97"/>
      <c r="G168" s="113" t="s">
        <v>18</v>
      </c>
      <c r="H168" s="97"/>
      <c r="I168" s="113" t="s">
        <v>19</v>
      </c>
      <c r="J168" s="97"/>
      <c r="K168" s="97"/>
    </row>
    <row r="169" spans="1:17" ht="13.8" thickBot="1">
      <c r="A169" s="101" t="s">
        <v>6</v>
      </c>
      <c r="B169" s="62" t="s">
        <v>116</v>
      </c>
      <c r="C169" s="62"/>
      <c r="D169" s="62"/>
      <c r="E169" s="62"/>
      <c r="F169" s="62"/>
      <c r="G169" s="62"/>
      <c r="J169" s="97"/>
      <c r="K169" s="97"/>
    </row>
    <row r="170" spans="1:17">
      <c r="A170" s="68">
        <v>1</v>
      </c>
      <c r="B170" s="62" t="s">
        <v>320</v>
      </c>
      <c r="C170" s="62" t="s">
        <v>319</v>
      </c>
      <c r="D170" s="97"/>
      <c r="E170" s="97"/>
      <c r="F170" s="97"/>
      <c r="G170" s="97"/>
      <c r="H170" s="97"/>
      <c r="I170" s="160">
        <f>D46</f>
        <v>255097845.26384613</v>
      </c>
      <c r="J170" s="97"/>
      <c r="K170" s="97"/>
    </row>
    <row r="171" spans="1:17">
      <c r="A171" s="68">
        <v>2</v>
      </c>
      <c r="B171" s="62" t="s">
        <v>321</v>
      </c>
      <c r="C171" s="93" t="s">
        <v>359</v>
      </c>
      <c r="I171" s="106">
        <v>9295935.7530138269</v>
      </c>
      <c r="J171" s="97"/>
      <c r="K171" s="97"/>
    </row>
    <row r="172" spans="1:17" ht="27" thickBot="1">
      <c r="A172" s="68">
        <v>3</v>
      </c>
      <c r="B172" s="721" t="s">
        <v>931</v>
      </c>
      <c r="C172" s="134" t="s">
        <v>278</v>
      </c>
      <c r="D172" s="97"/>
      <c r="E172" s="97"/>
      <c r="F172" s="97"/>
      <c r="G172" s="98"/>
      <c r="H172" s="97"/>
      <c r="I172" s="135">
        <v>8243520.1799999997</v>
      </c>
      <c r="J172" s="97"/>
      <c r="K172" s="97"/>
    </row>
    <row r="173" spans="1:17">
      <c r="A173" s="68">
        <v>4</v>
      </c>
      <c r="B173" s="62" t="s">
        <v>323</v>
      </c>
      <c r="C173" s="62" t="s">
        <v>324</v>
      </c>
      <c r="D173" s="97"/>
      <c r="E173" s="97"/>
      <c r="F173" s="97"/>
      <c r="G173" s="98"/>
      <c r="H173" s="97"/>
      <c r="I173" s="105">
        <f>I170-I171-I172</f>
        <v>237558389.3308323</v>
      </c>
      <c r="J173" s="97"/>
      <c r="K173" s="97"/>
    </row>
    <row r="174" spans="1:17" ht="9" customHeight="1">
      <c r="A174" s="68"/>
      <c r="C174" s="62"/>
      <c r="D174" s="97"/>
      <c r="E174" s="97"/>
      <c r="F174" s="97"/>
      <c r="G174" s="98"/>
      <c r="H174" s="97"/>
      <c r="J174" s="97"/>
      <c r="K174" s="97"/>
    </row>
    <row r="175" spans="1:17">
      <c r="A175" s="68">
        <v>5</v>
      </c>
      <c r="B175" s="62" t="s">
        <v>325</v>
      </c>
      <c r="C175" s="100" t="s">
        <v>326</v>
      </c>
      <c r="D175" s="100"/>
      <c r="E175" s="100"/>
      <c r="F175" s="100"/>
      <c r="G175" s="113"/>
      <c r="H175" s="97" t="s">
        <v>52</v>
      </c>
      <c r="I175" s="136">
        <f>IF(I170&gt;0,I173/I170,0)</f>
        <v>0.93124420194583424</v>
      </c>
      <c r="J175" s="97"/>
      <c r="K175" s="97"/>
      <c r="N175" s="137"/>
      <c r="O175" s="137"/>
      <c r="P175" s="137"/>
    </row>
    <row r="176" spans="1:17" ht="9" customHeight="1">
      <c r="A176" s="68"/>
      <c r="J176" s="97"/>
      <c r="K176" s="97"/>
      <c r="N176" s="62"/>
      <c r="P176" s="97"/>
      <c r="Q176" s="62"/>
    </row>
    <row r="177" spans="1:19">
      <c r="A177" s="68"/>
      <c r="B177" s="62" t="s">
        <v>50</v>
      </c>
      <c r="J177" s="97"/>
      <c r="K177" s="97"/>
      <c r="N177" s="915"/>
      <c r="O177" s="915"/>
      <c r="P177" s="915"/>
      <c r="Q177" s="915"/>
      <c r="R177" s="915"/>
      <c r="S177" s="915"/>
    </row>
    <row r="178" spans="1:19">
      <c r="A178" s="68">
        <v>6</v>
      </c>
      <c r="B178" s="93" t="s">
        <v>327</v>
      </c>
      <c r="C178" s="93" t="s">
        <v>337</v>
      </c>
      <c r="D178" s="62"/>
      <c r="E178" s="62"/>
      <c r="F178" s="62"/>
      <c r="G178" s="68"/>
      <c r="H178" s="62"/>
      <c r="I178" s="160">
        <f>D106</f>
        <v>5324954</v>
      </c>
      <c r="J178" s="97"/>
      <c r="K178" s="97"/>
      <c r="P178" s="97"/>
      <c r="Q178" s="62"/>
    </row>
    <row r="179" spans="1:19" ht="13.8" thickBot="1">
      <c r="A179" s="68">
        <v>7</v>
      </c>
      <c r="B179" s="134" t="s">
        <v>336</v>
      </c>
      <c r="C179" s="134" t="s">
        <v>335</v>
      </c>
      <c r="D179" s="97"/>
      <c r="E179" s="97"/>
      <c r="F179" s="97"/>
      <c r="G179" s="97"/>
      <c r="H179" s="97"/>
      <c r="I179" s="138">
        <v>0</v>
      </c>
      <c r="J179" s="97"/>
      <c r="K179" s="97"/>
      <c r="N179" s="139"/>
      <c r="O179" s="140"/>
      <c r="P179" s="97"/>
      <c r="Q179" s="62"/>
    </row>
    <row r="180" spans="1:19">
      <c r="A180" s="68">
        <v>8</v>
      </c>
      <c r="B180" s="62" t="s">
        <v>329</v>
      </c>
      <c r="C180" s="100" t="s">
        <v>328</v>
      </c>
      <c r="D180" s="100"/>
      <c r="E180" s="100"/>
      <c r="F180" s="100"/>
      <c r="G180" s="113"/>
      <c r="H180" s="100"/>
      <c r="I180" s="105">
        <f>+I178-I179</f>
        <v>5324954</v>
      </c>
      <c r="N180" s="141"/>
      <c r="O180" s="142"/>
      <c r="P180" s="143"/>
      <c r="Q180" s="143"/>
    </row>
    <row r="181" spans="1:19">
      <c r="A181" s="68"/>
      <c r="B181" s="62"/>
      <c r="C181" s="62"/>
      <c r="D181" s="97"/>
      <c r="E181" s="97"/>
      <c r="F181" s="97"/>
      <c r="G181" s="97"/>
      <c r="N181" s="141"/>
      <c r="O181" s="142"/>
    </row>
    <row r="182" spans="1:19">
      <c r="A182" s="68">
        <v>9</v>
      </c>
      <c r="B182" s="62" t="s">
        <v>429</v>
      </c>
      <c r="C182" s="62" t="s">
        <v>338</v>
      </c>
      <c r="D182" s="97"/>
      <c r="E182" s="97"/>
      <c r="F182" s="97"/>
      <c r="G182" s="97"/>
      <c r="H182" s="97"/>
      <c r="I182" s="120">
        <f>IF(I178&gt;0,I180/I178,0)</f>
        <v>1</v>
      </c>
      <c r="N182" s="62"/>
      <c r="O182" s="144"/>
      <c r="P182" s="142"/>
      <c r="Q182" s="142"/>
    </row>
    <row r="183" spans="1:19">
      <c r="A183" s="68">
        <v>10</v>
      </c>
      <c r="B183" s="62" t="s">
        <v>430</v>
      </c>
      <c r="C183" s="62" t="s">
        <v>332</v>
      </c>
      <c r="D183" s="97"/>
      <c r="E183" s="97"/>
      <c r="F183" s="97"/>
      <c r="G183" s="97"/>
      <c r="H183" s="62" t="s">
        <v>11</v>
      </c>
      <c r="I183" s="120">
        <f>$I$175</f>
        <v>0.93124420194583424</v>
      </c>
      <c r="N183" s="139"/>
      <c r="O183" s="142"/>
      <c r="Q183" s="142"/>
    </row>
    <row r="184" spans="1:19">
      <c r="A184" s="68">
        <v>11</v>
      </c>
      <c r="B184" s="62" t="s">
        <v>431</v>
      </c>
      <c r="C184" s="62" t="s">
        <v>333</v>
      </c>
      <c r="D184" s="62"/>
      <c r="E184" s="62"/>
      <c r="F184" s="62"/>
      <c r="G184" s="62"/>
      <c r="H184" s="62" t="s">
        <v>51</v>
      </c>
      <c r="I184" s="104">
        <f>+I183*I182</f>
        <v>0.93124420194583424</v>
      </c>
      <c r="N184" s="139"/>
      <c r="O184" s="142"/>
      <c r="Q184" s="142"/>
    </row>
    <row r="185" spans="1:19">
      <c r="A185" s="68"/>
      <c r="C185" s="62"/>
      <c r="D185" s="97"/>
      <c r="E185" s="97"/>
      <c r="F185" s="97"/>
      <c r="G185" s="98"/>
      <c r="H185" s="97"/>
      <c r="N185" s="139"/>
      <c r="O185" s="142"/>
      <c r="Q185" s="145"/>
    </row>
    <row r="186" spans="1:19">
      <c r="A186" s="68" t="s">
        <v>2</v>
      </c>
      <c r="B186" s="62" t="s">
        <v>53</v>
      </c>
      <c r="C186" s="97"/>
      <c r="D186" s="97"/>
      <c r="E186" s="97"/>
      <c r="F186" s="97"/>
      <c r="G186" s="97"/>
      <c r="H186" s="97"/>
      <c r="I186" s="97"/>
      <c r="J186" s="97"/>
      <c r="K186" s="97"/>
      <c r="N186" s="141"/>
      <c r="O186" s="142"/>
      <c r="P186" s="97"/>
      <c r="Q186" s="62"/>
    </row>
    <row r="187" spans="1:19" ht="13.8" thickBot="1">
      <c r="A187" s="68" t="s">
        <v>2</v>
      </c>
      <c r="B187" s="62"/>
      <c r="C187" s="146" t="s">
        <v>54</v>
      </c>
      <c r="D187" s="147" t="s">
        <v>55</v>
      </c>
      <c r="E187" s="147" t="s">
        <v>11</v>
      </c>
      <c r="F187" s="97"/>
      <c r="G187" s="147" t="s">
        <v>56</v>
      </c>
      <c r="H187" s="97"/>
      <c r="I187" s="97"/>
      <c r="J187" s="97"/>
      <c r="K187" s="97"/>
      <c r="N187" s="141"/>
      <c r="O187" s="142"/>
      <c r="P187" s="97"/>
      <c r="Q187" s="62"/>
    </row>
    <row r="188" spans="1:19">
      <c r="A188" s="68">
        <v>12</v>
      </c>
      <c r="B188" s="62" t="s">
        <v>26</v>
      </c>
      <c r="C188" s="97" t="s">
        <v>106</v>
      </c>
      <c r="D188" s="106">
        <v>2151894</v>
      </c>
      <c r="E188" s="148">
        <v>0</v>
      </c>
      <c r="F188" s="148"/>
      <c r="G188" s="105">
        <f>D188*E188</f>
        <v>0</v>
      </c>
      <c r="H188" s="97"/>
      <c r="I188" s="97"/>
      <c r="J188" s="97"/>
      <c r="K188" s="97"/>
    </row>
    <row r="189" spans="1:19">
      <c r="A189" s="68">
        <v>13</v>
      </c>
      <c r="B189" s="62" t="s">
        <v>28</v>
      </c>
      <c r="C189" s="97" t="s">
        <v>107</v>
      </c>
      <c r="D189" s="106">
        <v>1533817</v>
      </c>
      <c r="E189" s="510">
        <f>$I$175</f>
        <v>0.93124420194583424</v>
      </c>
      <c r="F189" s="148"/>
      <c r="G189" s="105">
        <f>D189*E189</f>
        <v>1428358.1880959535</v>
      </c>
      <c r="H189" s="97"/>
      <c r="I189" s="97"/>
      <c r="J189" s="97"/>
      <c r="K189" s="97"/>
    </row>
    <row r="190" spans="1:19">
      <c r="A190" s="68">
        <v>14</v>
      </c>
      <c r="B190" s="62" t="s">
        <v>29</v>
      </c>
      <c r="C190" s="97" t="s">
        <v>108</v>
      </c>
      <c r="D190" s="106">
        <v>6309022</v>
      </c>
      <c r="E190" s="148">
        <v>0</v>
      </c>
      <c r="F190" s="148"/>
      <c r="G190" s="105">
        <f>D190*E190</f>
        <v>0</v>
      </c>
      <c r="H190" s="97"/>
      <c r="I190" s="98" t="s">
        <v>57</v>
      </c>
      <c r="J190" s="97"/>
      <c r="K190" s="97"/>
    </row>
    <row r="191" spans="1:19" ht="13.8" thickBot="1">
      <c r="A191" s="68">
        <v>15</v>
      </c>
      <c r="B191" s="62" t="s">
        <v>58</v>
      </c>
      <c r="C191" s="97" t="s">
        <v>111</v>
      </c>
      <c r="D191" s="135">
        <v>1246286</v>
      </c>
      <c r="E191" s="148">
        <v>0</v>
      </c>
      <c r="F191" s="148"/>
      <c r="G191" s="150">
        <f>D191*E191</f>
        <v>0</v>
      </c>
      <c r="H191" s="97"/>
      <c r="I191" s="101" t="s">
        <v>59</v>
      </c>
      <c r="J191" s="97"/>
      <c r="K191" s="97"/>
    </row>
    <row r="192" spans="1:19">
      <c r="A192" s="68">
        <v>16</v>
      </c>
      <c r="B192" s="62" t="s">
        <v>339</v>
      </c>
      <c r="C192" s="97" t="s">
        <v>967</v>
      </c>
      <c r="D192" s="105">
        <f>SUM(D188:D191)</f>
        <v>11241019</v>
      </c>
      <c r="E192" s="97"/>
      <c r="F192" s="97"/>
      <c r="G192" s="105">
        <f>SUM(G188:G191)</f>
        <v>1428358.1880959535</v>
      </c>
      <c r="H192" s="68" t="s">
        <v>60</v>
      </c>
      <c r="I192" s="120">
        <f>IF(G192&gt;0,G192/D192,0)</f>
        <v>0.12706661096257854</v>
      </c>
      <c r="J192" s="98" t="s">
        <v>60</v>
      </c>
      <c r="K192" s="132" t="s">
        <v>31</v>
      </c>
    </row>
    <row r="193" spans="1:11" ht="9" customHeight="1">
      <c r="A193" s="68"/>
      <c r="B193" s="62"/>
      <c r="C193" s="97"/>
      <c r="D193" s="97"/>
      <c r="E193" s="97"/>
      <c r="F193" s="97"/>
      <c r="G193" s="97"/>
      <c r="H193" s="97"/>
      <c r="I193" s="97"/>
      <c r="J193" s="97"/>
      <c r="K193" s="97"/>
    </row>
    <row r="194" spans="1:11">
      <c r="A194" s="68"/>
      <c r="B194" s="62" t="s">
        <v>1255</v>
      </c>
      <c r="C194" s="97"/>
      <c r="D194" s="114" t="s">
        <v>55</v>
      </c>
      <c r="E194" s="97"/>
      <c r="F194" s="97"/>
      <c r="G194" s="98" t="s">
        <v>61</v>
      </c>
      <c r="H194" s="128" t="s">
        <v>2</v>
      </c>
      <c r="I194" s="121" t="str">
        <f>+I190</f>
        <v>W&amp;S Allocator</v>
      </c>
      <c r="J194" s="97"/>
      <c r="K194" s="97"/>
    </row>
    <row r="195" spans="1:11">
      <c r="A195" s="68">
        <v>17</v>
      </c>
      <c r="B195" s="62" t="s">
        <v>62</v>
      </c>
      <c r="C195" s="97" t="s">
        <v>63</v>
      </c>
      <c r="D195" s="106">
        <v>1109521317</v>
      </c>
      <c r="E195" s="97"/>
      <c r="G195" s="68" t="s">
        <v>64</v>
      </c>
      <c r="H195" s="128"/>
      <c r="I195" s="68" t="s">
        <v>65</v>
      </c>
      <c r="J195" s="97"/>
      <c r="K195" s="68" t="s">
        <v>1256</v>
      </c>
    </row>
    <row r="196" spans="1:11">
      <c r="A196" s="68">
        <v>18</v>
      </c>
      <c r="B196" s="62" t="s">
        <v>66</v>
      </c>
      <c r="C196" s="97" t="s">
        <v>101</v>
      </c>
      <c r="D196" s="106">
        <v>0</v>
      </c>
      <c r="E196" s="97"/>
      <c r="G196" s="104">
        <f>IF(D198&gt;0,D195/D198,0)</f>
        <v>0.97991173177703361</v>
      </c>
      <c r="H196" s="98" t="s">
        <v>67</v>
      </c>
      <c r="I196" s="104">
        <f>I192</f>
        <v>0.12706661096257854</v>
      </c>
      <c r="J196" s="128" t="s">
        <v>60</v>
      </c>
      <c r="K196" s="151">
        <f>I196*G196</f>
        <v>0.12451406279937895</v>
      </c>
    </row>
    <row r="197" spans="1:11" ht="13.8" thickBot="1">
      <c r="A197" s="68">
        <v>19</v>
      </c>
      <c r="B197" s="134" t="s">
        <v>58</v>
      </c>
      <c r="C197" s="146" t="s">
        <v>571</v>
      </c>
      <c r="D197" s="135">
        <v>22745275</v>
      </c>
      <c r="E197" s="97"/>
      <c r="F197" s="97"/>
      <c r="G197" s="97" t="s">
        <v>2</v>
      </c>
      <c r="H197" s="97"/>
      <c r="I197" s="97"/>
      <c r="J197" s="97"/>
      <c r="K197" s="97"/>
    </row>
    <row r="198" spans="1:11">
      <c r="A198" s="68">
        <v>20</v>
      </c>
      <c r="B198" s="62" t="s">
        <v>339</v>
      </c>
      <c r="C198" s="97" t="s">
        <v>340</v>
      </c>
      <c r="D198" s="105">
        <f>D195+D196+D197</f>
        <v>1132266592</v>
      </c>
      <c r="E198" s="97"/>
      <c r="F198" s="97"/>
      <c r="G198" s="97"/>
      <c r="H198" s="97"/>
      <c r="I198" s="97"/>
      <c r="J198" s="97"/>
      <c r="K198" s="97"/>
    </row>
    <row r="199" spans="1:11" ht="9" customHeight="1">
      <c r="A199" s="68"/>
      <c r="B199" s="62"/>
      <c r="C199" s="97"/>
      <c r="E199" s="97"/>
      <c r="F199" s="97"/>
      <c r="G199" s="97"/>
      <c r="H199" s="97"/>
      <c r="I199" s="97"/>
      <c r="J199" s="97"/>
      <c r="K199" s="97"/>
    </row>
    <row r="200" spans="1:11" ht="13.8" thickBot="1">
      <c r="A200" s="68"/>
      <c r="B200" s="62" t="s">
        <v>68</v>
      </c>
      <c r="C200" s="97"/>
      <c r="D200" s="97"/>
      <c r="E200" s="97"/>
      <c r="F200" s="97"/>
      <c r="G200" s="97"/>
      <c r="H200" s="97"/>
      <c r="I200" s="147" t="s">
        <v>55</v>
      </c>
      <c r="J200" s="97"/>
      <c r="K200" s="97"/>
    </row>
    <row r="201" spans="1:11">
      <c r="A201" s="68"/>
      <c r="B201" s="62"/>
      <c r="C201" s="97"/>
      <c r="D201" s="97"/>
      <c r="E201" s="97"/>
      <c r="F201" s="97"/>
      <c r="G201" s="98" t="s">
        <v>69</v>
      </c>
      <c r="H201" s="97"/>
      <c r="I201" s="97"/>
      <c r="J201" s="97"/>
      <c r="K201" s="97"/>
    </row>
    <row r="202" spans="1:11" ht="13.8" thickBot="1">
      <c r="A202" s="68"/>
      <c r="B202" s="62"/>
      <c r="C202" s="97"/>
      <c r="D202" s="97"/>
      <c r="E202" s="101" t="s">
        <v>70</v>
      </c>
      <c r="F202" s="97"/>
      <c r="G202" s="101" t="s">
        <v>1054</v>
      </c>
      <c r="H202" s="97"/>
      <c r="I202" s="101" t="s">
        <v>71</v>
      </c>
      <c r="J202" s="97"/>
      <c r="K202" s="97"/>
    </row>
    <row r="203" spans="1:11" s="801" customFormat="1">
      <c r="A203" s="69">
        <v>21</v>
      </c>
      <c r="B203" s="797" t="s">
        <v>341</v>
      </c>
      <c r="C203" s="413" t="s">
        <v>1054</v>
      </c>
      <c r="D203" s="97"/>
      <c r="E203" s="798">
        <v>0.53</v>
      </c>
      <c r="F203" s="799"/>
      <c r="G203" s="895">
        <v>3.4700000000000002E-2</v>
      </c>
      <c r="I203" s="800">
        <f>G203*E203</f>
        <v>1.8391000000000001E-2</v>
      </c>
      <c r="J203" s="802" t="s">
        <v>72</v>
      </c>
    </row>
    <row r="204" spans="1:11" ht="13.8" thickBot="1">
      <c r="A204" s="68">
        <v>22</v>
      </c>
      <c r="B204" s="134" t="s">
        <v>342</v>
      </c>
      <c r="C204" s="134" t="s">
        <v>1054</v>
      </c>
      <c r="D204" s="134"/>
      <c r="E204" s="153">
        <v>0.47</v>
      </c>
      <c r="F204" s="154"/>
      <c r="G204" s="155">
        <v>9.8000000000000004E-2</v>
      </c>
      <c r="I204" s="157">
        <f>G204*E204</f>
        <v>4.6059999999999997E-2</v>
      </c>
      <c r="J204" s="97"/>
    </row>
    <row r="205" spans="1:11">
      <c r="A205" s="68">
        <v>23</v>
      </c>
      <c r="B205" s="62"/>
      <c r="C205" s="100"/>
      <c r="D205" s="97"/>
      <c r="E205" s="97" t="s">
        <v>2</v>
      </c>
      <c r="F205" s="97"/>
      <c r="G205" s="97"/>
      <c r="H205" s="97"/>
      <c r="I205" s="155">
        <f>SUM(I203:I204)</f>
        <v>6.4450999999999994E-2</v>
      </c>
      <c r="J205" s="156" t="s">
        <v>73</v>
      </c>
    </row>
    <row r="206" spans="1:11" ht="9" customHeight="1">
      <c r="D206" s="97"/>
      <c r="E206" s="97"/>
      <c r="F206" s="97"/>
      <c r="G206" s="97"/>
      <c r="H206" s="97"/>
    </row>
    <row r="207" spans="1:11">
      <c r="A207" s="916"/>
      <c r="B207" s="916"/>
      <c r="C207" s="916"/>
      <c r="D207" s="97"/>
      <c r="E207" s="97"/>
      <c r="F207" s="122"/>
      <c r="G207" s="917"/>
      <c r="H207" s="917"/>
      <c r="I207" s="917"/>
      <c r="J207" s="917"/>
      <c r="K207" s="917"/>
    </row>
    <row r="208" spans="1:11">
      <c r="A208" s="68">
        <v>24</v>
      </c>
      <c r="B208" s="62" t="s">
        <v>541</v>
      </c>
      <c r="C208" s="62" t="s">
        <v>543</v>
      </c>
      <c r="D208" s="94"/>
      <c r="E208" s="62"/>
      <c r="F208" s="62"/>
      <c r="G208" s="62"/>
      <c r="H208" s="322"/>
      <c r="I208" s="152">
        <v>0</v>
      </c>
      <c r="J208" s="322"/>
      <c r="K208" s="322"/>
    </row>
    <row r="209" spans="1:11">
      <c r="B209" s="62"/>
      <c r="C209" s="62"/>
      <c r="D209" s="94"/>
      <c r="E209" s="62"/>
      <c r="F209" s="62"/>
      <c r="G209" s="911"/>
      <c r="H209" s="911"/>
      <c r="I209" s="911"/>
      <c r="J209" s="911"/>
      <c r="K209" s="911"/>
    </row>
    <row r="210" spans="1:11">
      <c r="B210" s="62"/>
      <c r="C210" s="62"/>
      <c r="D210" s="94"/>
      <c r="E210" s="62"/>
      <c r="F210" s="62"/>
      <c r="G210" s="62"/>
      <c r="H210" s="62"/>
      <c r="I210" s="912" t="str">
        <f>I1</f>
        <v>Actual Attachment H</v>
      </c>
      <c r="J210" s="912"/>
      <c r="K210" s="912"/>
    </row>
    <row r="211" spans="1:11">
      <c r="B211" s="62"/>
      <c r="C211" s="62"/>
      <c r="D211" s="94"/>
      <c r="E211" s="62"/>
      <c r="F211" s="62"/>
      <c r="G211" s="62"/>
      <c r="H211" s="62"/>
      <c r="I211" s="62"/>
      <c r="J211" s="911" t="s">
        <v>276</v>
      </c>
      <c r="K211" s="911"/>
    </row>
    <row r="212" spans="1:11">
      <c r="B212" s="62"/>
      <c r="C212" s="62"/>
      <c r="D212" s="94"/>
      <c r="E212" s="62"/>
      <c r="F212" s="62"/>
      <c r="G212" s="62"/>
      <c r="H212" s="62"/>
      <c r="I212" s="62"/>
      <c r="J212" s="62"/>
      <c r="K212" s="95"/>
    </row>
    <row r="213" spans="1:11">
      <c r="B213" s="94" t="s">
        <v>0</v>
      </c>
      <c r="C213" s="62"/>
      <c r="D213" s="68" t="s">
        <v>1</v>
      </c>
      <c r="E213" s="62"/>
      <c r="F213" s="62"/>
      <c r="G213" s="62"/>
      <c r="H213" s="62"/>
      <c r="I213" s="62"/>
      <c r="J213" s="62"/>
      <c r="K213" s="110" t="str">
        <f>K4</f>
        <v>Actuals - For the 12 months ended 12/31/2022</v>
      </c>
    </row>
    <row r="214" spans="1:11">
      <c r="B214" s="62"/>
      <c r="C214" s="97"/>
      <c r="D214" s="98" t="s">
        <v>3</v>
      </c>
      <c r="E214" s="97"/>
      <c r="F214" s="97"/>
      <c r="G214" s="97"/>
      <c r="H214" s="62"/>
      <c r="I214" s="62"/>
      <c r="J214" s="62"/>
      <c r="K214" s="62"/>
    </row>
    <row r="215" spans="1:11">
      <c r="A215" s="68"/>
      <c r="C215" s="68"/>
      <c r="D215" s="97"/>
      <c r="E215" s="97"/>
      <c r="F215" s="97"/>
      <c r="G215" s="97"/>
      <c r="H215" s="62"/>
      <c r="I215" s="141"/>
      <c r="K215" s="97"/>
    </row>
    <row r="216" spans="1:11">
      <c r="A216" s="68"/>
      <c r="C216" s="68"/>
      <c r="D216" s="158" t="str">
        <f>C7</f>
        <v>Black Hills Colorado Electric, LLC</v>
      </c>
      <c r="E216" s="97"/>
      <c r="F216" s="97"/>
      <c r="G216" s="97"/>
      <c r="H216" s="62"/>
      <c r="I216" s="141"/>
      <c r="K216" s="97"/>
    </row>
    <row r="217" spans="1:11">
      <c r="A217" s="68"/>
      <c r="C217" s="68"/>
      <c r="D217" s="97"/>
      <c r="E217" s="97"/>
      <c r="F217" s="97"/>
      <c r="G217" s="97"/>
      <c r="H217" s="62"/>
      <c r="I217" s="141"/>
      <c r="K217" s="97"/>
    </row>
    <row r="218" spans="1:11">
      <c r="A218" s="68"/>
      <c r="B218" s="62" t="s">
        <v>110</v>
      </c>
      <c r="C218" s="68"/>
      <c r="D218" s="97"/>
      <c r="E218" s="97"/>
      <c r="F218" s="97"/>
      <c r="G218" s="97"/>
      <c r="H218" s="62"/>
      <c r="I218" s="97"/>
      <c r="J218" s="62"/>
      <c r="K218" s="97"/>
    </row>
    <row r="219" spans="1:11">
      <c r="A219" s="68"/>
      <c r="B219" s="94" t="s">
        <v>109</v>
      </c>
      <c r="C219" s="68"/>
      <c r="D219" s="97"/>
      <c r="E219" s="97"/>
      <c r="F219" s="97"/>
      <c r="G219" s="97"/>
      <c r="H219" s="62"/>
      <c r="I219" s="97"/>
      <c r="J219" s="62"/>
      <c r="K219" s="97"/>
    </row>
    <row r="220" spans="1:11">
      <c r="A220" s="68" t="s">
        <v>74</v>
      </c>
      <c r="B220" s="62"/>
      <c r="C220" s="62"/>
      <c r="D220" s="97"/>
      <c r="E220" s="97"/>
      <c r="F220" s="97"/>
      <c r="G220" s="97"/>
      <c r="H220" s="62"/>
      <c r="I220" s="97"/>
      <c r="J220" s="62"/>
      <c r="K220" s="97"/>
    </row>
    <row r="221" spans="1:11" ht="13.8" thickBot="1">
      <c r="A221" s="101" t="s">
        <v>75</v>
      </c>
      <c r="B221" s="62"/>
      <c r="C221" s="62"/>
      <c r="D221" s="97"/>
      <c r="E221" s="97"/>
      <c r="F221" s="97"/>
      <c r="G221" s="97"/>
      <c r="H221" s="62"/>
      <c r="I221" s="97"/>
      <c r="J221" s="62"/>
      <c r="K221" s="97"/>
    </row>
    <row r="222" spans="1:11">
      <c r="A222" s="69" t="s">
        <v>76</v>
      </c>
      <c r="B222" s="72" t="s">
        <v>115</v>
      </c>
      <c r="C222" s="73"/>
      <c r="D222" s="74"/>
      <c r="E222" s="74"/>
      <c r="F222" s="74"/>
      <c r="G222" s="74"/>
      <c r="H222" s="73"/>
      <c r="I222" s="74"/>
      <c r="J222" s="73"/>
      <c r="K222" s="74"/>
    </row>
    <row r="223" spans="1:11" ht="30.75" customHeight="1">
      <c r="A223" s="69" t="s">
        <v>77</v>
      </c>
      <c r="B223" s="918" t="s">
        <v>746</v>
      </c>
      <c r="C223" s="918"/>
      <c r="D223" s="918"/>
      <c r="E223" s="918"/>
      <c r="F223" s="918"/>
      <c r="G223" s="918"/>
      <c r="H223" s="918"/>
      <c r="I223" s="918"/>
      <c r="J223" s="918"/>
      <c r="K223" s="918"/>
    </row>
    <row r="224" spans="1:11" ht="70.8" customHeight="1">
      <c r="A224" s="69" t="s">
        <v>78</v>
      </c>
      <c r="B224" s="903" t="s">
        <v>1267</v>
      </c>
      <c r="C224" s="903"/>
      <c r="D224" s="903"/>
      <c r="E224" s="903"/>
      <c r="F224" s="903"/>
      <c r="G224" s="903"/>
      <c r="H224" s="903"/>
      <c r="I224" s="903"/>
      <c r="J224" s="903"/>
      <c r="K224" s="903"/>
    </row>
    <row r="225" spans="1:11" ht="27" customHeight="1">
      <c r="A225" s="69" t="s">
        <v>79</v>
      </c>
      <c r="B225" s="902" t="s">
        <v>791</v>
      </c>
      <c r="C225" s="902"/>
      <c r="D225" s="902"/>
      <c r="E225" s="902"/>
      <c r="F225" s="902"/>
      <c r="G225" s="902"/>
      <c r="H225" s="902"/>
      <c r="I225" s="902"/>
      <c r="J225" s="73"/>
      <c r="K225" s="73"/>
    </row>
    <row r="226" spans="1:11">
      <c r="A226" s="69" t="s">
        <v>80</v>
      </c>
      <c r="B226" s="903" t="s">
        <v>1053</v>
      </c>
      <c r="C226" s="903"/>
      <c r="D226" s="903"/>
      <c r="E226" s="903"/>
      <c r="F226" s="903"/>
      <c r="G226" s="903"/>
      <c r="H226" s="903"/>
      <c r="I226" s="903"/>
      <c r="J226" s="903"/>
      <c r="K226" s="903"/>
    </row>
    <row r="227" spans="1:11" ht="28.5" customHeight="1">
      <c r="A227" s="69" t="s">
        <v>81</v>
      </c>
      <c r="B227" s="909" t="s">
        <v>973</v>
      </c>
      <c r="C227" s="909"/>
      <c r="D227" s="909"/>
      <c r="E227" s="909"/>
      <c r="F227" s="909"/>
      <c r="G227" s="909"/>
      <c r="H227" s="909"/>
      <c r="I227" s="909"/>
      <c r="J227" s="76"/>
      <c r="K227" s="76"/>
    </row>
    <row r="228" spans="1:11">
      <c r="A228" s="69" t="s">
        <v>82</v>
      </c>
      <c r="B228" s="70" t="s">
        <v>687</v>
      </c>
      <c r="C228" s="62"/>
      <c r="D228" s="62"/>
      <c r="E228" s="62"/>
      <c r="F228" s="62"/>
      <c r="G228" s="62"/>
      <c r="H228" s="62"/>
      <c r="I228" s="62"/>
      <c r="J228" s="73"/>
      <c r="K228" s="73"/>
    </row>
    <row r="229" spans="1:11" ht="29.25" customHeight="1">
      <c r="A229" s="69" t="s">
        <v>343</v>
      </c>
      <c r="B229" s="902" t="s">
        <v>688</v>
      </c>
      <c r="C229" s="902"/>
      <c r="D229" s="902"/>
      <c r="E229" s="902"/>
      <c r="F229" s="902"/>
      <c r="G229" s="902"/>
      <c r="H229" s="902"/>
      <c r="I229" s="902"/>
      <c r="J229" s="77"/>
      <c r="K229" s="73"/>
    </row>
    <row r="230" spans="1:11">
      <c r="A230" s="69" t="s">
        <v>83</v>
      </c>
      <c r="B230" s="902" t="s">
        <v>689</v>
      </c>
      <c r="C230" s="902"/>
      <c r="D230" s="902"/>
      <c r="E230" s="902"/>
      <c r="F230" s="902"/>
      <c r="G230" s="902"/>
      <c r="H230" s="902"/>
      <c r="I230" s="902"/>
      <c r="J230" s="73"/>
      <c r="K230" s="73"/>
    </row>
    <row r="231" spans="1:11">
      <c r="A231" s="69" t="s">
        <v>84</v>
      </c>
      <c r="B231" s="902" t="s">
        <v>1050</v>
      </c>
      <c r="C231" s="902"/>
      <c r="D231" s="902"/>
      <c r="E231" s="902"/>
      <c r="F231" s="902"/>
      <c r="G231" s="902"/>
      <c r="H231" s="902"/>
      <c r="I231" s="902"/>
      <c r="J231" s="73"/>
      <c r="K231" s="73"/>
    </row>
    <row r="232" spans="1:11" ht="53.25" customHeight="1">
      <c r="A232" s="69" t="s">
        <v>85</v>
      </c>
      <c r="B232" s="903" t="s">
        <v>690</v>
      </c>
      <c r="C232" s="903"/>
      <c r="D232" s="903"/>
      <c r="E232" s="903"/>
      <c r="F232" s="903"/>
      <c r="G232" s="903"/>
      <c r="H232" s="903"/>
      <c r="I232" s="903"/>
      <c r="J232" s="903"/>
      <c r="K232" s="903"/>
    </row>
    <row r="233" spans="1:11">
      <c r="A233" s="75" t="s">
        <v>2</v>
      </c>
      <c r="B233" s="62" t="s">
        <v>344</v>
      </c>
      <c r="C233" s="62" t="s">
        <v>90</v>
      </c>
      <c r="D233" s="159">
        <v>0.21</v>
      </c>
      <c r="E233" s="62" t="s">
        <v>345</v>
      </c>
      <c r="F233" s="62"/>
      <c r="G233" s="62"/>
      <c r="H233" s="62"/>
      <c r="I233" s="62"/>
      <c r="J233" s="62"/>
      <c r="K233" s="62"/>
    </row>
    <row r="234" spans="1:11">
      <c r="A234" s="75"/>
      <c r="B234" s="62"/>
      <c r="C234" s="62" t="s">
        <v>91</v>
      </c>
      <c r="D234" s="159">
        <v>4.3999999999999997E-2</v>
      </c>
      <c r="E234" s="62" t="s">
        <v>92</v>
      </c>
      <c r="F234" s="62"/>
      <c r="G234" s="62"/>
      <c r="H234" s="62"/>
      <c r="I234" s="62"/>
      <c r="J234" s="62"/>
      <c r="K234" s="62"/>
    </row>
    <row r="235" spans="1:11">
      <c r="A235" s="75"/>
      <c r="B235" s="62"/>
      <c r="C235" s="62" t="s">
        <v>93</v>
      </c>
      <c r="D235" s="159">
        <v>0</v>
      </c>
      <c r="E235" s="62" t="s">
        <v>94</v>
      </c>
      <c r="F235" s="62"/>
      <c r="G235" s="62"/>
      <c r="H235" s="62"/>
      <c r="I235" s="62"/>
      <c r="J235" s="62"/>
      <c r="K235" s="62"/>
    </row>
    <row r="236" spans="1:11" ht="29.4" customHeight="1">
      <c r="A236" s="69" t="s">
        <v>346</v>
      </c>
      <c r="B236" s="902" t="s">
        <v>1051</v>
      </c>
      <c r="C236" s="902"/>
      <c r="D236" s="902"/>
      <c r="E236" s="902"/>
      <c r="F236" s="902"/>
      <c r="G236" s="902"/>
      <c r="H236" s="902"/>
      <c r="I236" s="902"/>
      <c r="J236" s="73"/>
      <c r="K236" s="73"/>
    </row>
    <row r="237" spans="1:11" ht="27" customHeight="1">
      <c r="A237" s="69" t="s">
        <v>277</v>
      </c>
      <c r="B237" s="902" t="s">
        <v>1052</v>
      </c>
      <c r="C237" s="902"/>
      <c r="D237" s="902"/>
      <c r="E237" s="902"/>
      <c r="F237" s="902"/>
      <c r="G237" s="902"/>
      <c r="H237" s="902"/>
      <c r="I237" s="902"/>
      <c r="J237" s="78"/>
      <c r="K237" s="73"/>
    </row>
    <row r="238" spans="1:11" ht="53.4" customHeight="1">
      <c r="A238" s="69" t="s">
        <v>347</v>
      </c>
      <c r="B238" s="907" t="s">
        <v>1189</v>
      </c>
      <c r="C238" s="907"/>
      <c r="D238" s="907"/>
      <c r="E238" s="907"/>
      <c r="F238" s="907"/>
      <c r="G238" s="907"/>
      <c r="H238" s="907"/>
      <c r="I238" s="907"/>
      <c r="J238" s="907"/>
      <c r="K238" s="907"/>
    </row>
    <row r="239" spans="1:11" ht="49.95" customHeight="1">
      <c r="A239" s="69" t="s">
        <v>348</v>
      </c>
      <c r="B239" s="909" t="s">
        <v>1233</v>
      </c>
      <c r="C239" s="909"/>
      <c r="D239" s="909"/>
      <c r="E239" s="909"/>
      <c r="F239" s="909"/>
      <c r="G239" s="909"/>
      <c r="H239" s="909"/>
      <c r="I239" s="909"/>
      <c r="J239" s="76"/>
      <c r="K239" s="76"/>
    </row>
    <row r="240" spans="1:11" ht="29.4" customHeight="1">
      <c r="A240" s="69" t="s">
        <v>349</v>
      </c>
      <c r="B240" s="904" t="s">
        <v>1190</v>
      </c>
      <c r="C240" s="904"/>
      <c r="D240" s="904"/>
      <c r="E240" s="904"/>
      <c r="F240" s="904"/>
      <c r="G240" s="904"/>
      <c r="H240" s="904"/>
      <c r="I240" s="904"/>
      <c r="J240" s="904"/>
      <c r="K240" s="904"/>
    </row>
    <row r="241" spans="1:11" ht="29.4" customHeight="1">
      <c r="A241" s="69" t="s">
        <v>350</v>
      </c>
      <c r="B241" s="904" t="s">
        <v>1191</v>
      </c>
      <c r="C241" s="904"/>
      <c r="D241" s="904"/>
      <c r="E241" s="904"/>
      <c r="F241" s="904"/>
      <c r="G241" s="904"/>
      <c r="H241" s="904"/>
      <c r="I241" s="904"/>
      <c r="J241" s="73"/>
      <c r="K241" s="73"/>
    </row>
    <row r="242" spans="1:11" ht="15.75" customHeight="1">
      <c r="A242" s="69" t="s">
        <v>86</v>
      </c>
      <c r="B242" s="910" t="s">
        <v>1147</v>
      </c>
      <c r="C242" s="910"/>
      <c r="D242" s="910"/>
      <c r="E242" s="910"/>
      <c r="F242" s="910"/>
      <c r="G242" s="910"/>
      <c r="H242" s="910"/>
      <c r="I242" s="910"/>
      <c r="J242" s="79"/>
      <c r="K242" s="79"/>
    </row>
    <row r="243" spans="1:11" ht="29.25" customHeight="1">
      <c r="A243" s="69" t="s">
        <v>351</v>
      </c>
      <c r="B243" s="908" t="s">
        <v>691</v>
      </c>
      <c r="C243" s="908"/>
      <c r="D243" s="908"/>
      <c r="E243" s="908"/>
      <c r="F243" s="908"/>
      <c r="G243" s="908"/>
      <c r="H243" s="908"/>
      <c r="I243" s="908"/>
      <c r="J243" s="73"/>
      <c r="K243" s="73"/>
    </row>
    <row r="244" spans="1:11" ht="30" customHeight="1">
      <c r="A244" s="71" t="s">
        <v>352</v>
      </c>
      <c r="B244" s="904" t="s">
        <v>1260</v>
      </c>
      <c r="C244" s="904"/>
      <c r="D244" s="904"/>
      <c r="E244" s="904"/>
      <c r="F244" s="904"/>
      <c r="G244" s="904"/>
      <c r="H244" s="904"/>
      <c r="I244" s="904"/>
      <c r="J244" s="81"/>
      <c r="K244" s="81"/>
    </row>
    <row r="245" spans="1:11" ht="13.2" customHeight="1">
      <c r="A245" s="71" t="s">
        <v>353</v>
      </c>
      <c r="B245" s="905" t="s">
        <v>1147</v>
      </c>
      <c r="C245" s="905"/>
      <c r="D245" s="905"/>
      <c r="E245" s="905"/>
      <c r="F245" s="905"/>
      <c r="G245" s="905"/>
      <c r="H245" s="905"/>
      <c r="I245" s="905"/>
      <c r="J245" s="82"/>
      <c r="K245" s="82"/>
    </row>
    <row r="246" spans="1:11" ht="13.2" customHeight="1">
      <c r="A246" s="71" t="s">
        <v>354</v>
      </c>
      <c r="B246" s="904" t="s">
        <v>1055</v>
      </c>
      <c r="C246" s="904"/>
      <c r="D246" s="904"/>
      <c r="E246" s="904"/>
      <c r="F246" s="904"/>
      <c r="G246" s="904"/>
      <c r="H246" s="904"/>
      <c r="I246" s="904"/>
      <c r="J246" s="82"/>
      <c r="K246" s="82"/>
    </row>
    <row r="247" spans="1:11" ht="12.75" customHeight="1">
      <c r="A247" s="71" t="s">
        <v>499</v>
      </c>
      <c r="B247" s="904" t="s">
        <v>500</v>
      </c>
      <c r="C247" s="904"/>
      <c r="D247" s="904"/>
      <c r="E247" s="904"/>
      <c r="F247" s="904"/>
      <c r="G247" s="904"/>
      <c r="H247" s="904"/>
      <c r="I247" s="904"/>
      <c r="J247" s="82"/>
      <c r="K247" s="82"/>
    </row>
    <row r="248" spans="1:11" ht="27.75" customHeight="1">
      <c r="A248" s="71" t="s">
        <v>573</v>
      </c>
      <c r="B248" s="904" t="s">
        <v>692</v>
      </c>
      <c r="C248" s="904"/>
      <c r="D248" s="904"/>
      <c r="E248" s="904"/>
      <c r="F248" s="904"/>
      <c r="G248" s="904"/>
      <c r="H248" s="904"/>
      <c r="I248" s="904"/>
      <c r="J248" s="82"/>
      <c r="K248" s="82"/>
    </row>
    <row r="249" spans="1:11" ht="69.599999999999994" customHeight="1">
      <c r="A249" s="71" t="s">
        <v>574</v>
      </c>
      <c r="B249" s="904" t="s">
        <v>1143</v>
      </c>
      <c r="C249" s="904"/>
      <c r="D249" s="904"/>
      <c r="E249" s="904"/>
      <c r="F249" s="904"/>
      <c r="G249" s="904"/>
      <c r="H249" s="904"/>
      <c r="I249" s="904"/>
      <c r="J249" s="82"/>
      <c r="K249" s="82"/>
    </row>
    <row r="250" spans="1:11" ht="13.2" customHeight="1">
      <c r="A250" s="71" t="s">
        <v>748</v>
      </c>
      <c r="B250" s="905" t="s">
        <v>1147</v>
      </c>
      <c r="C250" s="905"/>
      <c r="D250" s="905"/>
      <c r="E250" s="905"/>
      <c r="F250" s="905"/>
      <c r="G250" s="905"/>
      <c r="H250" s="905"/>
      <c r="I250" s="905"/>
      <c r="J250" s="82"/>
      <c r="K250" s="82"/>
    </row>
    <row r="251" spans="1:11" ht="114" customHeight="1">
      <c r="A251" s="71" t="s">
        <v>788</v>
      </c>
      <c r="B251" s="905" t="s">
        <v>1082</v>
      </c>
      <c r="C251" s="905"/>
      <c r="D251" s="905"/>
      <c r="E251" s="905"/>
      <c r="F251" s="905"/>
      <c r="G251" s="905"/>
      <c r="H251" s="905"/>
      <c r="I251" s="905"/>
      <c r="J251" s="82"/>
      <c r="K251" s="82"/>
    </row>
    <row r="252" spans="1:11" ht="16.5" customHeight="1">
      <c r="A252" s="71"/>
      <c r="B252" s="919"/>
      <c r="C252" s="919"/>
      <c r="D252" s="919"/>
      <c r="E252" s="919"/>
      <c r="F252" s="919"/>
      <c r="G252" s="919"/>
      <c r="H252" s="919"/>
      <c r="I252" s="919"/>
      <c r="J252" s="82"/>
      <c r="K252" s="82"/>
    </row>
    <row r="253" spans="1:11" ht="14.25" customHeight="1">
      <c r="A253" s="71"/>
      <c r="B253" s="919"/>
      <c r="C253" s="919"/>
      <c r="D253" s="919"/>
      <c r="E253" s="919"/>
      <c r="F253" s="919"/>
      <c r="G253" s="919"/>
      <c r="H253" s="919"/>
      <c r="I253" s="919"/>
      <c r="J253" s="79"/>
      <c r="K253" s="79"/>
    </row>
    <row r="254" spans="1:11" ht="30.75" customHeight="1">
      <c r="A254" s="71"/>
      <c r="B254" s="919"/>
      <c r="C254" s="919"/>
      <c r="D254" s="919"/>
      <c r="E254" s="919"/>
      <c r="F254" s="919"/>
      <c r="G254" s="919"/>
      <c r="H254" s="919"/>
      <c r="I254" s="919"/>
      <c r="J254" s="79"/>
      <c r="K254" s="79"/>
    </row>
    <row r="255" spans="1:11">
      <c r="A255" s="83"/>
      <c r="B255" s="906"/>
      <c r="C255" s="906"/>
      <c r="D255" s="906"/>
      <c r="E255" s="906"/>
      <c r="F255" s="906"/>
      <c r="G255" s="906"/>
      <c r="H255" s="906"/>
      <c r="I255" s="906"/>
      <c r="J255" s="86"/>
      <c r="K255" s="86"/>
    </row>
    <row r="256" spans="1:11">
      <c r="A256" s="83"/>
    </row>
    <row r="257" spans="1:11">
      <c r="A257" s="83"/>
    </row>
    <row r="258" spans="1:11">
      <c r="A258" s="80"/>
      <c r="B258" s="87"/>
      <c r="C258" s="87"/>
      <c r="D258" s="87"/>
      <c r="E258" s="87"/>
      <c r="F258" s="87"/>
      <c r="G258" s="87"/>
      <c r="H258" s="88"/>
      <c r="I258" s="89"/>
      <c r="J258" s="90"/>
      <c r="K258" s="90"/>
    </row>
    <row r="259" spans="1:11" ht="25.5" customHeight="1">
      <c r="A259" s="80"/>
      <c r="J259" s="91"/>
      <c r="K259" s="91"/>
    </row>
    <row r="260" spans="1:11">
      <c r="A260" s="80"/>
      <c r="B260" s="79"/>
      <c r="C260" s="79"/>
      <c r="D260" s="79"/>
      <c r="E260" s="79"/>
      <c r="F260" s="79"/>
      <c r="G260" s="79"/>
      <c r="H260" s="79"/>
      <c r="I260" s="79"/>
      <c r="J260" s="79"/>
      <c r="K260" s="79"/>
    </row>
    <row r="261" spans="1:11">
      <c r="A261" s="80"/>
      <c r="B261" s="79"/>
      <c r="C261" s="79"/>
      <c r="D261" s="79"/>
      <c r="E261" s="79"/>
      <c r="F261" s="79"/>
      <c r="G261" s="79"/>
      <c r="H261" s="79"/>
      <c r="I261" s="79"/>
      <c r="J261" s="79"/>
      <c r="K261" s="79"/>
    </row>
    <row r="262" spans="1:11">
      <c r="A262" s="80"/>
      <c r="C262" s="79"/>
      <c r="D262" s="79"/>
      <c r="E262" s="79"/>
      <c r="F262" s="79"/>
      <c r="G262" s="79"/>
      <c r="H262" s="79"/>
      <c r="I262" s="79"/>
      <c r="J262" s="79"/>
      <c r="K262" s="79"/>
    </row>
    <row r="263" spans="1:11">
      <c r="A263" s="83"/>
      <c r="B263" s="901"/>
      <c r="C263" s="901"/>
      <c r="D263" s="901"/>
      <c r="E263" s="901"/>
      <c r="F263" s="901"/>
      <c r="G263" s="901"/>
      <c r="H263" s="901"/>
      <c r="I263" s="901"/>
      <c r="J263" s="79"/>
      <c r="K263" s="79"/>
    </row>
    <row r="264" spans="1:11">
      <c r="A264" s="80"/>
      <c r="B264" s="92"/>
      <c r="C264" s="79"/>
      <c r="D264" s="79"/>
      <c r="E264" s="79"/>
      <c r="F264" s="79"/>
      <c r="G264" s="79"/>
      <c r="H264" s="79"/>
      <c r="I264" s="79"/>
      <c r="J264" s="79"/>
      <c r="K264" s="79"/>
    </row>
    <row r="265" spans="1:11">
      <c r="A265" s="79"/>
      <c r="B265" s="92"/>
      <c r="C265" s="79"/>
      <c r="D265" s="79"/>
      <c r="E265" s="79"/>
      <c r="F265" s="79"/>
      <c r="G265" s="79"/>
      <c r="H265" s="79"/>
      <c r="I265" s="79"/>
      <c r="J265" s="79"/>
      <c r="K265" s="79"/>
    </row>
  </sheetData>
  <sheetProtection formatCells="0" formatColumns="0"/>
  <mergeCells count="47">
    <mergeCell ref="B252:I252"/>
    <mergeCell ref="B253:I253"/>
    <mergeCell ref="B254:I254"/>
    <mergeCell ref="B249:I249"/>
    <mergeCell ref="B240:K240"/>
    <mergeCell ref="B244:I244"/>
    <mergeCell ref="B241:I241"/>
    <mergeCell ref="G209:K209"/>
    <mergeCell ref="I210:K210"/>
    <mergeCell ref="J211:K211"/>
    <mergeCell ref="B232:K232"/>
    <mergeCell ref="B224:K224"/>
    <mergeCell ref="B227:I227"/>
    <mergeCell ref="B229:I229"/>
    <mergeCell ref="B230:I230"/>
    <mergeCell ref="B231:I231"/>
    <mergeCell ref="B223:K223"/>
    <mergeCell ref="J160:K160"/>
    <mergeCell ref="G162:K162"/>
    <mergeCell ref="N177:S177"/>
    <mergeCell ref="A207:C207"/>
    <mergeCell ref="G207:K207"/>
    <mergeCell ref="F158:K158"/>
    <mergeCell ref="I1:K1"/>
    <mergeCell ref="J2:K2"/>
    <mergeCell ref="I159:K159"/>
    <mergeCell ref="I94:K94"/>
    <mergeCell ref="J95:K95"/>
    <mergeCell ref="I32:K32"/>
    <mergeCell ref="J33:K33"/>
    <mergeCell ref="F12:G12"/>
    <mergeCell ref="B263:I263"/>
    <mergeCell ref="B225:I225"/>
    <mergeCell ref="B226:K226"/>
    <mergeCell ref="B246:I246"/>
    <mergeCell ref="B250:I250"/>
    <mergeCell ref="B251:I251"/>
    <mergeCell ref="B255:I255"/>
    <mergeCell ref="B238:K238"/>
    <mergeCell ref="B243:I243"/>
    <mergeCell ref="B247:I247"/>
    <mergeCell ref="B245:I245"/>
    <mergeCell ref="B236:I236"/>
    <mergeCell ref="B237:I237"/>
    <mergeCell ref="B239:I239"/>
    <mergeCell ref="B242:I242"/>
    <mergeCell ref="B248:I248"/>
  </mergeCells>
  <pageMargins left="0.5" right="0.25" top="1" bottom="1" header="0.5" footer="0.5"/>
  <pageSetup scale="58" fitToHeight="6" orientation="portrait" r:id="rId1"/>
  <headerFooter alignWithMargins="0">
    <oddHeader xml:space="preserve">&amp;C&amp;"Times New Roman,Regular"&amp;KFF0000CUI//PRIV&amp;K000000
FOR SETTLEMENT PURPOSES ONLY 
SUBJECT TO RULES 602 AND 606
</oddHeader>
  </headerFooter>
  <rowBreaks count="4" manualBreakCount="4">
    <brk id="31" max="10" man="1"/>
    <brk id="93" max="10" man="1"/>
    <brk id="158" max="10" man="1"/>
    <brk id="209" max="10" man="1"/>
  </rowBreaks>
  <ignoredErrors>
    <ignoredError sqref="C115 G40:I40 B40:D40 B102 C102:I102 B168:I168" numberStoredAsText="1"/>
    <ignoredError sqref="G112 I79:I80" formula="1"/>
    <ignoredError sqref="D25 D26:D29 D30:D31 I32 I159 I94 D192:D194 I210"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sheetPr>
  <dimension ref="A1:K152"/>
  <sheetViews>
    <sheetView zoomScale="75" zoomScaleNormal="75" workbookViewId="0">
      <selection activeCell="D23" sqref="D23"/>
    </sheetView>
  </sheetViews>
  <sheetFormatPr defaultColWidth="8.6328125" defaultRowHeight="13.2"/>
  <cols>
    <col min="1" max="1" width="5.6328125" style="340" bestFit="1" customWidth="1"/>
    <col min="2" max="2" width="50.1796875" style="340" customWidth="1"/>
    <col min="3" max="3" width="19.54296875" style="342" bestFit="1" customWidth="1"/>
    <col min="4" max="4" width="12.08984375" style="345" customWidth="1"/>
    <col min="5" max="5" width="7.54296875" style="340" bestFit="1" customWidth="1"/>
    <col min="6" max="16384" width="8.6328125" style="340"/>
  </cols>
  <sheetData>
    <row r="1" spans="1:7">
      <c r="A1" s="925" t="s">
        <v>564</v>
      </c>
      <c r="B1" s="925"/>
      <c r="C1" s="925"/>
      <c r="D1" s="925"/>
      <c r="E1" s="925"/>
      <c r="F1" s="206"/>
      <c r="G1" s="206"/>
    </row>
    <row r="2" spans="1:7">
      <c r="A2" s="925" t="s">
        <v>565</v>
      </c>
      <c r="B2" s="925"/>
      <c r="C2" s="925"/>
      <c r="D2" s="925"/>
      <c r="E2" s="925"/>
      <c r="F2" s="206"/>
      <c r="G2" s="206"/>
    </row>
    <row r="3" spans="1:7">
      <c r="A3" s="926" t="str">
        <f>'Act Att-H'!C7</f>
        <v>Black Hills Colorado Electric, LLC</v>
      </c>
      <c r="B3" s="926"/>
      <c r="C3" s="926"/>
      <c r="D3" s="926"/>
      <c r="E3" s="926"/>
      <c r="F3" s="218"/>
      <c r="G3" s="218"/>
    </row>
    <row r="4" spans="1:7" ht="12.75" customHeight="1">
      <c r="A4" s="341"/>
      <c r="D4" s="343" t="s">
        <v>193</v>
      </c>
      <c r="E4" s="343"/>
    </row>
    <row r="6" spans="1:7">
      <c r="A6" s="404" t="s">
        <v>396</v>
      </c>
      <c r="B6" s="404" t="s">
        <v>159</v>
      </c>
      <c r="C6" s="350" t="s">
        <v>449</v>
      </c>
      <c r="D6" s="405" t="s">
        <v>7</v>
      </c>
    </row>
    <row r="7" spans="1:7">
      <c r="C7" s="410"/>
    </row>
    <row r="8" spans="1:7">
      <c r="A8" s="342">
        <v>1</v>
      </c>
      <c r="B8" s="344" t="s">
        <v>602</v>
      </c>
      <c r="C8" s="410"/>
    </row>
    <row r="9" spans="1:7">
      <c r="A9" s="342">
        <f>A8+1</f>
        <v>2</v>
      </c>
      <c r="B9" s="346" t="s">
        <v>563</v>
      </c>
      <c r="C9" s="410" t="s">
        <v>428</v>
      </c>
      <c r="D9" s="673">
        <f>113201+622791+175227+551105+230-335385+99190</f>
        <v>1226359</v>
      </c>
    </row>
    <row r="10" spans="1:7">
      <c r="A10" s="342">
        <f t="shared" ref="A10:A32" si="0">A9+1</f>
        <v>3</v>
      </c>
      <c r="B10" s="348" t="s">
        <v>562</v>
      </c>
      <c r="C10" s="410" t="s">
        <v>566</v>
      </c>
      <c r="D10" s="673">
        <v>0</v>
      </c>
    </row>
    <row r="11" spans="1:7">
      <c r="A11" s="342">
        <f t="shared" si="0"/>
        <v>4</v>
      </c>
      <c r="B11" s="349" t="s">
        <v>561</v>
      </c>
      <c r="C11" s="410" t="s">
        <v>567</v>
      </c>
      <c r="D11" s="673">
        <v>551105</v>
      </c>
    </row>
    <row r="12" spans="1:7">
      <c r="A12" s="342">
        <f t="shared" si="0"/>
        <v>5</v>
      </c>
      <c r="B12" s="349" t="s">
        <v>560</v>
      </c>
      <c r="C12" s="410" t="s">
        <v>568</v>
      </c>
      <c r="D12" s="673">
        <v>230</v>
      </c>
    </row>
    <row r="13" spans="1:7">
      <c r="A13" s="342">
        <f t="shared" si="0"/>
        <v>6</v>
      </c>
      <c r="B13" s="349" t="s">
        <v>559</v>
      </c>
      <c r="C13" s="410" t="s">
        <v>569</v>
      </c>
      <c r="D13" s="673">
        <v>-335385</v>
      </c>
    </row>
    <row r="14" spans="1:7">
      <c r="A14" s="342">
        <f t="shared" si="0"/>
        <v>7</v>
      </c>
      <c r="B14" s="349" t="s">
        <v>558</v>
      </c>
      <c r="C14" s="410" t="s">
        <v>570</v>
      </c>
      <c r="D14" s="673">
        <v>99190</v>
      </c>
    </row>
    <row r="15" spans="1:7">
      <c r="A15" s="342">
        <f t="shared" si="0"/>
        <v>8</v>
      </c>
      <c r="B15" s="408" t="s">
        <v>599</v>
      </c>
      <c r="C15" s="675" t="s">
        <v>830</v>
      </c>
      <c r="D15" s="407">
        <f>D9-D10-D11-D12-D13-D14</f>
        <v>911219</v>
      </c>
    </row>
    <row r="16" spans="1:7">
      <c r="A16" s="342">
        <f t="shared" si="0"/>
        <v>9</v>
      </c>
      <c r="B16" s="346"/>
      <c r="D16" s="347"/>
    </row>
    <row r="17" spans="1:11">
      <c r="A17" s="342">
        <f t="shared" si="0"/>
        <v>10</v>
      </c>
      <c r="B17" s="346" t="s">
        <v>605</v>
      </c>
      <c r="C17" s="410" t="s">
        <v>933</v>
      </c>
      <c r="D17" s="673">
        <v>124034</v>
      </c>
    </row>
    <row r="18" spans="1:11">
      <c r="A18" s="342">
        <f t="shared" si="0"/>
        <v>11</v>
      </c>
      <c r="B18" s="346"/>
      <c r="D18" s="347"/>
    </row>
    <row r="19" spans="1:11">
      <c r="A19" s="342">
        <f t="shared" si="0"/>
        <v>12</v>
      </c>
      <c r="B19" s="346" t="s">
        <v>606</v>
      </c>
      <c r="C19" s="410" t="s">
        <v>831</v>
      </c>
      <c r="D19" s="412">
        <f>D15-D17</f>
        <v>787185</v>
      </c>
    </row>
    <row r="20" spans="1:11">
      <c r="A20" s="342">
        <f t="shared" si="0"/>
        <v>13</v>
      </c>
      <c r="B20" s="346"/>
      <c r="C20" s="410"/>
      <c r="D20" s="411"/>
    </row>
    <row r="21" spans="1:11" s="230" customFormat="1">
      <c r="A21" s="342">
        <f t="shared" si="0"/>
        <v>14</v>
      </c>
      <c r="B21" s="233"/>
      <c r="C21" s="234"/>
      <c r="E21" s="231"/>
      <c r="F21" s="409"/>
      <c r="I21" s="237"/>
      <c r="J21" s="237"/>
      <c r="K21" s="237"/>
    </row>
    <row r="22" spans="1:11">
      <c r="A22" s="342">
        <f t="shared" si="0"/>
        <v>15</v>
      </c>
      <c r="B22" s="344" t="s">
        <v>164</v>
      </c>
      <c r="C22" s="62"/>
      <c r="D22" s="97"/>
      <c r="E22" s="62"/>
      <c r="F22" s="62"/>
      <c r="G22" s="62"/>
      <c r="H22" s="62"/>
      <c r="I22" s="97"/>
      <c r="J22" s="62"/>
      <c r="K22" s="62"/>
    </row>
    <row r="23" spans="1:11">
      <c r="A23" s="342">
        <f t="shared" si="0"/>
        <v>16</v>
      </c>
      <c r="B23" s="62" t="s">
        <v>206</v>
      </c>
      <c r="C23" s="93" t="s">
        <v>440</v>
      </c>
      <c r="D23" s="160">
        <f>'P3-Divisor'!G24</f>
        <v>390969.88224637677</v>
      </c>
      <c r="E23" s="62"/>
      <c r="F23" s="62"/>
      <c r="G23" s="62"/>
      <c r="H23" s="62"/>
      <c r="J23" s="62"/>
      <c r="K23" s="62"/>
    </row>
    <row r="24" spans="1:11">
      <c r="A24" s="342">
        <f t="shared" si="0"/>
        <v>17</v>
      </c>
      <c r="B24" s="62"/>
      <c r="C24" s="97"/>
      <c r="D24" s="97"/>
      <c r="E24" s="97"/>
      <c r="F24" s="97"/>
      <c r="G24" s="97"/>
      <c r="H24" s="97"/>
      <c r="I24" s="97"/>
      <c r="J24" s="62"/>
      <c r="K24" s="62"/>
    </row>
    <row r="25" spans="1:11">
      <c r="A25" s="342">
        <f t="shared" si="0"/>
        <v>18</v>
      </c>
      <c r="B25" s="344" t="s">
        <v>136</v>
      </c>
      <c r="C25" s="97"/>
      <c r="D25" s="97"/>
      <c r="E25" s="97"/>
      <c r="F25" s="97"/>
      <c r="G25" s="97"/>
      <c r="H25" s="97"/>
      <c r="I25" s="97"/>
      <c r="J25" s="97"/>
      <c r="K25" s="62"/>
    </row>
    <row r="26" spans="1:11">
      <c r="A26" s="342">
        <f t="shared" si="0"/>
        <v>19</v>
      </c>
      <c r="B26" s="62" t="s">
        <v>207</v>
      </c>
      <c r="C26" s="62"/>
      <c r="D26" s="538">
        <f>ROUND(D19/D23,2)</f>
        <v>2.0099999999999998</v>
      </c>
      <c r="E26" s="62" t="s">
        <v>197</v>
      </c>
      <c r="F26" s="97"/>
      <c r="G26" s="97"/>
      <c r="H26" s="97"/>
      <c r="I26" s="97"/>
      <c r="J26" s="97"/>
      <c r="K26" s="62"/>
    </row>
    <row r="27" spans="1:11">
      <c r="A27" s="342">
        <f t="shared" si="0"/>
        <v>20</v>
      </c>
      <c r="B27" s="62" t="s">
        <v>208</v>
      </c>
      <c r="C27" s="62" t="s">
        <v>603</v>
      </c>
      <c r="D27" s="539">
        <f>ROUND(D26/12,2)</f>
        <v>0.17</v>
      </c>
      <c r="E27" s="62" t="s">
        <v>198</v>
      </c>
      <c r="F27" s="97"/>
      <c r="G27" s="97"/>
      <c r="H27" s="97"/>
      <c r="I27" s="97"/>
      <c r="J27" s="97"/>
      <c r="K27" s="62"/>
    </row>
    <row r="28" spans="1:11">
      <c r="A28" s="342">
        <f t="shared" si="0"/>
        <v>21</v>
      </c>
      <c r="B28" s="62" t="s">
        <v>209</v>
      </c>
      <c r="C28" s="62" t="s">
        <v>604</v>
      </c>
      <c r="D28" s="538">
        <f>ROUND(D26/52,2)</f>
        <v>0.04</v>
      </c>
      <c r="E28" s="62" t="s">
        <v>199</v>
      </c>
      <c r="F28" s="97"/>
      <c r="G28" s="97"/>
      <c r="H28" s="97"/>
      <c r="I28" s="97"/>
      <c r="J28" s="97"/>
      <c r="K28" s="62"/>
    </row>
    <row r="29" spans="1:11">
      <c r="A29" s="342">
        <f t="shared" si="0"/>
        <v>22</v>
      </c>
      <c r="B29" s="62" t="s">
        <v>210</v>
      </c>
      <c r="C29" s="62" t="s">
        <v>200</v>
      </c>
      <c r="D29" s="539">
        <f>+D28/6</f>
        <v>6.6666666666666671E-3</v>
      </c>
      <c r="E29" s="62" t="s">
        <v>201</v>
      </c>
      <c r="F29" s="97"/>
      <c r="G29" s="97"/>
      <c r="H29" s="97"/>
      <c r="I29" s="97"/>
      <c r="J29" s="97"/>
      <c r="K29" s="62"/>
    </row>
    <row r="30" spans="1:11">
      <c r="A30" s="342">
        <f t="shared" si="0"/>
        <v>23</v>
      </c>
      <c r="B30" s="62" t="s">
        <v>211</v>
      </c>
      <c r="C30" s="62" t="s">
        <v>202</v>
      </c>
      <c r="D30" s="539">
        <f>+D28/7</f>
        <v>5.7142857142857143E-3</v>
      </c>
      <c r="E30" s="62" t="s">
        <v>201</v>
      </c>
      <c r="F30" s="97"/>
      <c r="G30" s="97"/>
      <c r="H30" s="97"/>
      <c r="I30" s="97"/>
      <c r="J30" s="97"/>
      <c r="K30" s="62"/>
    </row>
    <row r="31" spans="1:11">
      <c r="A31" s="342">
        <f t="shared" si="0"/>
        <v>24</v>
      </c>
      <c r="B31" s="62" t="s">
        <v>212</v>
      </c>
      <c r="C31" s="62" t="s">
        <v>203</v>
      </c>
      <c r="D31" s="538">
        <f>+D29/16*1000</f>
        <v>0.41666666666666669</v>
      </c>
      <c r="E31" s="62" t="s">
        <v>668</v>
      </c>
      <c r="F31" s="97"/>
      <c r="G31" s="97"/>
      <c r="H31" s="97"/>
      <c r="I31" s="97"/>
      <c r="J31" s="97"/>
      <c r="K31" s="62"/>
    </row>
    <row r="32" spans="1:11">
      <c r="A32" s="342">
        <f t="shared" si="0"/>
        <v>25</v>
      </c>
      <c r="B32" s="62" t="s">
        <v>213</v>
      </c>
      <c r="C32" s="62" t="s">
        <v>204</v>
      </c>
      <c r="D32" s="538">
        <f>+D30/24*1000</f>
        <v>0.23809523809523808</v>
      </c>
      <c r="E32" s="62" t="s">
        <v>668</v>
      </c>
      <c r="F32" s="97"/>
      <c r="G32" s="97"/>
      <c r="H32" s="97"/>
      <c r="I32" s="97"/>
      <c r="J32" s="97"/>
      <c r="K32" s="62"/>
    </row>
    <row r="33" spans="1:11">
      <c r="A33" s="342"/>
      <c r="B33" s="62"/>
      <c r="C33" s="62"/>
      <c r="D33" s="540"/>
      <c r="E33" s="62"/>
      <c r="F33" s="97"/>
      <c r="G33" s="97"/>
      <c r="H33" s="97"/>
      <c r="I33" s="97"/>
      <c r="J33" s="97"/>
      <c r="K33" s="62"/>
    </row>
    <row r="34" spans="1:11">
      <c r="A34" s="342"/>
      <c r="B34" s="346"/>
      <c r="C34" s="403"/>
      <c r="D34" s="347"/>
    </row>
    <row r="35" spans="1:11">
      <c r="A35" s="193"/>
      <c r="B35" s="346"/>
      <c r="D35" s="347"/>
    </row>
    <row r="36" spans="1:11">
      <c r="A36" s="394"/>
      <c r="B36" s="410"/>
      <c r="C36" s="410"/>
      <c r="D36" s="410"/>
    </row>
    <row r="37" spans="1:11">
      <c r="A37" s="342"/>
      <c r="C37" s="340"/>
      <c r="D37" s="340"/>
    </row>
    <row r="38" spans="1:11">
      <c r="A38" s="342"/>
      <c r="B38" s="886"/>
      <c r="C38" s="886"/>
      <c r="D38" s="886"/>
    </row>
    <row r="39" spans="1:11">
      <c r="A39" s="342"/>
      <c r="B39" s="886"/>
      <c r="C39" s="886"/>
      <c r="D39" s="887"/>
    </row>
    <row r="40" spans="1:11">
      <c r="A40" s="342"/>
      <c r="B40" s="888"/>
      <c r="C40" s="886"/>
      <c r="D40" s="887"/>
    </row>
    <row r="41" spans="1:11">
      <c r="A41" s="342"/>
      <c r="B41" s="889"/>
      <c r="C41" s="889"/>
      <c r="D41" s="889"/>
    </row>
    <row r="42" spans="1:11">
      <c r="A42" s="342"/>
      <c r="B42" s="346"/>
      <c r="D42" s="351"/>
      <c r="E42" s="352"/>
    </row>
    <row r="43" spans="1:11">
      <c r="A43" s="342"/>
      <c r="B43" s="346"/>
      <c r="D43" s="351"/>
    </row>
    <row r="44" spans="1:11">
      <c r="A44" s="342"/>
      <c r="B44" s="346"/>
      <c r="D44" s="351"/>
    </row>
    <row r="45" spans="1:11">
      <c r="A45" s="342"/>
      <c r="B45" s="346"/>
      <c r="D45" s="351"/>
    </row>
    <row r="46" spans="1:11">
      <c r="A46" s="342"/>
      <c r="D46" s="347"/>
    </row>
    <row r="47" spans="1:11">
      <c r="A47" s="342"/>
      <c r="B47" s="353"/>
      <c r="D47" s="347"/>
    </row>
    <row r="48" spans="1:11">
      <c r="A48" s="342"/>
      <c r="B48" s="353"/>
      <c r="D48" s="347"/>
    </row>
    <row r="49" spans="1:4">
      <c r="A49" s="342"/>
      <c r="B49" s="353"/>
      <c r="D49" s="347"/>
    </row>
    <row r="50" spans="1:4">
      <c r="A50" s="342"/>
      <c r="B50" s="353"/>
      <c r="D50" s="347"/>
    </row>
    <row r="51" spans="1:4">
      <c r="A51" s="342"/>
      <c r="B51" s="353"/>
      <c r="D51" s="347"/>
    </row>
    <row r="52" spans="1:4">
      <c r="A52" s="342"/>
      <c r="B52" s="353"/>
      <c r="D52" s="347"/>
    </row>
    <row r="53" spans="1:4">
      <c r="A53" s="342"/>
      <c r="B53" s="353"/>
      <c r="D53" s="347"/>
    </row>
    <row r="54" spans="1:4">
      <c r="A54" s="342"/>
      <c r="B54" s="353"/>
      <c r="D54" s="347"/>
    </row>
    <row r="55" spans="1:4">
      <c r="A55" s="342"/>
      <c r="B55" s="353"/>
      <c r="D55" s="347"/>
    </row>
    <row r="56" spans="1:4">
      <c r="A56" s="342"/>
      <c r="B56" s="353"/>
      <c r="D56" s="347"/>
    </row>
    <row r="57" spans="1:4">
      <c r="A57" s="342"/>
      <c r="B57" s="346"/>
      <c r="D57" s="347"/>
    </row>
    <row r="58" spans="1:4">
      <c r="A58" s="342"/>
      <c r="B58" s="346"/>
      <c r="D58" s="347"/>
    </row>
    <row r="59" spans="1:4">
      <c r="A59" s="342"/>
      <c r="B59" s="346"/>
      <c r="D59" s="347"/>
    </row>
    <row r="60" spans="1:4">
      <c r="A60" s="342"/>
      <c r="B60" s="346"/>
      <c r="D60" s="347"/>
    </row>
    <row r="61" spans="1:4">
      <c r="A61" s="342"/>
      <c r="B61" s="346"/>
      <c r="D61" s="347"/>
    </row>
    <row r="62" spans="1:4">
      <c r="A62" s="342"/>
      <c r="B62" s="350"/>
      <c r="D62" s="347"/>
    </row>
    <row r="63" spans="1:4">
      <c r="A63" s="342"/>
      <c r="B63" s="346"/>
    </row>
    <row r="64" spans="1:4">
      <c r="A64" s="342"/>
      <c r="B64" s="346"/>
    </row>
    <row r="65" spans="1:4">
      <c r="A65" s="342"/>
      <c r="B65" s="346"/>
      <c r="D65" s="351"/>
    </row>
    <row r="66" spans="1:4">
      <c r="A66" s="342"/>
      <c r="B66" s="346"/>
      <c r="D66" s="351"/>
    </row>
    <row r="67" spans="1:4">
      <c r="A67" s="342"/>
      <c r="B67" s="346"/>
      <c r="D67" s="351"/>
    </row>
    <row r="68" spans="1:4">
      <c r="A68" s="342"/>
      <c r="B68" s="346"/>
      <c r="D68" s="351"/>
    </row>
    <row r="69" spans="1:4">
      <c r="A69" s="342"/>
      <c r="B69" s="346"/>
      <c r="D69" s="347"/>
    </row>
    <row r="70" spans="1:4">
      <c r="A70" s="342"/>
      <c r="B70" s="346"/>
      <c r="D70" s="347"/>
    </row>
    <row r="71" spans="1:4">
      <c r="A71" s="342"/>
      <c r="B71" s="346"/>
      <c r="D71" s="347"/>
    </row>
    <row r="141" spans="1:11" s="342" customFormat="1">
      <c r="A141" s="340"/>
      <c r="B141" s="340"/>
      <c r="D141" s="345"/>
      <c r="E141" s="340"/>
      <c r="F141" s="340"/>
      <c r="G141" s="340"/>
      <c r="H141" s="340"/>
      <c r="I141" s="340"/>
      <c r="J141" s="340"/>
      <c r="K141" s="340"/>
    </row>
    <row r="152" spans="5:11">
      <c r="E152" s="342"/>
      <c r="F152" s="342"/>
      <c r="G152" s="342"/>
      <c r="H152" s="342"/>
      <c r="I152" s="342"/>
      <c r="J152" s="342"/>
      <c r="K152" s="342"/>
    </row>
  </sheetData>
  <mergeCells count="3">
    <mergeCell ref="A1:E1"/>
    <mergeCell ref="A2:E2"/>
    <mergeCell ref="A3:E3"/>
  </mergeCells>
  <pageMargins left="0.5" right="0.25" top="1" bottom="1" header="0.5" footer="0.5"/>
  <pageSetup scale="58" firstPageNumber="7" orientation="portrait" r:id="rId1"/>
  <headerFooter alignWithMargins="0">
    <oddHeader xml:space="preserve">&amp;C&amp;"Times New Roman,Regular"&amp;KFF0000CUI//PRIV&amp;K000000
FOR SETTLEMENT PURPOSES ONLY 
SUBJECT TO RULES 602 AND 606
</oddHeader>
  </headerFooter>
  <ignoredErrors>
    <ignoredError sqref="D26:D3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N64"/>
  <sheetViews>
    <sheetView topLeftCell="A26" zoomScale="90" zoomScaleNormal="90" workbookViewId="0">
      <selection activeCell="C50" sqref="C50"/>
    </sheetView>
  </sheetViews>
  <sheetFormatPr defaultColWidth="8.6328125" defaultRowHeight="13.2"/>
  <cols>
    <col min="1" max="1" width="4.6328125" style="2" bestFit="1" customWidth="1"/>
    <col min="2" max="2" width="8.1796875" style="2" customWidth="1"/>
    <col min="3" max="3" width="35.81640625" style="2" customWidth="1"/>
    <col min="4" max="4" width="7.54296875" style="2" bestFit="1" customWidth="1"/>
    <col min="5" max="6" width="9.6328125" style="2" customWidth="1"/>
    <col min="7" max="11" width="9" style="2" customWidth="1"/>
    <col min="12" max="12" width="9.1796875" style="2" bestFit="1" customWidth="1"/>
    <col min="13" max="13" width="12.453125" style="2" customWidth="1"/>
    <col min="14" max="14" width="12.54296875" style="2" customWidth="1"/>
    <col min="15" max="16384" width="8.6328125" style="2"/>
  </cols>
  <sheetData>
    <row r="1" spans="1:12">
      <c r="A1" s="922" t="s">
        <v>411</v>
      </c>
      <c r="B1" s="922"/>
      <c r="C1" s="922"/>
      <c r="D1" s="922"/>
      <c r="E1" s="922"/>
      <c r="F1" s="922"/>
      <c r="G1" s="922"/>
      <c r="H1" s="922"/>
      <c r="I1" s="922"/>
      <c r="J1" s="922"/>
      <c r="K1" s="724"/>
      <c r="L1" s="724"/>
    </row>
    <row r="2" spans="1:12">
      <c r="A2" s="923" t="s">
        <v>188</v>
      </c>
      <c r="B2" s="923"/>
      <c r="C2" s="923"/>
      <c r="D2" s="923"/>
      <c r="E2" s="923"/>
      <c r="F2" s="923"/>
      <c r="G2" s="923"/>
      <c r="H2" s="923"/>
      <c r="I2" s="923"/>
      <c r="J2" s="923"/>
      <c r="K2" s="397"/>
      <c r="L2" s="397"/>
    </row>
    <row r="3" spans="1:12">
      <c r="A3" s="923" t="str">
        <f>'Act Att-H'!C7</f>
        <v>Black Hills Colorado Electric, LLC</v>
      </c>
      <c r="B3" s="923"/>
      <c r="C3" s="923"/>
      <c r="D3" s="923"/>
      <c r="E3" s="923"/>
      <c r="F3" s="923"/>
      <c r="G3" s="923"/>
      <c r="H3" s="923"/>
      <c r="I3" s="923"/>
      <c r="J3" s="923"/>
      <c r="K3" s="397"/>
      <c r="L3" s="397"/>
    </row>
    <row r="4" spans="1:12">
      <c r="B4" s="413"/>
      <c r="C4" s="413"/>
      <c r="D4" s="413"/>
      <c r="E4" s="413"/>
      <c r="F4" s="413"/>
      <c r="G4" s="413"/>
      <c r="H4" s="413"/>
      <c r="I4" s="413"/>
      <c r="J4" s="2" t="s">
        <v>515</v>
      </c>
    </row>
    <row r="5" spans="1:12">
      <c r="A5" s="115" t="s">
        <v>137</v>
      </c>
      <c r="B5" s="118" t="s">
        <v>365</v>
      </c>
      <c r="C5" s="62"/>
      <c r="D5" s="93"/>
      <c r="E5" s="62"/>
      <c r="F5" s="62"/>
      <c r="G5" s="416"/>
      <c r="H5" s="62"/>
      <c r="I5" s="141"/>
      <c r="J5" s="93"/>
    </row>
    <row r="6" spans="1:12">
      <c r="B6" s="417"/>
      <c r="C6" s="93"/>
      <c r="D6" s="418"/>
      <c r="E6" s="93"/>
      <c r="F6" s="93"/>
      <c r="G6" s="93"/>
      <c r="H6" s="93"/>
      <c r="I6" s="93"/>
      <c r="J6" s="93"/>
    </row>
    <row r="7" spans="1:12">
      <c r="A7" s="5">
        <v>1</v>
      </c>
      <c r="B7" s="419" t="s">
        <v>187</v>
      </c>
      <c r="C7" s="419" t="s">
        <v>159</v>
      </c>
      <c r="D7" s="420"/>
      <c r="E7" s="419" t="s">
        <v>9</v>
      </c>
      <c r="F7" s="419" t="s">
        <v>183</v>
      </c>
      <c r="G7" s="419" t="s">
        <v>192</v>
      </c>
      <c r="H7" s="921" t="s">
        <v>10</v>
      </c>
      <c r="I7" s="921"/>
      <c r="J7" s="419" t="s">
        <v>9</v>
      </c>
    </row>
    <row r="8" spans="1:12">
      <c r="A8" s="5">
        <f>A7+1</f>
        <v>2</v>
      </c>
      <c r="E8" s="28" t="s">
        <v>138</v>
      </c>
      <c r="F8" s="422" t="s">
        <v>139</v>
      </c>
      <c r="G8" s="422" t="s">
        <v>140</v>
      </c>
      <c r="H8" s="920" t="s">
        <v>141</v>
      </c>
      <c r="I8" s="920"/>
      <c r="J8" s="422" t="s">
        <v>542</v>
      </c>
    </row>
    <row r="9" spans="1:12">
      <c r="A9" s="5">
        <f t="shared" ref="A9:A59" si="0">A8+1</f>
        <v>3</v>
      </c>
      <c r="B9" s="423" t="s">
        <v>184</v>
      </c>
      <c r="C9" s="424"/>
      <c r="F9" s="424"/>
      <c r="G9" s="424"/>
      <c r="H9" s="93"/>
    </row>
    <row r="10" spans="1:12">
      <c r="A10" s="5">
        <f t="shared" si="0"/>
        <v>4</v>
      </c>
      <c r="B10" s="425">
        <v>45400</v>
      </c>
      <c r="C10" s="424" t="s">
        <v>185</v>
      </c>
      <c r="E10" s="199">
        <v>539.25</v>
      </c>
      <c r="F10" s="210">
        <v>0</v>
      </c>
      <c r="G10" s="210">
        <f>SUM(E10:F10)</f>
        <v>539.25</v>
      </c>
      <c r="H10" s="553" t="s">
        <v>11</v>
      </c>
      <c r="I10" s="151">
        <f>'Act Att-H'!I175</f>
        <v>0.93124420194583424</v>
      </c>
      <c r="J10" s="210">
        <f>G10*I10</f>
        <v>502.17343589929112</v>
      </c>
    </row>
    <row r="11" spans="1:12">
      <c r="A11" s="5">
        <f t="shared" si="0"/>
        <v>5</v>
      </c>
      <c r="B11" s="425">
        <v>45400</v>
      </c>
      <c r="C11" s="424" t="s">
        <v>186</v>
      </c>
      <c r="E11" s="426">
        <v>1662164.19</v>
      </c>
      <c r="F11" s="424">
        <f>-E11</f>
        <v>-1662164.19</v>
      </c>
      <c r="G11" s="424">
        <f>SUM(E11:F11)</f>
        <v>0</v>
      </c>
      <c r="H11" s="28" t="s">
        <v>27</v>
      </c>
      <c r="I11" s="151"/>
      <c r="J11" s="210">
        <f>G11*I11</f>
        <v>0</v>
      </c>
    </row>
    <row r="12" spans="1:12">
      <c r="A12" s="5" t="s">
        <v>99</v>
      </c>
      <c r="B12" s="425">
        <v>45400</v>
      </c>
      <c r="C12" s="424" t="s">
        <v>1124</v>
      </c>
      <c r="D12" s="2" t="s">
        <v>1054</v>
      </c>
      <c r="E12" s="426">
        <v>0</v>
      </c>
      <c r="F12" s="424">
        <v>0</v>
      </c>
      <c r="G12" s="424">
        <f t="shared" ref="G12:G13" si="1">SUM(E12:F12)</f>
        <v>0</v>
      </c>
      <c r="H12" s="28" t="s">
        <v>31</v>
      </c>
      <c r="I12" s="151">
        <f>'Act Att-H'!G48</f>
        <v>0.12706661096257854</v>
      </c>
      <c r="J12" s="210">
        <f t="shared" ref="J12:J13" si="2">G12*I12</f>
        <v>0</v>
      </c>
    </row>
    <row r="13" spans="1:12">
      <c r="A13" s="5" t="s">
        <v>133</v>
      </c>
      <c r="B13" s="425">
        <v>45400</v>
      </c>
      <c r="C13" s="424" t="s">
        <v>1257</v>
      </c>
      <c r="D13" s="2" t="s">
        <v>1054</v>
      </c>
      <c r="E13" s="426">
        <v>0</v>
      </c>
      <c r="F13" s="424">
        <v>0</v>
      </c>
      <c r="G13" s="424">
        <f t="shared" si="1"/>
        <v>0</v>
      </c>
      <c r="H13" s="28" t="s">
        <v>1256</v>
      </c>
      <c r="I13" s="151">
        <f>'Act Att-H'!G49</f>
        <v>0.12451406279937895</v>
      </c>
      <c r="J13" s="210">
        <f t="shared" si="2"/>
        <v>0</v>
      </c>
    </row>
    <row r="14" spans="1:12">
      <c r="A14" s="5">
        <f>A11+1</f>
        <v>6</v>
      </c>
      <c r="B14" s="427" t="s">
        <v>932</v>
      </c>
      <c r="C14" s="427"/>
      <c r="D14" s="428"/>
      <c r="E14" s="407">
        <f>SUM(E10:E13)</f>
        <v>1662703.44</v>
      </c>
      <c r="F14" s="407">
        <f t="shared" ref="F14:G14" si="3">SUM(F10:F13)</f>
        <v>-1662164.19</v>
      </c>
      <c r="G14" s="407">
        <f t="shared" si="3"/>
        <v>539.25</v>
      </c>
      <c r="H14" s="428"/>
      <c r="I14" s="554"/>
      <c r="J14" s="555">
        <f>SUM(J10:J13)</f>
        <v>502.17343589929112</v>
      </c>
    </row>
    <row r="15" spans="1:12">
      <c r="A15" s="5">
        <f t="shared" si="0"/>
        <v>7</v>
      </c>
      <c r="B15" s="429"/>
      <c r="C15" s="430"/>
      <c r="D15" s="430"/>
      <c r="E15" s="93"/>
      <c r="F15" s="93"/>
      <c r="G15" s="93"/>
      <c r="H15" s="421"/>
    </row>
    <row r="16" spans="1:12">
      <c r="A16" s="5">
        <f t="shared" si="0"/>
        <v>8</v>
      </c>
    </row>
    <row r="17" spans="1:14">
      <c r="A17" s="5">
        <f t="shared" si="0"/>
        <v>9</v>
      </c>
      <c r="B17" s="118" t="s">
        <v>608</v>
      </c>
      <c r="C17" s="62"/>
      <c r="D17" s="62"/>
      <c r="E17" s="62"/>
      <c r="F17" s="62"/>
      <c r="G17" s="62"/>
      <c r="H17" s="62"/>
      <c r="I17" s="141"/>
      <c r="J17" s="93"/>
    </row>
    <row r="18" spans="1:14">
      <c r="A18" s="5">
        <f t="shared" si="0"/>
        <v>10</v>
      </c>
      <c r="F18" s="172"/>
      <c r="G18" s="172"/>
      <c r="H18" s="172"/>
      <c r="I18" s="172"/>
      <c r="K18" s="172"/>
      <c r="L18" s="172"/>
    </row>
    <row r="19" spans="1:14">
      <c r="A19" s="5">
        <f t="shared" si="0"/>
        <v>11</v>
      </c>
      <c r="B19" s="397"/>
      <c r="F19" s="172"/>
      <c r="G19" s="172"/>
      <c r="H19" s="172"/>
      <c r="I19" s="172"/>
      <c r="J19" s="172"/>
      <c r="K19" s="172"/>
      <c r="L19" s="172"/>
    </row>
    <row r="20" spans="1:14">
      <c r="A20" s="5">
        <f t="shared" si="0"/>
        <v>12</v>
      </c>
      <c r="H20" s="172"/>
      <c r="I20" s="172"/>
      <c r="J20" s="172"/>
    </row>
    <row r="21" spans="1:14">
      <c r="A21" s="5">
        <f t="shared" si="0"/>
        <v>13</v>
      </c>
    </row>
    <row r="22" spans="1:14">
      <c r="A22" s="5">
        <f t="shared" si="0"/>
        <v>14</v>
      </c>
      <c r="B22" s="172"/>
      <c r="C22" s="172"/>
      <c r="D22" s="172" t="s">
        <v>157</v>
      </c>
      <c r="E22" s="172"/>
      <c r="F22" s="172" t="s">
        <v>190</v>
      </c>
      <c r="G22" s="172" t="s">
        <v>156</v>
      </c>
      <c r="H22" s="172" t="s">
        <v>165</v>
      </c>
      <c r="I22" s="172"/>
      <c r="J22" s="172"/>
      <c r="N22" s="431"/>
    </row>
    <row r="23" spans="1:14">
      <c r="A23" s="5">
        <f t="shared" si="0"/>
        <v>15</v>
      </c>
      <c r="B23" s="419" t="s">
        <v>158</v>
      </c>
      <c r="C23" s="419" t="s">
        <v>159</v>
      </c>
      <c r="D23" s="432" t="s">
        <v>160</v>
      </c>
      <c r="E23" s="432" t="s">
        <v>434</v>
      </c>
      <c r="F23" s="419" t="s">
        <v>191</v>
      </c>
      <c r="G23" s="419" t="s">
        <v>189</v>
      </c>
      <c r="H23" s="419" t="s">
        <v>953</v>
      </c>
      <c r="I23" s="419" t="s">
        <v>167</v>
      </c>
      <c r="J23" s="419" t="s">
        <v>9</v>
      </c>
      <c r="K23" s="28"/>
      <c r="L23" s="28"/>
    </row>
    <row r="24" spans="1:14">
      <c r="A24" s="5">
        <f t="shared" si="0"/>
        <v>16</v>
      </c>
      <c r="E24" s="28" t="s">
        <v>138</v>
      </c>
      <c r="F24" s="28" t="s">
        <v>139</v>
      </c>
      <c r="G24" s="28" t="s">
        <v>140</v>
      </c>
      <c r="H24" s="28" t="s">
        <v>141</v>
      </c>
      <c r="I24" s="28" t="s">
        <v>142</v>
      </c>
      <c r="J24" s="28" t="s">
        <v>143</v>
      </c>
      <c r="M24" s="28"/>
    </row>
    <row r="25" spans="1:14">
      <c r="A25" s="5">
        <f t="shared" si="0"/>
        <v>17</v>
      </c>
    </row>
    <row r="26" spans="1:14">
      <c r="A26" s="5">
        <f t="shared" si="0"/>
        <v>18</v>
      </c>
      <c r="B26" s="861" t="s">
        <v>164</v>
      </c>
      <c r="C26" s="861" t="s">
        <v>954</v>
      </c>
      <c r="D26" s="862" t="s">
        <v>955</v>
      </c>
      <c r="E26" s="435"/>
      <c r="F26" s="436">
        <v>2600640</v>
      </c>
      <c r="G26" s="436"/>
      <c r="H26" s="436"/>
      <c r="I26" s="436"/>
      <c r="J26" s="436">
        <f>SUM(F26:I26)</f>
        <v>2600640</v>
      </c>
    </row>
    <row r="27" spans="1:14">
      <c r="A27" s="5">
        <f t="shared" si="0"/>
        <v>19</v>
      </c>
      <c r="B27" s="861" t="s">
        <v>164</v>
      </c>
      <c r="C27" s="861" t="s">
        <v>956</v>
      </c>
      <c r="D27" s="862" t="s">
        <v>957</v>
      </c>
      <c r="E27" s="435"/>
      <c r="F27" s="436"/>
      <c r="G27" s="436">
        <v>699835</v>
      </c>
      <c r="H27" s="436"/>
      <c r="I27" s="436"/>
      <c r="J27" s="436">
        <f t="shared" ref="J27:J33" si="4">SUM(F27:I27)</f>
        <v>699835</v>
      </c>
      <c r="N27" s="437"/>
    </row>
    <row r="28" spans="1:14">
      <c r="A28" s="5">
        <f t="shared" si="0"/>
        <v>20</v>
      </c>
      <c r="B28" s="861" t="s">
        <v>163</v>
      </c>
      <c r="C28" s="861" t="s">
        <v>958</v>
      </c>
      <c r="D28" s="862" t="s">
        <v>959</v>
      </c>
      <c r="E28" s="435"/>
      <c r="F28" s="436">
        <v>1417</v>
      </c>
      <c r="G28" s="436"/>
      <c r="H28" s="436"/>
      <c r="I28" s="436"/>
      <c r="J28" s="436">
        <f t="shared" si="4"/>
        <v>1417</v>
      </c>
      <c r="N28" s="437"/>
    </row>
    <row r="29" spans="1:14">
      <c r="A29" s="5">
        <f t="shared" si="0"/>
        <v>21</v>
      </c>
      <c r="B29" s="861" t="s">
        <v>163</v>
      </c>
      <c r="C29" s="861" t="s">
        <v>960</v>
      </c>
      <c r="D29" s="862" t="s">
        <v>961</v>
      </c>
      <c r="E29" s="435"/>
      <c r="F29" s="436">
        <v>467542</v>
      </c>
      <c r="G29" s="436"/>
      <c r="H29" s="436"/>
      <c r="I29" s="436"/>
      <c r="J29" s="436">
        <f t="shared" si="4"/>
        <v>467542</v>
      </c>
    </row>
    <row r="30" spans="1:14">
      <c r="A30" s="5">
        <f t="shared" si="0"/>
        <v>22</v>
      </c>
      <c r="B30" s="861" t="s">
        <v>165</v>
      </c>
      <c r="C30" s="861" t="s">
        <v>956</v>
      </c>
      <c r="D30" s="862" t="s">
        <v>957</v>
      </c>
      <c r="E30" s="435"/>
      <c r="F30" s="436"/>
      <c r="G30" s="436"/>
      <c r="H30" s="436">
        <v>22689</v>
      </c>
      <c r="I30" s="436"/>
      <c r="J30" s="436">
        <f t="shared" si="4"/>
        <v>22689</v>
      </c>
    </row>
    <row r="31" spans="1:14">
      <c r="A31" s="5">
        <f t="shared" si="0"/>
        <v>23</v>
      </c>
      <c r="B31" s="861" t="s">
        <v>165</v>
      </c>
      <c r="C31" s="861" t="s">
        <v>954</v>
      </c>
      <c r="D31" s="861" t="s">
        <v>955</v>
      </c>
      <c r="E31" s="435"/>
      <c r="F31" s="436"/>
      <c r="G31" s="436"/>
      <c r="H31" s="436">
        <v>125118</v>
      </c>
      <c r="I31" s="436"/>
      <c r="J31" s="436">
        <f t="shared" si="4"/>
        <v>125118</v>
      </c>
    </row>
    <row r="32" spans="1:14">
      <c r="A32" s="5">
        <f t="shared" si="0"/>
        <v>24</v>
      </c>
      <c r="B32" s="861" t="s">
        <v>165</v>
      </c>
      <c r="C32" s="861" t="s">
        <v>958</v>
      </c>
      <c r="D32" s="862" t="s">
        <v>959</v>
      </c>
      <c r="E32" s="435"/>
      <c r="F32" s="436"/>
      <c r="G32" s="436"/>
      <c r="H32" s="436">
        <v>44188</v>
      </c>
      <c r="I32" s="436"/>
      <c r="J32" s="436">
        <f t="shared" si="4"/>
        <v>44188</v>
      </c>
    </row>
    <row r="33" spans="1:14">
      <c r="A33" s="5">
        <f t="shared" si="0"/>
        <v>25</v>
      </c>
      <c r="B33" s="861" t="s">
        <v>165</v>
      </c>
      <c r="C33" s="861" t="s">
        <v>960</v>
      </c>
      <c r="D33" s="862" t="s">
        <v>961</v>
      </c>
      <c r="E33" s="435"/>
      <c r="F33" s="436"/>
      <c r="G33" s="436"/>
      <c r="H33" s="436">
        <v>104557</v>
      </c>
      <c r="I33" s="436"/>
      <c r="J33" s="436">
        <f t="shared" si="4"/>
        <v>104557</v>
      </c>
    </row>
    <row r="34" spans="1:14">
      <c r="A34" s="5">
        <f t="shared" si="0"/>
        <v>26</v>
      </c>
      <c r="B34" s="433"/>
      <c r="C34" s="433"/>
      <c r="D34" s="434"/>
      <c r="E34" s="435"/>
      <c r="F34" s="436"/>
      <c r="G34" s="436"/>
      <c r="H34" s="436"/>
      <c r="I34" s="436"/>
      <c r="J34" s="436"/>
    </row>
    <row r="35" spans="1:14">
      <c r="A35" s="5">
        <f t="shared" si="0"/>
        <v>27</v>
      </c>
      <c r="B35" s="433"/>
      <c r="C35" s="433"/>
      <c r="D35" s="434"/>
      <c r="E35" s="435"/>
      <c r="F35" s="436"/>
      <c r="G35" s="436"/>
      <c r="H35" s="436"/>
      <c r="I35" s="436"/>
      <c r="J35" s="436"/>
    </row>
    <row r="36" spans="1:14">
      <c r="A36" s="5">
        <f t="shared" si="0"/>
        <v>28</v>
      </c>
      <c r="B36" s="433"/>
      <c r="C36" s="433"/>
      <c r="D36" s="433"/>
      <c r="E36" s="435"/>
      <c r="F36" s="436"/>
      <c r="G36" s="436"/>
      <c r="H36" s="436"/>
      <c r="I36" s="436"/>
      <c r="J36" s="436"/>
    </row>
    <row r="37" spans="1:14">
      <c r="A37" s="5">
        <f t="shared" si="0"/>
        <v>29</v>
      </c>
      <c r="B37" s="433"/>
      <c r="C37" s="433"/>
      <c r="D37" s="433"/>
      <c r="E37" s="435"/>
      <c r="F37" s="436"/>
      <c r="G37" s="436"/>
      <c r="H37" s="436"/>
      <c r="I37" s="436"/>
      <c r="J37" s="436"/>
    </row>
    <row r="38" spans="1:14">
      <c r="A38" s="5">
        <f t="shared" si="0"/>
        <v>30</v>
      </c>
      <c r="B38" s="433"/>
      <c r="C38" s="433"/>
      <c r="D38" s="433"/>
      <c r="E38" s="433"/>
      <c r="F38" s="436"/>
      <c r="G38" s="436"/>
      <c r="H38" s="436"/>
      <c r="I38" s="436"/>
      <c r="J38" s="436"/>
      <c r="N38" s="437"/>
    </row>
    <row r="39" spans="1:14">
      <c r="A39" s="5">
        <f t="shared" si="0"/>
        <v>31</v>
      </c>
      <c r="B39" s="433"/>
      <c r="C39" s="433"/>
      <c r="D39" s="433"/>
      <c r="E39" s="435"/>
      <c r="F39" s="436"/>
      <c r="G39" s="436"/>
      <c r="H39" s="436"/>
      <c r="I39" s="436"/>
      <c r="J39" s="436"/>
    </row>
    <row r="40" spans="1:14">
      <c r="A40" s="5">
        <f t="shared" si="0"/>
        <v>32</v>
      </c>
      <c r="B40" s="433"/>
      <c r="C40" s="433"/>
      <c r="D40" s="434"/>
      <c r="E40" s="435"/>
      <c r="F40" s="436"/>
      <c r="G40" s="436"/>
      <c r="H40" s="436"/>
      <c r="I40" s="436"/>
      <c r="J40" s="436"/>
    </row>
    <row r="41" spans="1:14">
      <c r="A41" s="5">
        <f t="shared" si="0"/>
        <v>33</v>
      </c>
      <c r="B41" s="433"/>
      <c r="C41" s="433"/>
      <c r="D41" s="434"/>
      <c r="E41" s="435"/>
      <c r="F41" s="436"/>
      <c r="G41" s="436"/>
      <c r="H41" s="436"/>
      <c r="I41" s="436"/>
      <c r="J41" s="436"/>
    </row>
    <row r="42" spans="1:14">
      <c r="A42" s="5">
        <f t="shared" si="0"/>
        <v>34</v>
      </c>
      <c r="B42" s="433"/>
      <c r="C42" s="433"/>
      <c r="D42" s="434"/>
      <c r="E42" s="435"/>
      <c r="F42" s="436"/>
      <c r="G42" s="436"/>
      <c r="H42" s="436"/>
      <c r="I42" s="436"/>
      <c r="J42" s="436"/>
    </row>
    <row r="43" spans="1:14">
      <c r="A43" s="5">
        <f t="shared" si="0"/>
        <v>35</v>
      </c>
      <c r="B43" s="433"/>
      <c r="C43" s="433"/>
      <c r="D43" s="434"/>
      <c r="E43" s="435"/>
      <c r="F43" s="436"/>
      <c r="G43" s="436"/>
      <c r="H43" s="436"/>
      <c r="I43" s="436"/>
      <c r="J43" s="436"/>
    </row>
    <row r="44" spans="1:14">
      <c r="A44" s="5">
        <f t="shared" si="0"/>
        <v>36</v>
      </c>
      <c r="B44" s="433"/>
      <c r="C44" s="433"/>
      <c r="D44" s="433"/>
      <c r="E44" s="435"/>
      <c r="F44" s="436"/>
      <c r="G44" s="436"/>
      <c r="H44" s="436"/>
      <c r="I44" s="436"/>
      <c r="J44" s="436"/>
    </row>
    <row r="45" spans="1:14">
      <c r="A45" s="5">
        <f t="shared" si="0"/>
        <v>37</v>
      </c>
      <c r="B45" s="433"/>
      <c r="C45" s="433"/>
      <c r="D45" s="433"/>
      <c r="E45" s="435"/>
      <c r="F45" s="436"/>
      <c r="G45" s="436"/>
      <c r="H45" s="436"/>
      <c r="I45" s="436"/>
      <c r="J45" s="436"/>
    </row>
    <row r="46" spans="1:14">
      <c r="A46" s="5">
        <f t="shared" si="0"/>
        <v>38</v>
      </c>
      <c r="B46" s="438"/>
      <c r="C46" s="438"/>
      <c r="D46" s="438"/>
      <c r="E46" s="438"/>
      <c r="F46" s="439"/>
      <c r="G46" s="439"/>
      <c r="H46" s="439"/>
      <c r="I46" s="439"/>
      <c r="J46" s="439"/>
      <c r="K46" s="441"/>
      <c r="L46" s="441"/>
    </row>
    <row r="47" spans="1:14">
      <c r="A47" s="5">
        <f t="shared" si="0"/>
        <v>39</v>
      </c>
      <c r="B47" s="428"/>
      <c r="C47" s="428" t="s">
        <v>9</v>
      </c>
      <c r="D47" s="428"/>
      <c r="E47" s="440"/>
      <c r="F47" s="440">
        <f t="shared" ref="F47:J47" si="5">SUM(F26:F46)</f>
        <v>3069599</v>
      </c>
      <c r="G47" s="440">
        <f t="shared" si="5"/>
        <v>699835</v>
      </c>
      <c r="H47" s="440">
        <f t="shared" si="5"/>
        <v>296552</v>
      </c>
      <c r="I47" s="440">
        <f t="shared" si="5"/>
        <v>0</v>
      </c>
      <c r="J47" s="440">
        <f t="shared" si="5"/>
        <v>4065986</v>
      </c>
      <c r="K47" s="441"/>
      <c r="L47" s="441"/>
      <c r="M47" s="441"/>
    </row>
    <row r="48" spans="1:14">
      <c r="A48" s="5">
        <f t="shared" si="0"/>
        <v>40</v>
      </c>
      <c r="E48" s="202"/>
      <c r="F48" s="442"/>
      <c r="G48" s="442"/>
      <c r="H48" s="442"/>
      <c r="I48" s="442"/>
      <c r="J48" s="442"/>
      <c r="M48" s="441"/>
    </row>
    <row r="49" spans="1:12">
      <c r="A49" s="5">
        <f t="shared" si="0"/>
        <v>41</v>
      </c>
      <c r="B49" s="443" t="s">
        <v>166</v>
      </c>
      <c r="E49" s="444"/>
      <c r="F49" s="442"/>
      <c r="G49" s="442"/>
      <c r="H49" s="442"/>
      <c r="I49" s="442"/>
      <c r="J49" s="442"/>
      <c r="K49" s="397"/>
      <c r="L49" s="397"/>
    </row>
    <row r="50" spans="1:12" s="397" customFormat="1" ht="15" customHeight="1">
      <c r="A50" s="5">
        <f t="shared" si="0"/>
        <v>42</v>
      </c>
      <c r="B50" s="2" t="s">
        <v>163</v>
      </c>
      <c r="C50" s="2"/>
      <c r="D50" s="2"/>
      <c r="E50" s="2"/>
      <c r="F50" s="442">
        <f t="shared" ref="F50:J53" si="6">SUMIF($B$26:$B$46,$B50,F$26:F$46)</f>
        <v>468959</v>
      </c>
      <c r="G50" s="442">
        <f t="shared" si="6"/>
        <v>0</v>
      </c>
      <c r="H50" s="442">
        <f t="shared" si="6"/>
        <v>0</v>
      </c>
      <c r="I50" s="442">
        <f t="shared" si="6"/>
        <v>0</v>
      </c>
      <c r="J50" s="442">
        <f t="shared" si="6"/>
        <v>468959</v>
      </c>
      <c r="K50" s="2"/>
      <c r="L50" s="2"/>
    </row>
    <row r="51" spans="1:12">
      <c r="A51" s="5">
        <f t="shared" si="0"/>
        <v>43</v>
      </c>
      <c r="B51" s="2" t="s">
        <v>164</v>
      </c>
      <c r="F51" s="442">
        <f t="shared" si="6"/>
        <v>2600640</v>
      </c>
      <c r="G51" s="442">
        <f t="shared" si="6"/>
        <v>699835</v>
      </c>
      <c r="H51" s="442">
        <f t="shared" si="6"/>
        <v>0</v>
      </c>
      <c r="I51" s="442">
        <f t="shared" si="6"/>
        <v>0</v>
      </c>
      <c r="J51" s="442">
        <f t="shared" si="6"/>
        <v>3300475</v>
      </c>
    </row>
    <row r="52" spans="1:12">
      <c r="A52" s="5">
        <f t="shared" si="0"/>
        <v>44</v>
      </c>
      <c r="B52" s="2" t="s">
        <v>165</v>
      </c>
      <c r="F52" s="442">
        <f t="shared" si="6"/>
        <v>0</v>
      </c>
      <c r="G52" s="442">
        <f t="shared" si="6"/>
        <v>0</v>
      </c>
      <c r="H52" s="442">
        <f t="shared" si="6"/>
        <v>296552</v>
      </c>
      <c r="I52" s="442">
        <f t="shared" si="6"/>
        <v>0</v>
      </c>
      <c r="J52" s="442">
        <f t="shared" si="6"/>
        <v>296552</v>
      </c>
    </row>
    <row r="53" spans="1:12">
      <c r="A53" s="5">
        <f t="shared" si="0"/>
        <v>45</v>
      </c>
      <c r="B53" s="2" t="s">
        <v>167</v>
      </c>
      <c r="F53" s="442">
        <f t="shared" si="6"/>
        <v>0</v>
      </c>
      <c r="G53" s="442">
        <f t="shared" si="6"/>
        <v>0</v>
      </c>
      <c r="H53" s="442">
        <f t="shared" si="6"/>
        <v>0</v>
      </c>
      <c r="I53" s="442">
        <f t="shared" si="6"/>
        <v>0</v>
      </c>
      <c r="J53" s="442">
        <f t="shared" si="6"/>
        <v>0</v>
      </c>
    </row>
    <row r="54" spans="1:12">
      <c r="A54" s="5">
        <f t="shared" si="0"/>
        <v>46</v>
      </c>
      <c r="B54" s="428" t="s">
        <v>9</v>
      </c>
      <c r="C54" s="428"/>
      <c r="D54" s="428"/>
      <c r="E54" s="428"/>
      <c r="F54" s="440">
        <f t="shared" ref="F54" si="7">SUM(F50:F53)</f>
        <v>3069599</v>
      </c>
      <c r="G54" s="440">
        <f t="shared" ref="G54:J54" si="8">SUM(G50:G53)</f>
        <v>699835</v>
      </c>
      <c r="H54" s="440">
        <f t="shared" si="8"/>
        <v>296552</v>
      </c>
      <c r="I54" s="440">
        <f t="shared" si="8"/>
        <v>0</v>
      </c>
      <c r="J54" s="440">
        <f t="shared" si="8"/>
        <v>4065986</v>
      </c>
    </row>
    <row r="55" spans="1:12">
      <c r="A55" s="5">
        <f t="shared" si="0"/>
        <v>47</v>
      </c>
      <c r="F55" s="442"/>
      <c r="G55" s="442"/>
      <c r="H55" s="442"/>
      <c r="I55" s="442"/>
      <c r="J55" s="442"/>
    </row>
    <row r="56" spans="1:12">
      <c r="A56" s="5">
        <f t="shared" si="0"/>
        <v>48</v>
      </c>
      <c r="B56" s="445" t="s">
        <v>433</v>
      </c>
    </row>
    <row r="57" spans="1:12">
      <c r="A57" s="5">
        <f t="shared" si="0"/>
        <v>49</v>
      </c>
      <c r="B57" s="2" t="s">
        <v>165</v>
      </c>
      <c r="C57" s="2" t="s">
        <v>168</v>
      </c>
    </row>
    <row r="58" spans="1:12">
      <c r="A58" s="5">
        <f t="shared" si="0"/>
        <v>50</v>
      </c>
      <c r="B58" s="2" t="s">
        <v>164</v>
      </c>
      <c r="C58" s="2" t="s">
        <v>169</v>
      </c>
    </row>
    <row r="59" spans="1:12">
      <c r="A59" s="5">
        <f t="shared" si="0"/>
        <v>51</v>
      </c>
      <c r="B59" s="2" t="s">
        <v>163</v>
      </c>
      <c r="C59" s="2" t="s">
        <v>170</v>
      </c>
    </row>
    <row r="60" spans="1:12">
      <c r="A60" s="5"/>
    </row>
    <row r="61" spans="1:12">
      <c r="A61" s="446" t="s">
        <v>155</v>
      </c>
    </row>
    <row r="62" spans="1:12" ht="12.75" customHeight="1">
      <c r="A62" s="28" t="s">
        <v>76</v>
      </c>
      <c r="B62" s="902" t="s">
        <v>87</v>
      </c>
      <c r="C62" s="902"/>
      <c r="D62" s="902"/>
      <c r="E62" s="902"/>
      <c r="F62" s="902"/>
      <c r="G62" s="902"/>
      <c r="H62" s="902"/>
      <c r="I62" s="902"/>
      <c r="J62" s="902"/>
      <c r="K62" s="902"/>
    </row>
    <row r="63" spans="1:12" ht="103.2" customHeight="1">
      <c r="A63" s="71" t="s">
        <v>77</v>
      </c>
      <c r="B63" s="904" t="s">
        <v>1234</v>
      </c>
      <c r="C63" s="904"/>
      <c r="D63" s="904"/>
      <c r="E63" s="904"/>
      <c r="F63" s="904"/>
      <c r="G63" s="904"/>
      <c r="H63" s="904"/>
      <c r="I63" s="904"/>
      <c r="J63" s="904"/>
    </row>
    <row r="64" spans="1:12">
      <c r="A64" s="28" t="s">
        <v>78</v>
      </c>
      <c r="B64" s="2" t="s">
        <v>1262</v>
      </c>
    </row>
  </sheetData>
  <mergeCells count="7">
    <mergeCell ref="B63:J63"/>
    <mergeCell ref="B62:K62"/>
    <mergeCell ref="H8:I8"/>
    <mergeCell ref="H7:I7"/>
    <mergeCell ref="A1:J1"/>
    <mergeCell ref="A2:J2"/>
    <mergeCell ref="A3:J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H49"/>
  <sheetViews>
    <sheetView zoomScale="75" zoomScaleNormal="75" workbookViewId="0">
      <selection activeCell="D25" sqref="D25"/>
    </sheetView>
  </sheetViews>
  <sheetFormatPr defaultColWidth="7.08984375" defaultRowHeight="13.2"/>
  <cols>
    <col min="1" max="1" width="5.54296875" style="190" customWidth="1"/>
    <col min="2" max="2" width="35.54296875" style="190" customWidth="1"/>
    <col min="3" max="3" width="24.1796875" style="190" customWidth="1"/>
    <col min="4" max="4" width="11.08984375" style="205" customWidth="1"/>
    <col min="5" max="5" width="7.08984375" style="190"/>
    <col min="6" max="6" width="8.6328125" style="190" bestFit="1" customWidth="1"/>
    <col min="7" max="16384" width="7.08984375" style="190"/>
  </cols>
  <sheetData>
    <row r="1" spans="1:8" ht="14.25" customHeight="1">
      <c r="A1" s="925" t="s">
        <v>412</v>
      </c>
      <c r="B1" s="925"/>
      <c r="C1" s="925"/>
      <c r="D1" s="925"/>
      <c r="F1" s="191"/>
    </row>
    <row r="2" spans="1:8">
      <c r="A2" s="925" t="s">
        <v>173</v>
      </c>
      <c r="B2" s="925"/>
      <c r="C2" s="925"/>
      <c r="D2" s="925"/>
    </row>
    <row r="3" spans="1:8">
      <c r="A3" s="926" t="str">
        <f>'Act Att-H'!C7</f>
        <v>Black Hills Colorado Electric, LLC</v>
      </c>
      <c r="B3" s="925"/>
      <c r="C3" s="925"/>
      <c r="D3" s="925"/>
    </row>
    <row r="4" spans="1:8">
      <c r="D4" s="192" t="s">
        <v>515</v>
      </c>
    </row>
    <row r="5" spans="1:8">
      <c r="D5" s="190"/>
    </row>
    <row r="6" spans="1:8">
      <c r="A6" s="193" t="s">
        <v>4</v>
      </c>
      <c r="C6" s="194" t="s">
        <v>20</v>
      </c>
      <c r="D6" s="195"/>
    </row>
    <row r="7" spans="1:8">
      <c r="A7" s="196" t="s">
        <v>6</v>
      </c>
      <c r="B7" s="196" t="s">
        <v>368</v>
      </c>
      <c r="C7" s="197" t="s">
        <v>22</v>
      </c>
      <c r="D7" s="198" t="s">
        <v>23</v>
      </c>
    </row>
    <row r="8" spans="1:8" ht="13.35" customHeight="1">
      <c r="A8" s="193">
        <v>1</v>
      </c>
      <c r="B8" s="190" t="s">
        <v>174</v>
      </c>
      <c r="C8" s="190" t="s">
        <v>175</v>
      </c>
      <c r="D8" s="199">
        <v>70867</v>
      </c>
    </row>
    <row r="9" spans="1:8" ht="13.35" customHeight="1">
      <c r="A9" s="193">
        <v>2</v>
      </c>
      <c r="B9" s="190" t="s">
        <v>176</v>
      </c>
      <c r="C9" s="190" t="s">
        <v>177</v>
      </c>
      <c r="D9" s="199">
        <v>1029260</v>
      </c>
      <c r="F9" s="200"/>
      <c r="H9" s="201"/>
    </row>
    <row r="10" spans="1:8" ht="13.35" customHeight="1">
      <c r="A10" s="193">
        <v>3</v>
      </c>
      <c r="B10" s="190" t="s">
        <v>178</v>
      </c>
      <c r="C10" s="190" t="s">
        <v>179</v>
      </c>
      <c r="D10" s="199">
        <v>518778</v>
      </c>
      <c r="F10" s="202"/>
    </row>
    <row r="11" spans="1:8" ht="13.35" customHeight="1">
      <c r="A11" s="193">
        <v>4</v>
      </c>
      <c r="B11" s="190" t="s">
        <v>786</v>
      </c>
      <c r="C11" s="190" t="s">
        <v>366</v>
      </c>
      <c r="D11" s="199">
        <v>0</v>
      </c>
      <c r="F11" s="203"/>
    </row>
    <row r="12" spans="1:8" ht="13.35" customHeight="1">
      <c r="A12" s="193" t="s">
        <v>766</v>
      </c>
      <c r="B12" s="190" t="s">
        <v>775</v>
      </c>
      <c r="C12" s="190" t="s">
        <v>685</v>
      </c>
      <c r="D12" s="199"/>
      <c r="F12" s="203"/>
    </row>
    <row r="13" spans="1:8" ht="13.35" customHeight="1">
      <c r="A13" s="193" t="s">
        <v>767</v>
      </c>
      <c r="B13" s="190" t="s">
        <v>776</v>
      </c>
      <c r="C13" s="190" t="s">
        <v>685</v>
      </c>
      <c r="D13" s="199">
        <v>0</v>
      </c>
      <c r="F13" s="203"/>
    </row>
    <row r="14" spans="1:8" ht="13.35" customHeight="1" thickBot="1">
      <c r="A14" s="193">
        <v>5</v>
      </c>
      <c r="B14" s="190" t="s">
        <v>214</v>
      </c>
      <c r="C14" s="190" t="s">
        <v>785</v>
      </c>
      <c r="D14" s="204">
        <f>SUM(D8:D10,D12:D13)-D11</f>
        <v>1618905</v>
      </c>
      <c r="G14" s="203"/>
    </row>
    <row r="15" spans="1:8" ht="13.35" customHeight="1" thickTop="1">
      <c r="A15" s="193">
        <v>6</v>
      </c>
    </row>
    <row r="16" spans="1:8" ht="13.35" customHeight="1">
      <c r="A16" s="193">
        <v>7</v>
      </c>
    </row>
    <row r="17" spans="1:8" ht="13.35" customHeight="1">
      <c r="A17" s="193">
        <v>8</v>
      </c>
      <c r="B17" s="206" t="s">
        <v>180</v>
      </c>
      <c r="D17" s="207"/>
      <c r="G17" s="201"/>
    </row>
    <row r="18" spans="1:8" ht="13.35" customHeight="1">
      <c r="A18" s="193">
        <v>9</v>
      </c>
      <c r="D18" s="207"/>
      <c r="H18" s="201"/>
    </row>
    <row r="19" spans="1:8" ht="13.35" customHeight="1">
      <c r="A19" s="193">
        <v>10</v>
      </c>
      <c r="B19" s="190" t="s">
        <v>623</v>
      </c>
      <c r="C19" s="190" t="s">
        <v>624</v>
      </c>
      <c r="D19" s="199">
        <v>0</v>
      </c>
    </row>
    <row r="20" spans="1:8" ht="13.35" customHeight="1">
      <c r="A20" s="193">
        <v>11</v>
      </c>
      <c r="B20" s="190" t="s">
        <v>684</v>
      </c>
      <c r="C20" s="190" t="s">
        <v>1218</v>
      </c>
      <c r="D20" s="199">
        <v>109951</v>
      </c>
      <c r="H20" s="201"/>
    </row>
    <row r="21" spans="1:8" ht="13.35" customHeight="1">
      <c r="A21" s="193">
        <v>12</v>
      </c>
      <c r="D21" s="202"/>
    </row>
    <row r="22" spans="1:8" ht="13.35" customHeight="1">
      <c r="A22" s="193">
        <v>13</v>
      </c>
      <c r="D22" s="208"/>
    </row>
    <row r="23" spans="1:8" ht="13.35" customHeight="1">
      <c r="A23" s="193">
        <v>14</v>
      </c>
      <c r="B23" s="190" t="s">
        <v>9</v>
      </c>
      <c r="C23" s="206"/>
      <c r="D23" s="209">
        <f>SUM(D19:D22)</f>
        <v>109951</v>
      </c>
    </row>
    <row r="24" spans="1:8" ht="13.35" customHeight="1">
      <c r="A24" s="193">
        <v>15</v>
      </c>
      <c r="D24" s="202"/>
    </row>
    <row r="25" spans="1:8" ht="13.35" customHeight="1" thickBot="1">
      <c r="A25" s="193">
        <v>16</v>
      </c>
      <c r="B25" s="190" t="s">
        <v>215</v>
      </c>
      <c r="D25" s="204">
        <f>+D23</f>
        <v>109951</v>
      </c>
    </row>
    <row r="26" spans="1:8" ht="13.35" customHeight="1" thickTop="1">
      <c r="A26" s="193">
        <v>17</v>
      </c>
      <c r="D26" s="210"/>
    </row>
    <row r="27" spans="1:8" ht="13.35" customHeight="1">
      <c r="A27" s="193">
        <v>18</v>
      </c>
      <c r="D27" s="210"/>
    </row>
    <row r="28" spans="1:8" ht="13.35" customHeight="1">
      <c r="A28" s="193">
        <v>19</v>
      </c>
      <c r="B28" s="206" t="s">
        <v>787</v>
      </c>
      <c r="D28" s="210"/>
    </row>
    <row r="29" spans="1:8" ht="13.35" customHeight="1">
      <c r="A29" s="193">
        <v>20</v>
      </c>
      <c r="B29" s="190" t="s">
        <v>181</v>
      </c>
      <c r="C29" s="190" t="s">
        <v>367</v>
      </c>
      <c r="D29" s="199">
        <v>0</v>
      </c>
    </row>
    <row r="30" spans="1:8" ht="13.35" customHeight="1">
      <c r="A30" s="193">
        <v>21</v>
      </c>
      <c r="B30" s="190" t="s">
        <v>182</v>
      </c>
      <c r="C30" s="190" t="s">
        <v>367</v>
      </c>
      <c r="D30" s="199">
        <v>176284.66340000002</v>
      </c>
    </row>
    <row r="31" spans="1:8" ht="13.35" customHeight="1" thickBot="1">
      <c r="A31" s="193">
        <v>22</v>
      </c>
      <c r="B31" s="190" t="s">
        <v>787</v>
      </c>
      <c r="C31" s="190" t="s">
        <v>750</v>
      </c>
      <c r="D31" s="204">
        <f>SUM(D29:D30)</f>
        <v>176284.66340000002</v>
      </c>
    </row>
    <row r="32" spans="1:8" ht="13.35" customHeight="1" thickTop="1">
      <c r="A32" s="193"/>
      <c r="D32" s="210"/>
    </row>
    <row r="33" spans="1:4" ht="13.35" customHeight="1">
      <c r="A33" s="354" t="s">
        <v>155</v>
      </c>
      <c r="B33" s="211"/>
      <c r="D33" s="210"/>
    </row>
    <row r="34" spans="1:4" ht="25.5" customHeight="1">
      <c r="A34" s="394" t="s">
        <v>76</v>
      </c>
      <c r="B34" s="924" t="s">
        <v>517</v>
      </c>
      <c r="C34" s="924"/>
      <c r="D34" s="924"/>
    </row>
    <row r="35" spans="1:4" ht="33" customHeight="1">
      <c r="A35" s="394" t="s">
        <v>77</v>
      </c>
      <c r="B35" s="924" t="s">
        <v>696</v>
      </c>
      <c r="C35" s="924"/>
      <c r="D35" s="924"/>
    </row>
    <row r="36" spans="1:4" ht="32.25" customHeight="1">
      <c r="A36" s="394" t="s">
        <v>78</v>
      </c>
      <c r="B36" s="924" t="s">
        <v>622</v>
      </c>
      <c r="C36" s="924"/>
      <c r="D36" s="924"/>
    </row>
    <row r="37" spans="1:4" ht="25.5" customHeight="1">
      <c r="A37" s="394" t="s">
        <v>79</v>
      </c>
      <c r="B37" s="924" t="s">
        <v>974</v>
      </c>
      <c r="C37" s="924"/>
      <c r="D37" s="924"/>
    </row>
    <row r="38" spans="1:4">
      <c r="A38" s="193"/>
    </row>
    <row r="39" spans="1:4">
      <c r="A39" s="193"/>
    </row>
    <row r="40" spans="1:4">
      <c r="A40" s="193"/>
    </row>
    <row r="41" spans="1:4">
      <c r="A41" s="193"/>
    </row>
    <row r="42" spans="1:4">
      <c r="A42" s="193"/>
    </row>
    <row r="43" spans="1:4">
      <c r="A43" s="193"/>
    </row>
    <row r="44" spans="1:4">
      <c r="A44" s="193"/>
    </row>
    <row r="45" spans="1:4">
      <c r="A45" s="193"/>
    </row>
    <row r="46" spans="1:4">
      <c r="A46" s="193"/>
    </row>
    <row r="47" spans="1:4">
      <c r="A47" s="193"/>
    </row>
    <row r="49" ht="25.5" customHeight="1"/>
  </sheetData>
  <mergeCells count="7">
    <mergeCell ref="B37:D37"/>
    <mergeCell ref="B36:D36"/>
    <mergeCell ref="B35:D35"/>
    <mergeCell ref="A1:D1"/>
    <mergeCell ref="A2:D2"/>
    <mergeCell ref="A3:D3"/>
    <mergeCell ref="B34:D3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I104"/>
  <sheetViews>
    <sheetView zoomScale="90" zoomScaleNormal="90" workbookViewId="0">
      <selection activeCell="B17" sqref="B17:F47"/>
    </sheetView>
  </sheetViews>
  <sheetFormatPr defaultRowHeight="13.2"/>
  <cols>
    <col min="1" max="1" width="6.08984375" style="2" customWidth="1"/>
    <col min="2" max="2" width="36.453125" style="2" bestFit="1" customWidth="1"/>
    <col min="3" max="3" width="12.81640625" style="2" customWidth="1"/>
    <col min="4" max="4" width="12.1796875" style="2" bestFit="1" customWidth="1"/>
    <col min="5" max="5" width="12.08984375" style="2" bestFit="1" customWidth="1"/>
    <col min="6" max="6" width="15.54296875" style="2" bestFit="1" customWidth="1"/>
    <col min="7" max="7" width="9.81640625" style="2" bestFit="1" customWidth="1"/>
    <col min="8" max="8" width="10.6328125" style="2" bestFit="1" customWidth="1"/>
    <col min="9" max="252" width="8.6328125" style="2"/>
    <col min="253" max="253" width="6.08984375" style="2" customWidth="1"/>
    <col min="254" max="256" width="11.6328125" style="2" customWidth="1"/>
    <col min="257" max="258" width="9.6328125" style="2" customWidth="1"/>
    <col min="259" max="259" width="15.08984375" style="2" bestFit="1" customWidth="1"/>
    <col min="260" max="508" width="8.6328125" style="2"/>
    <col min="509" max="509" width="6.08984375" style="2" customWidth="1"/>
    <col min="510" max="512" width="11.6328125" style="2" customWidth="1"/>
    <col min="513" max="514" width="9.6328125" style="2" customWidth="1"/>
    <col min="515" max="515" width="15.08984375" style="2" bestFit="1" customWidth="1"/>
    <col min="516" max="764" width="8.6328125" style="2"/>
    <col min="765" max="765" width="6.08984375" style="2" customWidth="1"/>
    <col min="766" max="768" width="11.6328125" style="2" customWidth="1"/>
    <col min="769" max="770" width="9.6328125" style="2" customWidth="1"/>
    <col min="771" max="771" width="15.08984375" style="2" bestFit="1" customWidth="1"/>
    <col min="772" max="1020" width="8.6328125" style="2"/>
    <col min="1021" max="1021" width="6.08984375" style="2" customWidth="1"/>
    <col min="1022" max="1024" width="11.6328125" style="2" customWidth="1"/>
    <col min="1025" max="1026" width="9.6328125" style="2" customWidth="1"/>
    <col min="1027" max="1027" width="15.08984375" style="2" bestFit="1" customWidth="1"/>
    <col min="1028" max="1276" width="8.6328125" style="2"/>
    <col min="1277" max="1277" width="6.08984375" style="2" customWidth="1"/>
    <col min="1278" max="1280" width="11.6328125" style="2" customWidth="1"/>
    <col min="1281" max="1282" width="9.6328125" style="2" customWidth="1"/>
    <col min="1283" max="1283" width="15.08984375" style="2" bestFit="1" customWidth="1"/>
    <col min="1284" max="1532" width="8.6328125" style="2"/>
    <col min="1533" max="1533" width="6.08984375" style="2" customWidth="1"/>
    <col min="1534" max="1536" width="11.6328125" style="2" customWidth="1"/>
    <col min="1537" max="1538" width="9.6328125" style="2" customWidth="1"/>
    <col min="1539" max="1539" width="15.08984375" style="2" bestFit="1" customWidth="1"/>
    <col min="1540" max="1788" width="8.6328125" style="2"/>
    <col min="1789" max="1789" width="6.08984375" style="2" customWidth="1"/>
    <col min="1790" max="1792" width="11.6328125" style="2" customWidth="1"/>
    <col min="1793" max="1794" width="9.6328125" style="2" customWidth="1"/>
    <col min="1795" max="1795" width="15.08984375" style="2" bestFit="1" customWidth="1"/>
    <col min="1796" max="2044" width="8.6328125" style="2"/>
    <col min="2045" max="2045" width="6.08984375" style="2" customWidth="1"/>
    <col min="2046" max="2048" width="11.6328125" style="2" customWidth="1"/>
    <col min="2049" max="2050" width="9.6328125" style="2" customWidth="1"/>
    <col min="2051" max="2051" width="15.08984375" style="2" bestFit="1" customWidth="1"/>
    <col min="2052" max="2300" width="8.6328125" style="2"/>
    <col min="2301" max="2301" width="6.08984375" style="2" customWidth="1"/>
    <col min="2302" max="2304" width="11.6328125" style="2" customWidth="1"/>
    <col min="2305" max="2306" width="9.6328125" style="2" customWidth="1"/>
    <col min="2307" max="2307" width="15.08984375" style="2" bestFit="1" customWidth="1"/>
    <col min="2308" max="2556" width="8.6328125" style="2"/>
    <col min="2557" max="2557" width="6.08984375" style="2" customWidth="1"/>
    <col min="2558" max="2560" width="11.6328125" style="2" customWidth="1"/>
    <col min="2561" max="2562" width="9.6328125" style="2" customWidth="1"/>
    <col min="2563" max="2563" width="15.08984375" style="2" bestFit="1" customWidth="1"/>
    <col min="2564" max="2812" width="8.6328125" style="2"/>
    <col min="2813" max="2813" width="6.08984375" style="2" customWidth="1"/>
    <col min="2814" max="2816" width="11.6328125" style="2" customWidth="1"/>
    <col min="2817" max="2818" width="9.6328125" style="2" customWidth="1"/>
    <col min="2819" max="2819" width="15.08984375" style="2" bestFit="1" customWidth="1"/>
    <col min="2820" max="3068" width="8.6328125" style="2"/>
    <col min="3069" max="3069" width="6.08984375" style="2" customWidth="1"/>
    <col min="3070" max="3072" width="11.6328125" style="2" customWidth="1"/>
    <col min="3073" max="3074" width="9.6328125" style="2" customWidth="1"/>
    <col min="3075" max="3075" width="15.08984375" style="2" bestFit="1" customWidth="1"/>
    <col min="3076" max="3324" width="8.6328125" style="2"/>
    <col min="3325" max="3325" width="6.08984375" style="2" customWidth="1"/>
    <col min="3326" max="3328" width="11.6328125" style="2" customWidth="1"/>
    <col min="3329" max="3330" width="9.6328125" style="2" customWidth="1"/>
    <col min="3331" max="3331" width="15.08984375" style="2" bestFit="1" customWidth="1"/>
    <col min="3332" max="3580" width="8.6328125" style="2"/>
    <col min="3581" max="3581" width="6.08984375" style="2" customWidth="1"/>
    <col min="3582" max="3584" width="11.6328125" style="2" customWidth="1"/>
    <col min="3585" max="3586" width="9.6328125" style="2" customWidth="1"/>
    <col min="3587" max="3587" width="15.08984375" style="2" bestFit="1" customWidth="1"/>
    <col min="3588" max="3836" width="8.6328125" style="2"/>
    <col min="3837" max="3837" width="6.08984375" style="2" customWidth="1"/>
    <col min="3838" max="3840" width="11.6328125" style="2" customWidth="1"/>
    <col min="3841" max="3842" width="9.6328125" style="2" customWidth="1"/>
    <col min="3843" max="3843" width="15.08984375" style="2" bestFit="1" customWidth="1"/>
    <col min="3844" max="4092" width="8.6328125" style="2"/>
    <col min="4093" max="4093" width="6.08984375" style="2" customWidth="1"/>
    <col min="4094" max="4096" width="11.6328125" style="2" customWidth="1"/>
    <col min="4097" max="4098" width="9.6328125" style="2" customWidth="1"/>
    <col min="4099" max="4099" width="15.08984375" style="2" bestFit="1" customWidth="1"/>
    <col min="4100" max="4348" width="8.6328125" style="2"/>
    <col min="4349" max="4349" width="6.08984375" style="2" customWidth="1"/>
    <col min="4350" max="4352" width="11.6328125" style="2" customWidth="1"/>
    <col min="4353" max="4354" width="9.6328125" style="2" customWidth="1"/>
    <col min="4355" max="4355" width="15.08984375" style="2" bestFit="1" customWidth="1"/>
    <col min="4356" max="4604" width="8.6328125" style="2"/>
    <col min="4605" max="4605" width="6.08984375" style="2" customWidth="1"/>
    <col min="4606" max="4608" width="11.6328125" style="2" customWidth="1"/>
    <col min="4609" max="4610" width="9.6328125" style="2" customWidth="1"/>
    <col min="4611" max="4611" width="15.08984375" style="2" bestFit="1" customWidth="1"/>
    <col min="4612" max="4860" width="8.6328125" style="2"/>
    <col min="4861" max="4861" width="6.08984375" style="2" customWidth="1"/>
    <col min="4862" max="4864" width="11.6328125" style="2" customWidth="1"/>
    <col min="4865" max="4866" width="9.6328125" style="2" customWidth="1"/>
    <col min="4867" max="4867" width="15.08984375" style="2" bestFit="1" customWidth="1"/>
    <col min="4868" max="5116" width="8.6328125" style="2"/>
    <col min="5117" max="5117" width="6.08984375" style="2" customWidth="1"/>
    <col min="5118" max="5120" width="11.6328125" style="2" customWidth="1"/>
    <col min="5121" max="5122" width="9.6328125" style="2" customWidth="1"/>
    <col min="5123" max="5123" width="15.08984375" style="2" bestFit="1" customWidth="1"/>
    <col min="5124" max="5372" width="8.6328125" style="2"/>
    <col min="5373" max="5373" width="6.08984375" style="2" customWidth="1"/>
    <col min="5374" max="5376" width="11.6328125" style="2" customWidth="1"/>
    <col min="5377" max="5378" width="9.6328125" style="2" customWidth="1"/>
    <col min="5379" max="5379" width="15.08984375" style="2" bestFit="1" customWidth="1"/>
    <col min="5380" max="5628" width="8.6328125" style="2"/>
    <col min="5629" max="5629" width="6.08984375" style="2" customWidth="1"/>
    <col min="5630" max="5632" width="11.6328125" style="2" customWidth="1"/>
    <col min="5633" max="5634" width="9.6328125" style="2" customWidth="1"/>
    <col min="5635" max="5635" width="15.08984375" style="2" bestFit="1" customWidth="1"/>
    <col min="5636" max="5884" width="8.6328125" style="2"/>
    <col min="5885" max="5885" width="6.08984375" style="2" customWidth="1"/>
    <col min="5886" max="5888" width="11.6328125" style="2" customWidth="1"/>
    <col min="5889" max="5890" width="9.6328125" style="2" customWidth="1"/>
    <col min="5891" max="5891" width="15.08984375" style="2" bestFit="1" customWidth="1"/>
    <col min="5892" max="6140" width="8.6328125" style="2"/>
    <col min="6141" max="6141" width="6.08984375" style="2" customWidth="1"/>
    <col min="6142" max="6144" width="11.6328125" style="2" customWidth="1"/>
    <col min="6145" max="6146" width="9.6328125" style="2" customWidth="1"/>
    <col min="6147" max="6147" width="15.08984375" style="2" bestFit="1" customWidth="1"/>
    <col min="6148" max="6396" width="8.6328125" style="2"/>
    <col min="6397" max="6397" width="6.08984375" style="2" customWidth="1"/>
    <col min="6398" max="6400" width="11.6328125" style="2" customWidth="1"/>
    <col min="6401" max="6402" width="9.6328125" style="2" customWidth="1"/>
    <col min="6403" max="6403" width="15.08984375" style="2" bestFit="1" customWidth="1"/>
    <col min="6404" max="6652" width="8.6328125" style="2"/>
    <col min="6653" max="6653" width="6.08984375" style="2" customWidth="1"/>
    <col min="6654" max="6656" width="11.6328125" style="2" customWidth="1"/>
    <col min="6657" max="6658" width="9.6328125" style="2" customWidth="1"/>
    <col min="6659" max="6659" width="15.08984375" style="2" bestFit="1" customWidth="1"/>
    <col min="6660" max="6908" width="8.6328125" style="2"/>
    <col min="6909" max="6909" width="6.08984375" style="2" customWidth="1"/>
    <col min="6910" max="6912" width="11.6328125" style="2" customWidth="1"/>
    <col min="6913" max="6914" width="9.6328125" style="2" customWidth="1"/>
    <col min="6915" max="6915" width="15.08984375" style="2" bestFit="1" customWidth="1"/>
    <col min="6916" max="7164" width="8.6328125" style="2"/>
    <col min="7165" max="7165" width="6.08984375" style="2" customWidth="1"/>
    <col min="7166" max="7168" width="11.6328125" style="2" customWidth="1"/>
    <col min="7169" max="7170" width="9.6328125" style="2" customWidth="1"/>
    <col min="7171" max="7171" width="15.08984375" style="2" bestFit="1" customWidth="1"/>
    <col min="7172" max="7420" width="8.6328125" style="2"/>
    <col min="7421" max="7421" width="6.08984375" style="2" customWidth="1"/>
    <col min="7422" max="7424" width="11.6328125" style="2" customWidth="1"/>
    <col min="7425" max="7426" width="9.6328125" style="2" customWidth="1"/>
    <col min="7427" max="7427" width="15.08984375" style="2" bestFit="1" customWidth="1"/>
    <col min="7428" max="7676" width="8.6328125" style="2"/>
    <col min="7677" max="7677" width="6.08984375" style="2" customWidth="1"/>
    <col min="7678" max="7680" width="11.6328125" style="2" customWidth="1"/>
    <col min="7681" max="7682" width="9.6328125" style="2" customWidth="1"/>
    <col min="7683" max="7683" width="15.08984375" style="2" bestFit="1" customWidth="1"/>
    <col min="7684" max="7932" width="8.6328125" style="2"/>
    <col min="7933" max="7933" width="6.08984375" style="2" customWidth="1"/>
    <col min="7934" max="7936" width="11.6328125" style="2" customWidth="1"/>
    <col min="7937" max="7938" width="9.6328125" style="2" customWidth="1"/>
    <col min="7939" max="7939" width="15.08984375" style="2" bestFit="1" customWidth="1"/>
    <col min="7940" max="8188" width="8.6328125" style="2"/>
    <col min="8189" max="8189" width="6.08984375" style="2" customWidth="1"/>
    <col min="8190" max="8192" width="11.6328125" style="2" customWidth="1"/>
    <col min="8193" max="8194" width="9.6328125" style="2" customWidth="1"/>
    <col min="8195" max="8195" width="15.08984375" style="2" bestFit="1" customWidth="1"/>
    <col min="8196" max="8444" width="8.6328125" style="2"/>
    <col min="8445" max="8445" width="6.08984375" style="2" customWidth="1"/>
    <col min="8446" max="8448" width="11.6328125" style="2" customWidth="1"/>
    <col min="8449" max="8450" width="9.6328125" style="2" customWidth="1"/>
    <col min="8451" max="8451" width="15.08984375" style="2" bestFit="1" customWidth="1"/>
    <col min="8452" max="8700" width="8.6328125" style="2"/>
    <col min="8701" max="8701" width="6.08984375" style="2" customWidth="1"/>
    <col min="8702" max="8704" width="11.6328125" style="2" customWidth="1"/>
    <col min="8705" max="8706" width="9.6328125" style="2" customWidth="1"/>
    <col min="8707" max="8707" width="15.08984375" style="2" bestFit="1" customWidth="1"/>
    <col min="8708" max="8956" width="8.6328125" style="2"/>
    <col min="8957" max="8957" width="6.08984375" style="2" customWidth="1"/>
    <col min="8958" max="8960" width="11.6328125" style="2" customWidth="1"/>
    <col min="8961" max="8962" width="9.6328125" style="2" customWidth="1"/>
    <col min="8963" max="8963" width="15.08984375" style="2" bestFit="1" customWidth="1"/>
    <col min="8964" max="9212" width="8.6328125" style="2"/>
    <col min="9213" max="9213" width="6.08984375" style="2" customWidth="1"/>
    <col min="9214" max="9216" width="11.6328125" style="2" customWidth="1"/>
    <col min="9217" max="9218" width="9.6328125" style="2" customWidth="1"/>
    <col min="9219" max="9219" width="15.08984375" style="2" bestFit="1" customWidth="1"/>
    <col min="9220" max="9468" width="8.6328125" style="2"/>
    <col min="9469" max="9469" width="6.08984375" style="2" customWidth="1"/>
    <col min="9470" max="9472" width="11.6328125" style="2" customWidth="1"/>
    <col min="9473" max="9474" width="9.6328125" style="2" customWidth="1"/>
    <col min="9475" max="9475" width="15.08984375" style="2" bestFit="1" customWidth="1"/>
    <col min="9476" max="9724" width="8.6328125" style="2"/>
    <col min="9725" max="9725" width="6.08984375" style="2" customWidth="1"/>
    <col min="9726" max="9728" width="11.6328125" style="2" customWidth="1"/>
    <col min="9729" max="9730" width="9.6328125" style="2" customWidth="1"/>
    <col min="9731" max="9731" width="15.08984375" style="2" bestFit="1" customWidth="1"/>
    <col min="9732" max="9980" width="8.6328125" style="2"/>
    <col min="9981" max="9981" width="6.08984375" style="2" customWidth="1"/>
    <col min="9982" max="9984" width="11.6328125" style="2" customWidth="1"/>
    <col min="9985" max="9986" width="9.6328125" style="2" customWidth="1"/>
    <col min="9987" max="9987" width="15.08984375" style="2" bestFit="1" customWidth="1"/>
    <col min="9988" max="10236" width="8.6328125" style="2"/>
    <col min="10237" max="10237" width="6.08984375" style="2" customWidth="1"/>
    <col min="10238" max="10240" width="11.6328125" style="2" customWidth="1"/>
    <col min="10241" max="10242" width="9.6328125" style="2" customWidth="1"/>
    <col min="10243" max="10243" width="15.08984375" style="2" bestFit="1" customWidth="1"/>
    <col min="10244" max="10492" width="8.6328125" style="2"/>
    <col min="10493" max="10493" width="6.08984375" style="2" customWidth="1"/>
    <col min="10494" max="10496" width="11.6328125" style="2" customWidth="1"/>
    <col min="10497" max="10498" width="9.6328125" style="2" customWidth="1"/>
    <col min="10499" max="10499" width="15.08984375" style="2" bestFit="1" customWidth="1"/>
    <col min="10500" max="10748" width="8.6328125" style="2"/>
    <col min="10749" max="10749" width="6.08984375" style="2" customWidth="1"/>
    <col min="10750" max="10752" width="11.6328125" style="2" customWidth="1"/>
    <col min="10753" max="10754" width="9.6328125" style="2" customWidth="1"/>
    <col min="10755" max="10755" width="15.08984375" style="2" bestFit="1" customWidth="1"/>
    <col min="10756" max="11004" width="8.6328125" style="2"/>
    <col min="11005" max="11005" width="6.08984375" style="2" customWidth="1"/>
    <col min="11006" max="11008" width="11.6328125" style="2" customWidth="1"/>
    <col min="11009" max="11010" width="9.6328125" style="2" customWidth="1"/>
    <col min="11011" max="11011" width="15.08984375" style="2" bestFit="1" customWidth="1"/>
    <col min="11012" max="11260" width="8.6328125" style="2"/>
    <col min="11261" max="11261" width="6.08984375" style="2" customWidth="1"/>
    <col min="11262" max="11264" width="11.6328125" style="2" customWidth="1"/>
    <col min="11265" max="11266" width="9.6328125" style="2" customWidth="1"/>
    <col min="11267" max="11267" width="15.08984375" style="2" bestFit="1" customWidth="1"/>
    <col min="11268" max="11516" width="8.6328125" style="2"/>
    <col min="11517" max="11517" width="6.08984375" style="2" customWidth="1"/>
    <col min="11518" max="11520" width="11.6328125" style="2" customWidth="1"/>
    <col min="11521" max="11522" width="9.6328125" style="2" customWidth="1"/>
    <col min="11523" max="11523" width="15.08984375" style="2" bestFit="1" customWidth="1"/>
    <col min="11524" max="11772" width="8.6328125" style="2"/>
    <col min="11773" max="11773" width="6.08984375" style="2" customWidth="1"/>
    <col min="11774" max="11776" width="11.6328125" style="2" customWidth="1"/>
    <col min="11777" max="11778" width="9.6328125" style="2" customWidth="1"/>
    <col min="11779" max="11779" width="15.08984375" style="2" bestFit="1" customWidth="1"/>
    <col min="11780" max="12028" width="8.6328125" style="2"/>
    <col min="12029" max="12029" width="6.08984375" style="2" customWidth="1"/>
    <col min="12030" max="12032" width="11.6328125" style="2" customWidth="1"/>
    <col min="12033" max="12034" width="9.6328125" style="2" customWidth="1"/>
    <col min="12035" max="12035" width="15.08984375" style="2" bestFit="1" customWidth="1"/>
    <col min="12036" max="12284" width="8.6328125" style="2"/>
    <col min="12285" max="12285" width="6.08984375" style="2" customWidth="1"/>
    <col min="12286" max="12288" width="11.6328125" style="2" customWidth="1"/>
    <col min="12289" max="12290" width="9.6328125" style="2" customWidth="1"/>
    <col min="12291" max="12291" width="15.08984375" style="2" bestFit="1" customWidth="1"/>
    <col min="12292" max="12540" width="8.6328125" style="2"/>
    <col min="12541" max="12541" width="6.08984375" style="2" customWidth="1"/>
    <col min="12542" max="12544" width="11.6328125" style="2" customWidth="1"/>
    <col min="12545" max="12546" width="9.6328125" style="2" customWidth="1"/>
    <col min="12547" max="12547" width="15.08984375" style="2" bestFit="1" customWidth="1"/>
    <col min="12548" max="12796" width="8.6328125" style="2"/>
    <col min="12797" max="12797" width="6.08984375" style="2" customWidth="1"/>
    <col min="12798" max="12800" width="11.6328125" style="2" customWidth="1"/>
    <col min="12801" max="12802" width="9.6328125" style="2" customWidth="1"/>
    <col min="12803" max="12803" width="15.08984375" style="2" bestFit="1" customWidth="1"/>
    <col min="12804" max="13052" width="8.6328125" style="2"/>
    <col min="13053" max="13053" width="6.08984375" style="2" customWidth="1"/>
    <col min="13054" max="13056" width="11.6328125" style="2" customWidth="1"/>
    <col min="13057" max="13058" width="9.6328125" style="2" customWidth="1"/>
    <col min="13059" max="13059" width="15.08984375" style="2" bestFit="1" customWidth="1"/>
    <col min="13060" max="13308" width="8.6328125" style="2"/>
    <col min="13309" max="13309" width="6.08984375" style="2" customWidth="1"/>
    <col min="13310" max="13312" width="11.6328125" style="2" customWidth="1"/>
    <col min="13313" max="13314" width="9.6328125" style="2" customWidth="1"/>
    <col min="13315" max="13315" width="15.08984375" style="2" bestFit="1" customWidth="1"/>
    <col min="13316" max="13564" width="8.6328125" style="2"/>
    <col min="13565" max="13565" width="6.08984375" style="2" customWidth="1"/>
    <col min="13566" max="13568" width="11.6328125" style="2" customWidth="1"/>
    <col min="13569" max="13570" width="9.6328125" style="2" customWidth="1"/>
    <col min="13571" max="13571" width="15.08984375" style="2" bestFit="1" customWidth="1"/>
    <col min="13572" max="13820" width="8.6328125" style="2"/>
    <col min="13821" max="13821" width="6.08984375" style="2" customWidth="1"/>
    <col min="13822" max="13824" width="11.6328125" style="2" customWidth="1"/>
    <col min="13825" max="13826" width="9.6328125" style="2" customWidth="1"/>
    <col min="13827" max="13827" width="15.08984375" style="2" bestFit="1" customWidth="1"/>
    <col min="13828" max="14076" width="8.6328125" style="2"/>
    <col min="14077" max="14077" width="6.08984375" style="2" customWidth="1"/>
    <col min="14078" max="14080" width="11.6328125" style="2" customWidth="1"/>
    <col min="14081" max="14082" width="9.6328125" style="2" customWidth="1"/>
    <col min="14083" max="14083" width="15.08984375" style="2" bestFit="1" customWidth="1"/>
    <col min="14084" max="14332" width="8.6328125" style="2"/>
    <col min="14333" max="14333" width="6.08984375" style="2" customWidth="1"/>
    <col min="14334" max="14336" width="11.6328125" style="2" customWidth="1"/>
    <col min="14337" max="14338" width="9.6328125" style="2" customWidth="1"/>
    <col min="14339" max="14339" width="15.08984375" style="2" bestFit="1" customWidth="1"/>
    <col min="14340" max="14588" width="8.6328125" style="2"/>
    <col min="14589" max="14589" width="6.08984375" style="2" customWidth="1"/>
    <col min="14590" max="14592" width="11.6328125" style="2" customWidth="1"/>
    <col min="14593" max="14594" width="9.6328125" style="2" customWidth="1"/>
    <col min="14595" max="14595" width="15.08984375" style="2" bestFit="1" customWidth="1"/>
    <col min="14596" max="14844" width="8.6328125" style="2"/>
    <col min="14845" max="14845" width="6.08984375" style="2" customWidth="1"/>
    <col min="14846" max="14848" width="11.6328125" style="2" customWidth="1"/>
    <col min="14849" max="14850" width="9.6328125" style="2" customWidth="1"/>
    <col min="14851" max="14851" width="15.08984375" style="2" bestFit="1" customWidth="1"/>
    <col min="14852" max="15100" width="8.6328125" style="2"/>
    <col min="15101" max="15101" width="6.08984375" style="2" customWidth="1"/>
    <col min="15102" max="15104" width="11.6328125" style="2" customWidth="1"/>
    <col min="15105" max="15106" width="9.6328125" style="2" customWidth="1"/>
    <col min="15107" max="15107" width="15.08984375" style="2" bestFit="1" customWidth="1"/>
    <col min="15108" max="15356" width="8.6328125" style="2"/>
    <col min="15357" max="15357" width="6.08984375" style="2" customWidth="1"/>
    <col min="15358" max="15360" width="11.6328125" style="2" customWidth="1"/>
    <col min="15361" max="15362" width="9.6328125" style="2" customWidth="1"/>
    <col min="15363" max="15363" width="15.08984375" style="2" bestFit="1" customWidth="1"/>
    <col min="15364" max="15612" width="8.6328125" style="2"/>
    <col min="15613" max="15613" width="6.08984375" style="2" customWidth="1"/>
    <col min="15614" max="15616" width="11.6328125" style="2" customWidth="1"/>
    <col min="15617" max="15618" width="9.6328125" style="2" customWidth="1"/>
    <col min="15619" max="15619" width="15.08984375" style="2" bestFit="1" customWidth="1"/>
    <col min="15620" max="15868" width="8.6328125" style="2"/>
    <col min="15869" max="15869" width="6.08984375" style="2" customWidth="1"/>
    <col min="15870" max="15872" width="11.6328125" style="2" customWidth="1"/>
    <col min="15873" max="15874" width="9.6328125" style="2" customWidth="1"/>
    <col min="15875" max="15875" width="15.08984375" style="2" bestFit="1" customWidth="1"/>
    <col min="15876" max="16124" width="8.6328125" style="2"/>
    <col min="16125" max="16125" width="6.08984375" style="2" customWidth="1"/>
    <col min="16126" max="16128" width="11.6328125" style="2" customWidth="1"/>
    <col min="16129" max="16130" width="9.6328125" style="2" customWidth="1"/>
    <col min="16131" max="16131" width="15.08984375" style="2" bestFit="1" customWidth="1"/>
    <col min="16132" max="16380" width="8.6328125" style="2"/>
    <col min="16381" max="16384" width="8.6328125" style="2" customWidth="1"/>
  </cols>
  <sheetData>
    <row r="1" spans="1:7">
      <c r="A1" s="925" t="s">
        <v>413</v>
      </c>
      <c r="B1" s="925"/>
      <c r="C1" s="925"/>
      <c r="D1" s="925"/>
      <c r="E1" s="925"/>
      <c r="F1" s="925"/>
    </row>
    <row r="2" spans="1:7">
      <c r="A2" s="925" t="s">
        <v>171</v>
      </c>
      <c r="B2" s="925"/>
      <c r="C2" s="925"/>
      <c r="D2" s="925"/>
      <c r="E2" s="925"/>
      <c r="F2" s="925"/>
    </row>
    <row r="3" spans="1:7">
      <c r="A3" s="926" t="str">
        <f>'Act Att-H'!C7</f>
        <v>Black Hills Colorado Electric, LLC</v>
      </c>
      <c r="B3" s="926"/>
      <c r="C3" s="926"/>
      <c r="D3" s="926"/>
      <c r="E3" s="926"/>
      <c r="F3" s="926"/>
    </row>
    <row r="4" spans="1:7" s="206" customFormat="1">
      <c r="F4" s="192" t="s">
        <v>515</v>
      </c>
    </row>
    <row r="5" spans="1:7">
      <c r="A5" s="398"/>
      <c r="B5" s="398"/>
      <c r="C5" s="398"/>
      <c r="D5" s="398"/>
      <c r="E5" s="398"/>
      <c r="F5" s="398"/>
    </row>
    <row r="7" spans="1:7">
      <c r="A7" s="397"/>
      <c r="B7" s="397"/>
      <c r="C7" s="172"/>
      <c r="D7" s="172" t="s">
        <v>590</v>
      </c>
      <c r="E7" s="172" t="s">
        <v>591</v>
      </c>
    </row>
    <row r="8" spans="1:7">
      <c r="B8" s="397"/>
      <c r="C8" s="172"/>
      <c r="D8" s="172" t="s">
        <v>483</v>
      </c>
      <c r="E8" s="172" t="s">
        <v>539</v>
      </c>
      <c r="F8" s="213"/>
    </row>
    <row r="9" spans="1:7">
      <c r="A9" s="398" t="s">
        <v>4</v>
      </c>
      <c r="B9" s="172" t="s">
        <v>368</v>
      </c>
      <c r="C9" s="172" t="s">
        <v>589</v>
      </c>
      <c r="D9" s="674">
        <v>44531</v>
      </c>
      <c r="E9" s="674">
        <v>44896</v>
      </c>
      <c r="F9" s="172" t="s">
        <v>588</v>
      </c>
    </row>
    <row r="10" spans="1:7" ht="13.8" thickBot="1">
      <c r="A10" s="400" t="s">
        <v>6</v>
      </c>
      <c r="B10" s="399" t="s">
        <v>138</v>
      </c>
      <c r="C10" s="399" t="s">
        <v>139</v>
      </c>
      <c r="D10" s="399" t="s">
        <v>140</v>
      </c>
      <c r="E10" s="399" t="s">
        <v>141</v>
      </c>
      <c r="F10" s="399" t="s">
        <v>142</v>
      </c>
    </row>
    <row r="11" spans="1:7">
      <c r="A11" s="193">
        <v>1</v>
      </c>
    </row>
    <row r="12" spans="1:7" ht="15" customHeight="1">
      <c r="A12" s="193">
        <f t="shared" ref="A12:A15" si="0">+A11+1</f>
        <v>2</v>
      </c>
      <c r="B12" s="396" t="s">
        <v>118</v>
      </c>
      <c r="C12" s="194" t="s">
        <v>596</v>
      </c>
      <c r="D12" s="720">
        <v>0</v>
      </c>
      <c r="E12" s="720">
        <v>0</v>
      </c>
      <c r="F12" s="195">
        <f>(D12+E12)/2</f>
        <v>0</v>
      </c>
    </row>
    <row r="13" spans="1:7" ht="15" customHeight="1">
      <c r="A13" s="193">
        <f t="shared" si="0"/>
        <v>3</v>
      </c>
      <c r="B13" s="396" t="s">
        <v>119</v>
      </c>
      <c r="C13" s="194" t="s">
        <v>593</v>
      </c>
      <c r="D13" s="720">
        <v>-130446407</v>
      </c>
      <c r="E13" s="720">
        <v>-132909277</v>
      </c>
      <c r="F13" s="195">
        <f>(D13+E13)/2</f>
        <v>-131677842</v>
      </c>
    </row>
    <row r="14" spans="1:7" ht="15" customHeight="1">
      <c r="A14" s="193">
        <f t="shared" si="0"/>
        <v>4</v>
      </c>
      <c r="B14" s="396" t="s">
        <v>120</v>
      </c>
      <c r="C14" s="194" t="s">
        <v>594</v>
      </c>
      <c r="D14" s="720">
        <v>-41588756</v>
      </c>
      <c r="E14" s="720">
        <v>-70683636</v>
      </c>
      <c r="F14" s="195">
        <f>(D14+E14)/2</f>
        <v>-56136196</v>
      </c>
    </row>
    <row r="15" spans="1:7" ht="15" customHeight="1">
      <c r="A15" s="193">
        <f t="shared" si="0"/>
        <v>5</v>
      </c>
      <c r="B15" s="396" t="s">
        <v>121</v>
      </c>
      <c r="C15" s="194" t="s">
        <v>595</v>
      </c>
      <c r="D15" s="720">
        <v>74956049</v>
      </c>
      <c r="E15" s="720">
        <v>73130366</v>
      </c>
      <c r="F15" s="195">
        <f>(D15+E15)/2</f>
        <v>74043207.5</v>
      </c>
      <c r="G15" s="543"/>
    </row>
    <row r="16" spans="1:7">
      <c r="A16" s="193">
        <v>6</v>
      </c>
      <c r="G16" s="396"/>
    </row>
    <row r="17" spans="1:7">
      <c r="A17" s="193">
        <v>7</v>
      </c>
      <c r="B17" s="650" t="s">
        <v>770</v>
      </c>
      <c r="C17" s="195"/>
      <c r="D17" s="50"/>
      <c r="E17" s="50"/>
      <c r="F17" s="50"/>
      <c r="G17" s="543"/>
    </row>
    <row r="18" spans="1:7">
      <c r="A18" s="193">
        <v>8</v>
      </c>
      <c r="B18" s="610" t="s">
        <v>733</v>
      </c>
      <c r="C18" s="195"/>
      <c r="D18" s="50"/>
      <c r="E18" s="50"/>
      <c r="F18" s="50"/>
      <c r="G18" s="543"/>
    </row>
    <row r="19" spans="1:7" s="883" customFormat="1">
      <c r="A19" s="193">
        <f>A18+1</f>
        <v>9</v>
      </c>
      <c r="B19" s="610" t="s">
        <v>1195</v>
      </c>
      <c r="C19" s="880" t="s">
        <v>685</v>
      </c>
      <c r="D19" s="720">
        <v>-7860</v>
      </c>
      <c r="E19" s="720">
        <v>-7860</v>
      </c>
      <c r="F19" s="882">
        <f>(D19+E19)/2</f>
        <v>-7860</v>
      </c>
    </row>
    <row r="20" spans="1:7" s="883" customFormat="1">
      <c r="A20" s="193">
        <f t="shared" ref="A20:A46" si="1">A19+1</f>
        <v>10</v>
      </c>
      <c r="B20" s="610" t="s">
        <v>1196</v>
      </c>
      <c r="C20" s="880" t="s">
        <v>685</v>
      </c>
      <c r="D20" s="720">
        <v>6251203.5</v>
      </c>
      <c r="E20" s="720">
        <v>11193378</v>
      </c>
      <c r="F20" s="882">
        <f t="shared" ref="F20:F46" si="2">(D20+E20)/2</f>
        <v>8722290.75</v>
      </c>
    </row>
    <row r="21" spans="1:7" s="883" customFormat="1">
      <c r="A21" s="193">
        <f t="shared" si="1"/>
        <v>11</v>
      </c>
      <c r="B21" s="610" t="s">
        <v>883</v>
      </c>
      <c r="C21" s="880" t="s">
        <v>685</v>
      </c>
      <c r="D21" s="720">
        <v>-1728267.62</v>
      </c>
      <c r="E21" s="720">
        <v>-2255250</v>
      </c>
      <c r="F21" s="882">
        <f t="shared" si="2"/>
        <v>-1991758.81</v>
      </c>
    </row>
    <row r="22" spans="1:7" s="883" customFormat="1">
      <c r="A22" s="193">
        <f t="shared" si="1"/>
        <v>12</v>
      </c>
      <c r="B22" s="610" t="s">
        <v>250</v>
      </c>
      <c r="C22" s="880" t="s">
        <v>685</v>
      </c>
      <c r="D22" s="720">
        <v>-2.87</v>
      </c>
      <c r="E22" s="720">
        <v>-132</v>
      </c>
      <c r="F22" s="882">
        <f t="shared" si="2"/>
        <v>-67.435000000000002</v>
      </c>
    </row>
    <row r="23" spans="1:7" s="883" customFormat="1">
      <c r="A23" s="193">
        <f t="shared" si="1"/>
        <v>13</v>
      </c>
      <c r="B23" s="610" t="s">
        <v>1197</v>
      </c>
      <c r="C23" s="880" t="s">
        <v>685</v>
      </c>
      <c r="D23" s="720">
        <v>1624366.34</v>
      </c>
      <c r="E23" s="720">
        <v>3118390</v>
      </c>
      <c r="F23" s="882">
        <f t="shared" si="2"/>
        <v>2371378.17</v>
      </c>
    </row>
    <row r="24" spans="1:7" s="883" customFormat="1">
      <c r="A24" s="193">
        <f t="shared" si="1"/>
        <v>14</v>
      </c>
      <c r="B24" s="610" t="s">
        <v>1198</v>
      </c>
      <c r="C24" s="880" t="s">
        <v>685</v>
      </c>
      <c r="D24" s="720">
        <v>155752.26</v>
      </c>
      <c r="E24" s="720">
        <v>-158205</v>
      </c>
      <c r="F24" s="882">
        <f t="shared" si="2"/>
        <v>-1226.3699999999953</v>
      </c>
    </row>
    <row r="25" spans="1:7" s="883" customFormat="1">
      <c r="A25" s="193">
        <f t="shared" si="1"/>
        <v>15</v>
      </c>
      <c r="B25" s="610" t="s">
        <v>1199</v>
      </c>
      <c r="C25" s="880" t="s">
        <v>685</v>
      </c>
      <c r="D25" s="720">
        <v>704615.93</v>
      </c>
      <c r="E25" s="720">
        <v>898706</v>
      </c>
      <c r="F25" s="882">
        <f t="shared" si="2"/>
        <v>801660.96500000008</v>
      </c>
    </row>
    <row r="26" spans="1:7" s="883" customFormat="1">
      <c r="A26" s="193">
        <f t="shared" si="1"/>
        <v>16</v>
      </c>
      <c r="B26" s="610" t="s">
        <v>1200</v>
      </c>
      <c r="C26" s="880" t="s">
        <v>685</v>
      </c>
      <c r="D26" s="720">
        <v>0</v>
      </c>
      <c r="E26" s="720">
        <v>0</v>
      </c>
      <c r="F26" s="882">
        <f t="shared" si="2"/>
        <v>0</v>
      </c>
    </row>
    <row r="27" spans="1:7" s="883" customFormat="1">
      <c r="A27" s="193">
        <f t="shared" si="1"/>
        <v>17</v>
      </c>
      <c r="B27" s="610" t="s">
        <v>1201</v>
      </c>
      <c r="C27" s="880" t="s">
        <v>685</v>
      </c>
      <c r="D27" s="720">
        <v>0</v>
      </c>
      <c r="E27" s="720">
        <v>0</v>
      </c>
      <c r="F27" s="882">
        <f t="shared" si="2"/>
        <v>0</v>
      </c>
    </row>
    <row r="28" spans="1:7" s="883" customFormat="1">
      <c r="A28" s="193">
        <f t="shared" si="1"/>
        <v>18</v>
      </c>
      <c r="B28" s="610" t="s">
        <v>1202</v>
      </c>
      <c r="C28" s="880" t="s">
        <v>685</v>
      </c>
      <c r="D28" s="720">
        <v>241265.57</v>
      </c>
      <c r="E28" s="720">
        <v>229515</v>
      </c>
      <c r="F28" s="882">
        <f t="shared" si="2"/>
        <v>235390.285</v>
      </c>
    </row>
    <row r="29" spans="1:7" s="883" customFormat="1">
      <c r="A29" s="193">
        <f t="shared" si="1"/>
        <v>19</v>
      </c>
      <c r="B29" s="610" t="s">
        <v>1203</v>
      </c>
      <c r="C29" s="880" t="s">
        <v>685</v>
      </c>
      <c r="D29" s="720">
        <v>-2071443.51</v>
      </c>
      <c r="E29" s="720">
        <v>-2191580</v>
      </c>
      <c r="F29" s="882">
        <f t="shared" si="2"/>
        <v>-2131511.7549999999</v>
      </c>
    </row>
    <row r="30" spans="1:7" s="883" customFormat="1">
      <c r="A30" s="193">
        <f t="shared" si="1"/>
        <v>20</v>
      </c>
      <c r="B30" s="610" t="s">
        <v>1204</v>
      </c>
      <c r="C30" s="880" t="s">
        <v>685</v>
      </c>
      <c r="D30" s="720">
        <v>37311454.280000001</v>
      </c>
      <c r="E30" s="720">
        <v>39997885</v>
      </c>
      <c r="F30" s="882">
        <f t="shared" si="2"/>
        <v>38654669.640000001</v>
      </c>
    </row>
    <row r="31" spans="1:7" s="883" customFormat="1">
      <c r="A31" s="193">
        <f t="shared" si="1"/>
        <v>21</v>
      </c>
      <c r="B31" s="610" t="s">
        <v>1205</v>
      </c>
      <c r="C31" s="880" t="s">
        <v>685</v>
      </c>
      <c r="D31" s="720">
        <v>-19474178.439999998</v>
      </c>
      <c r="E31" s="720">
        <v>516906</v>
      </c>
      <c r="F31" s="882">
        <f t="shared" si="2"/>
        <v>-9478636.2199999988</v>
      </c>
    </row>
    <row r="32" spans="1:7" s="883" customFormat="1">
      <c r="A32" s="193">
        <f t="shared" si="1"/>
        <v>22</v>
      </c>
      <c r="B32" s="610" t="s">
        <v>1206</v>
      </c>
      <c r="C32" s="880" t="s">
        <v>685</v>
      </c>
      <c r="D32" s="720">
        <v>-1339657.6299999999</v>
      </c>
      <c r="E32" s="720">
        <v>-1601214</v>
      </c>
      <c r="F32" s="882">
        <f t="shared" si="2"/>
        <v>-1470435.8149999999</v>
      </c>
    </row>
    <row r="33" spans="1:7" s="883" customFormat="1">
      <c r="A33" s="193">
        <f t="shared" si="1"/>
        <v>23</v>
      </c>
      <c r="B33" s="610" t="s">
        <v>1207</v>
      </c>
      <c r="C33" s="880" t="s">
        <v>685</v>
      </c>
      <c r="D33" s="720">
        <v>-29311.849999999977</v>
      </c>
      <c r="E33" s="720">
        <v>-24590</v>
      </c>
      <c r="F33" s="882">
        <f t="shared" si="2"/>
        <v>-26950.924999999988</v>
      </c>
    </row>
    <row r="34" spans="1:7" s="883" customFormat="1">
      <c r="A34" s="193">
        <f t="shared" si="1"/>
        <v>24</v>
      </c>
      <c r="B34" s="610" t="s">
        <v>1001</v>
      </c>
      <c r="C34" s="880" t="s">
        <v>685</v>
      </c>
      <c r="D34" s="720">
        <v>0</v>
      </c>
      <c r="E34" s="720">
        <v>0</v>
      </c>
      <c r="F34" s="882">
        <f t="shared" si="2"/>
        <v>0</v>
      </c>
    </row>
    <row r="35" spans="1:7" s="883" customFormat="1">
      <c r="A35" s="193">
        <f t="shared" si="1"/>
        <v>25</v>
      </c>
      <c r="B35" s="610" t="s">
        <v>1208</v>
      </c>
      <c r="C35" s="880" t="s">
        <v>685</v>
      </c>
      <c r="D35" s="720">
        <v>-26565538.25</v>
      </c>
      <c r="E35" s="720">
        <v>-31703866</v>
      </c>
      <c r="F35" s="882">
        <f t="shared" si="2"/>
        <v>-29134702.125</v>
      </c>
    </row>
    <row r="36" spans="1:7" s="883" customFormat="1">
      <c r="A36" s="193">
        <f t="shared" si="1"/>
        <v>26</v>
      </c>
      <c r="B36" s="610" t="s">
        <v>882</v>
      </c>
      <c r="C36" s="880" t="s">
        <v>685</v>
      </c>
      <c r="D36" s="720">
        <v>-343526.58</v>
      </c>
      <c r="E36" s="720">
        <v>-362511</v>
      </c>
      <c r="F36" s="882">
        <f t="shared" si="2"/>
        <v>-353018.79000000004</v>
      </c>
    </row>
    <row r="37" spans="1:7" s="883" customFormat="1">
      <c r="A37" s="193">
        <f t="shared" si="1"/>
        <v>27</v>
      </c>
      <c r="B37" s="610" t="s">
        <v>1209</v>
      </c>
      <c r="C37" s="880" t="s">
        <v>685</v>
      </c>
      <c r="D37" s="720">
        <v>0</v>
      </c>
      <c r="E37" s="720">
        <v>0</v>
      </c>
      <c r="F37" s="882">
        <f t="shared" si="2"/>
        <v>0</v>
      </c>
    </row>
    <row r="38" spans="1:7" s="883" customFormat="1">
      <c r="A38" s="193">
        <f t="shared" si="1"/>
        <v>28</v>
      </c>
      <c r="B38" s="610" t="s">
        <v>1210</v>
      </c>
      <c r="C38" s="880" t="s">
        <v>685</v>
      </c>
      <c r="D38" s="720">
        <v>0.03</v>
      </c>
      <c r="E38" s="720">
        <v>-18823</v>
      </c>
      <c r="F38" s="882">
        <f t="shared" si="2"/>
        <v>-9411.4850000000006</v>
      </c>
    </row>
    <row r="39" spans="1:7" s="883" customFormat="1">
      <c r="A39" s="193">
        <f t="shared" si="1"/>
        <v>29</v>
      </c>
      <c r="B39" s="610" t="s">
        <v>1211</v>
      </c>
      <c r="C39" s="880" t="s">
        <v>685</v>
      </c>
      <c r="D39" s="720">
        <v>-663.59</v>
      </c>
      <c r="E39" s="720">
        <v>7852</v>
      </c>
      <c r="F39" s="882">
        <f t="shared" si="2"/>
        <v>3594.2049999999999</v>
      </c>
    </row>
    <row r="40" spans="1:7" s="883" customFormat="1">
      <c r="A40" s="193">
        <f t="shared" si="1"/>
        <v>30</v>
      </c>
      <c r="B40" s="610" t="s">
        <v>1212</v>
      </c>
      <c r="C40" s="880" t="s">
        <v>685</v>
      </c>
      <c r="D40" s="720">
        <v>0</v>
      </c>
      <c r="E40" s="720">
        <v>0</v>
      </c>
      <c r="F40" s="882">
        <f t="shared" si="2"/>
        <v>0</v>
      </c>
    </row>
    <row r="41" spans="1:7" s="883" customFormat="1">
      <c r="A41" s="193">
        <f t="shared" si="1"/>
        <v>31</v>
      </c>
      <c r="B41" s="610" t="s">
        <v>880</v>
      </c>
      <c r="C41" s="880" t="s">
        <v>685</v>
      </c>
      <c r="D41" s="720">
        <v>-544724.21</v>
      </c>
      <c r="E41" s="720">
        <v>-405359</v>
      </c>
      <c r="F41" s="882">
        <f t="shared" si="2"/>
        <v>-475041.60499999998</v>
      </c>
    </row>
    <row r="42" spans="1:7" s="883" customFormat="1">
      <c r="A42" s="193">
        <f t="shared" si="1"/>
        <v>32</v>
      </c>
      <c r="B42" s="610" t="s">
        <v>1213</v>
      </c>
      <c r="C42" s="880" t="s">
        <v>685</v>
      </c>
      <c r="D42" s="720">
        <v>-218677.25</v>
      </c>
      <c r="E42" s="720">
        <v>-206238</v>
      </c>
      <c r="F42" s="882">
        <f t="shared" si="2"/>
        <v>-212457.625</v>
      </c>
    </row>
    <row r="43" spans="1:7" s="883" customFormat="1">
      <c r="A43" s="193">
        <f t="shared" si="1"/>
        <v>33</v>
      </c>
      <c r="B43" s="610" t="s">
        <v>1214</v>
      </c>
      <c r="C43" s="880" t="s">
        <v>685</v>
      </c>
      <c r="D43" s="720">
        <v>-6524502.5499999998</v>
      </c>
      <c r="E43" s="720">
        <v>-5862894</v>
      </c>
      <c r="F43" s="882">
        <f t="shared" si="2"/>
        <v>-6193698.2750000004</v>
      </c>
    </row>
    <row r="44" spans="1:7" s="883" customFormat="1">
      <c r="A44" s="193">
        <f t="shared" si="1"/>
        <v>34</v>
      </c>
      <c r="B44" s="610" t="s">
        <v>1215</v>
      </c>
      <c r="C44" s="880" t="s">
        <v>685</v>
      </c>
      <c r="D44" s="720">
        <v>-109197.34</v>
      </c>
      <c r="E44" s="720">
        <v>-179705</v>
      </c>
      <c r="F44" s="882">
        <f t="shared" si="2"/>
        <v>-144451.16999999998</v>
      </c>
    </row>
    <row r="45" spans="1:7" s="883" customFormat="1">
      <c r="A45" s="193">
        <f t="shared" si="1"/>
        <v>35</v>
      </c>
      <c r="B45" s="610" t="s">
        <v>1216</v>
      </c>
      <c r="C45" s="880" t="s">
        <v>685</v>
      </c>
      <c r="D45" s="720">
        <v>4475745.42</v>
      </c>
      <c r="E45" s="720">
        <v>2999955</v>
      </c>
      <c r="F45" s="882">
        <f t="shared" si="2"/>
        <v>3737850.21</v>
      </c>
    </row>
    <row r="46" spans="1:7" s="883" customFormat="1">
      <c r="A46" s="193">
        <f t="shared" si="1"/>
        <v>36</v>
      </c>
      <c r="B46" s="881" t="s">
        <v>275</v>
      </c>
      <c r="C46" s="880" t="s">
        <v>685</v>
      </c>
      <c r="D46" s="720">
        <v>0</v>
      </c>
      <c r="E46" s="720">
        <v>0</v>
      </c>
      <c r="F46" s="882">
        <f t="shared" si="2"/>
        <v>0</v>
      </c>
      <c r="G46" s="884"/>
    </row>
    <row r="47" spans="1:7" s="883" customFormat="1">
      <c r="A47" s="193">
        <v>200</v>
      </c>
      <c r="B47" s="883" t="s">
        <v>744</v>
      </c>
      <c r="C47" s="882"/>
      <c r="D47" s="50"/>
      <c r="E47" s="50"/>
      <c r="F47" s="615">
        <f>SUM(F19:F46)</f>
        <v>2895605.8200000105</v>
      </c>
      <c r="G47" s="884"/>
    </row>
    <row r="48" spans="1:7">
      <c r="A48" s="193"/>
      <c r="B48" s="396"/>
      <c r="C48" s="195"/>
      <c r="D48" s="50"/>
      <c r="E48" s="50"/>
      <c r="F48" s="50"/>
      <c r="G48" s="543"/>
    </row>
    <row r="49" spans="1:9" ht="15" customHeight="1">
      <c r="A49" s="193"/>
      <c r="C49" s="212"/>
      <c r="D49" s="212"/>
    </row>
    <row r="50" spans="1:9">
      <c r="A50" s="193"/>
      <c r="B50" s="396"/>
      <c r="C50" s="195"/>
      <c r="D50" s="50"/>
      <c r="E50" s="50"/>
      <c r="F50" s="50"/>
      <c r="G50" s="543"/>
    </row>
    <row r="51" spans="1:9">
      <c r="A51" s="354" t="s">
        <v>172</v>
      </c>
      <c r="G51" s="396"/>
    </row>
    <row r="52" spans="1:9" ht="16.350000000000001" customHeight="1">
      <c r="A52" s="401" t="s">
        <v>76</v>
      </c>
      <c r="B52" s="927" t="s">
        <v>592</v>
      </c>
      <c r="C52" s="927"/>
      <c r="D52" s="927"/>
      <c r="E52" s="927"/>
      <c r="F52" s="927"/>
      <c r="G52" s="396"/>
    </row>
    <row r="53" spans="1:9" ht="16.350000000000001" customHeight="1">
      <c r="A53" s="401" t="s">
        <v>77</v>
      </c>
      <c r="B53" s="927" t="s">
        <v>1084</v>
      </c>
      <c r="C53" s="927"/>
      <c r="D53" s="927"/>
      <c r="E53" s="927"/>
      <c r="F53" s="927"/>
    </row>
    <row r="54" spans="1:9">
      <c r="A54" s="394" t="s">
        <v>78</v>
      </c>
      <c r="B54" s="905" t="s">
        <v>1147</v>
      </c>
      <c r="C54" s="905"/>
      <c r="D54" s="905"/>
      <c r="E54" s="905"/>
      <c r="F54" s="905"/>
      <c r="G54" s="905"/>
      <c r="H54" s="905"/>
      <c r="I54" s="905"/>
    </row>
    <row r="55" spans="1:9">
      <c r="A55" s="394" t="s">
        <v>79</v>
      </c>
      <c r="B55" s="904" t="s">
        <v>1147</v>
      </c>
      <c r="C55" s="904"/>
      <c r="D55" s="904"/>
      <c r="E55" s="904"/>
      <c r="F55" s="904"/>
    </row>
    <row r="56" spans="1:9" ht="28.2" customHeight="1">
      <c r="A56" s="394" t="s">
        <v>80</v>
      </c>
      <c r="B56" s="904" t="s">
        <v>1194</v>
      </c>
      <c r="C56" s="904"/>
      <c r="D56" s="904"/>
      <c r="E56" s="904"/>
      <c r="F56" s="904"/>
    </row>
    <row r="57" spans="1:9">
      <c r="A57" s="193"/>
    </row>
    <row r="58" spans="1:9">
      <c r="A58" s="28"/>
      <c r="C58" s="212"/>
      <c r="D58" s="212"/>
    </row>
    <row r="59" spans="1:9">
      <c r="A59" s="193"/>
      <c r="C59" s="212"/>
      <c r="D59" s="212"/>
    </row>
    <row r="60" spans="1:9">
      <c r="A60" s="193"/>
      <c r="C60" s="212"/>
      <c r="D60" s="212"/>
    </row>
    <row r="61" spans="1:9">
      <c r="A61" s="193"/>
      <c r="C61" s="212"/>
      <c r="D61" s="212"/>
    </row>
    <row r="62" spans="1:9">
      <c r="A62" s="193"/>
      <c r="C62" s="212"/>
      <c r="D62" s="212"/>
    </row>
    <row r="63" spans="1:9">
      <c r="C63" s="212"/>
      <c r="D63" s="212"/>
    </row>
    <row r="67" ht="15" customHeight="1"/>
    <row r="71" ht="15" customHeight="1"/>
    <row r="79" ht="15" customHeight="1"/>
    <row r="82" spans="2:6" ht="15" customHeight="1"/>
    <row r="92" spans="2:6" ht="12.75" customHeight="1">
      <c r="B92" s="904"/>
      <c r="C92" s="904"/>
      <c r="D92" s="904"/>
      <c r="E92" s="904"/>
      <c r="F92" s="904"/>
    </row>
    <row r="93" spans="2:6">
      <c r="B93" s="904"/>
      <c r="C93" s="904"/>
      <c r="D93" s="904"/>
      <c r="E93" s="904"/>
      <c r="F93" s="904"/>
    </row>
    <row r="94" spans="2:6">
      <c r="B94" s="904"/>
      <c r="C94" s="904"/>
      <c r="D94" s="904"/>
      <c r="E94" s="904"/>
      <c r="F94" s="904"/>
    </row>
    <row r="95" spans="2:6">
      <c r="B95" s="904"/>
      <c r="C95" s="904"/>
      <c r="D95" s="904"/>
      <c r="E95" s="904"/>
      <c r="F95" s="904"/>
    </row>
    <row r="96" spans="2:6">
      <c r="B96" s="904"/>
      <c r="C96" s="904"/>
      <c r="D96" s="904"/>
      <c r="E96" s="904"/>
      <c r="F96" s="904"/>
    </row>
    <row r="97" spans="2:6" ht="12.75" customHeight="1">
      <c r="B97" s="904"/>
      <c r="C97" s="904"/>
      <c r="D97" s="904"/>
      <c r="E97" s="904"/>
      <c r="F97" s="904"/>
    </row>
    <row r="98" spans="2:6" ht="12.75" customHeight="1">
      <c r="B98" s="904"/>
      <c r="C98" s="904"/>
      <c r="D98" s="904"/>
      <c r="E98" s="904"/>
      <c r="F98" s="904"/>
    </row>
    <row r="99" spans="2:6" ht="12.75" customHeight="1">
      <c r="B99" s="904"/>
      <c r="C99" s="904"/>
      <c r="D99" s="904"/>
      <c r="E99" s="904"/>
      <c r="F99" s="904"/>
    </row>
    <row r="100" spans="2:6">
      <c r="B100" s="928"/>
      <c r="C100" s="928"/>
      <c r="D100" s="928"/>
      <c r="E100" s="928"/>
      <c r="F100" s="928"/>
    </row>
    <row r="101" spans="2:6">
      <c r="B101" s="928"/>
      <c r="C101" s="928"/>
      <c r="D101" s="928"/>
      <c r="E101" s="928"/>
      <c r="F101" s="928"/>
    </row>
    <row r="102" spans="2:6">
      <c r="B102" s="928"/>
      <c r="C102" s="928"/>
      <c r="D102" s="928"/>
      <c r="E102" s="928"/>
      <c r="F102" s="928"/>
    </row>
    <row r="103" spans="2:6">
      <c r="B103" s="928"/>
      <c r="C103" s="928"/>
      <c r="D103" s="928"/>
      <c r="E103" s="928"/>
      <c r="F103" s="928"/>
    </row>
    <row r="104" spans="2:6">
      <c r="B104" s="928"/>
      <c r="C104" s="928"/>
      <c r="D104" s="928"/>
      <c r="E104" s="928"/>
      <c r="F104" s="928"/>
    </row>
  </sheetData>
  <mergeCells count="17">
    <mergeCell ref="B103:F103"/>
    <mergeCell ref="B104:F104"/>
    <mergeCell ref="B100:F100"/>
    <mergeCell ref="B98:F98"/>
    <mergeCell ref="B99:F99"/>
    <mergeCell ref="B101:F101"/>
    <mergeCell ref="B102:F102"/>
    <mergeCell ref="B97:F97"/>
    <mergeCell ref="A1:F1"/>
    <mergeCell ref="A2:F2"/>
    <mergeCell ref="A3:F3"/>
    <mergeCell ref="B92:F96"/>
    <mergeCell ref="B52:F52"/>
    <mergeCell ref="B53:F53"/>
    <mergeCell ref="B56:F56"/>
    <mergeCell ref="B55:F55"/>
    <mergeCell ref="B54:I5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5D35-C423-4D83-8497-0433DD10D8F4}">
  <sheetPr>
    <tabColor theme="6" tint="0.59999389629810485"/>
  </sheetPr>
  <dimension ref="A1:Q63"/>
  <sheetViews>
    <sheetView zoomScale="80" zoomScaleNormal="80" workbookViewId="0">
      <selection activeCell="G29" sqref="G29"/>
    </sheetView>
  </sheetViews>
  <sheetFormatPr defaultColWidth="8.90625" defaultRowHeight="13.8"/>
  <cols>
    <col min="1" max="1" width="8.90625" style="739" customWidth="1"/>
    <col min="2" max="2" width="50.6328125" style="739" bestFit="1" customWidth="1"/>
    <col min="3" max="3" width="12.81640625" style="739" bestFit="1" customWidth="1"/>
    <col min="4" max="4" width="9.6328125" style="739" customWidth="1"/>
    <col min="5" max="5" width="11.81640625" style="739" customWidth="1"/>
    <col min="6" max="6" width="15.08984375" style="739" bestFit="1" customWidth="1"/>
    <col min="7" max="7" width="11.81640625" style="739" bestFit="1" customWidth="1"/>
    <col min="8" max="8" width="10.81640625" style="739" bestFit="1" customWidth="1"/>
    <col min="9" max="9" width="15.08984375" style="739" customWidth="1"/>
    <col min="10" max="11" width="8.90625" style="739"/>
    <col min="12" max="12" width="11.54296875" style="739" bestFit="1" customWidth="1"/>
    <col min="13" max="13" width="13.1796875" style="739" customWidth="1"/>
    <col min="14" max="14" width="12.08984375" style="739" customWidth="1"/>
    <col min="15" max="15" width="11.54296875" style="739" bestFit="1" customWidth="1"/>
    <col min="16" max="16" width="8.90625" style="739"/>
    <col min="17" max="17" width="12.90625" style="739" bestFit="1" customWidth="1"/>
    <col min="18" max="16384" width="8.90625" style="739"/>
  </cols>
  <sheetData>
    <row r="1" spans="1:17" ht="15.75" customHeight="1">
      <c r="A1" s="934" t="s">
        <v>1009</v>
      </c>
      <c r="B1" s="934"/>
      <c r="C1" s="934"/>
      <c r="D1" s="934"/>
      <c r="E1" s="934"/>
      <c r="F1" s="934"/>
      <c r="G1" s="934"/>
      <c r="H1" s="934"/>
      <c r="I1" s="934"/>
      <c r="J1" s="934"/>
      <c r="K1" s="934"/>
      <c r="L1" s="934"/>
      <c r="M1" s="934"/>
      <c r="N1" s="934"/>
      <c r="O1" s="934"/>
      <c r="P1" s="934"/>
      <c r="Q1" s="934"/>
    </row>
    <row r="2" spans="1:17" s="811" customFormat="1">
      <c r="A2" s="925" t="s">
        <v>1066</v>
      </c>
      <c r="B2" s="925"/>
      <c r="C2" s="925"/>
      <c r="D2" s="925"/>
      <c r="E2" s="925"/>
      <c r="F2" s="925"/>
      <c r="G2" s="925"/>
      <c r="H2" s="925"/>
      <c r="I2" s="925"/>
      <c r="J2" s="925"/>
      <c r="K2" s="925"/>
      <c r="L2" s="925"/>
      <c r="M2" s="925"/>
      <c r="N2" s="925"/>
      <c r="O2" s="925"/>
      <c r="P2" s="925"/>
      <c r="Q2" s="925"/>
    </row>
    <row r="3" spans="1:17">
      <c r="A3" s="926" t="str">
        <f>'Act Att-H'!C7</f>
        <v>Black Hills Colorado Electric, LLC</v>
      </c>
      <c r="B3" s="925"/>
      <c r="C3" s="925"/>
      <c r="D3" s="925"/>
      <c r="E3" s="925"/>
      <c r="F3" s="925"/>
      <c r="G3" s="925"/>
      <c r="H3" s="925"/>
      <c r="I3" s="925"/>
      <c r="J3" s="925"/>
      <c r="K3" s="925"/>
      <c r="L3" s="925"/>
      <c r="M3" s="925"/>
      <c r="N3" s="925"/>
      <c r="O3" s="925"/>
      <c r="P3" s="925"/>
      <c r="Q3" s="925"/>
    </row>
    <row r="4" spans="1:17">
      <c r="A4" s="925" t="str">
        <f>'Act Att-H'!K4</f>
        <v>Actuals - For the 12 months ended 12/31/2022</v>
      </c>
      <c r="B4" s="925"/>
      <c r="C4" s="925"/>
      <c r="D4" s="925"/>
      <c r="E4" s="925"/>
      <c r="F4" s="925"/>
      <c r="G4" s="925"/>
      <c r="H4" s="925"/>
      <c r="I4" s="925"/>
      <c r="J4" s="925"/>
      <c r="K4" s="925"/>
      <c r="L4" s="925"/>
      <c r="M4" s="925"/>
      <c r="N4" s="925"/>
      <c r="O4" s="925"/>
      <c r="P4" s="925"/>
      <c r="Q4" s="925"/>
    </row>
    <row r="6" spans="1:17">
      <c r="A6" s="398"/>
      <c r="B6" s="398"/>
      <c r="C6" s="398"/>
      <c r="D6" s="398"/>
      <c r="E6" s="398"/>
      <c r="F6" s="703"/>
      <c r="G6" s="703"/>
      <c r="H6" s="703"/>
      <c r="I6" s="703"/>
      <c r="J6" s="398"/>
      <c r="K6" s="711"/>
      <c r="L6" s="703"/>
      <c r="M6" s="703"/>
      <c r="N6" s="703"/>
      <c r="O6" s="703"/>
      <c r="P6" s="704"/>
      <c r="Q6" s="704"/>
    </row>
    <row r="7" spans="1:17">
      <c r="A7" s="398"/>
      <c r="B7" s="700"/>
      <c r="C7" s="700"/>
      <c r="D7" s="700"/>
      <c r="E7" s="700"/>
      <c r="F7" s="709">
        <v>44531</v>
      </c>
      <c r="G7" s="710" t="s">
        <v>1251</v>
      </c>
      <c r="H7" s="710" t="s">
        <v>1251</v>
      </c>
      <c r="I7" s="709">
        <v>44896</v>
      </c>
      <c r="J7" s="708"/>
      <c r="K7" s="707"/>
      <c r="L7" s="705">
        <f>+F7</f>
        <v>44531</v>
      </c>
      <c r="M7" s="705" t="str">
        <f>+G7</f>
        <v>2022</v>
      </c>
      <c r="N7" s="706" t="str">
        <f>H7</f>
        <v>2022</v>
      </c>
      <c r="O7" s="705">
        <f>I7</f>
        <v>44896</v>
      </c>
      <c r="P7" s="704"/>
      <c r="Q7" s="704"/>
    </row>
    <row r="8" spans="1:17" ht="14.4" thickBot="1">
      <c r="A8" s="400" t="s">
        <v>6</v>
      </c>
      <c r="B8" s="737" t="s">
        <v>138</v>
      </c>
      <c r="C8" s="737" t="s">
        <v>875</v>
      </c>
      <c r="D8" s="737" t="s">
        <v>874</v>
      </c>
      <c r="E8" s="737" t="s">
        <v>873</v>
      </c>
      <c r="F8" s="737" t="s">
        <v>139</v>
      </c>
      <c r="G8" s="737" t="s">
        <v>140</v>
      </c>
      <c r="H8" s="737" t="s">
        <v>141</v>
      </c>
      <c r="I8" s="737" t="s">
        <v>142</v>
      </c>
      <c r="J8" s="931" t="s">
        <v>143</v>
      </c>
      <c r="K8" s="931"/>
      <c r="L8" s="737" t="s">
        <v>144</v>
      </c>
      <c r="M8" s="737" t="s">
        <v>145</v>
      </c>
      <c r="N8" s="737" t="s">
        <v>161</v>
      </c>
      <c r="O8" s="737" t="s">
        <v>162</v>
      </c>
      <c r="P8" s="737" t="s">
        <v>872</v>
      </c>
      <c r="Q8" s="737" t="s">
        <v>871</v>
      </c>
    </row>
    <row r="9" spans="1:17">
      <c r="A9" s="703"/>
      <c r="B9" s="703"/>
      <c r="C9" s="703"/>
      <c r="D9" s="703"/>
      <c r="E9" s="703"/>
      <c r="F9" s="700"/>
      <c r="G9" s="700"/>
      <c r="H9" s="700"/>
      <c r="I9" s="700"/>
      <c r="J9" s="682"/>
      <c r="K9" s="681"/>
      <c r="L9" s="682"/>
      <c r="M9" s="682"/>
      <c r="N9" s="700"/>
      <c r="O9" s="682"/>
      <c r="P9" s="700"/>
      <c r="Q9" s="700"/>
    </row>
    <row r="10" spans="1:17" ht="60" customHeight="1">
      <c r="A10" s="702" t="s">
        <v>396</v>
      </c>
      <c r="B10" s="702" t="s">
        <v>870</v>
      </c>
      <c r="C10" s="702" t="s">
        <v>869</v>
      </c>
      <c r="D10" s="701" t="s">
        <v>1034</v>
      </c>
      <c r="E10" s="701" t="s">
        <v>1033</v>
      </c>
      <c r="F10" s="701" t="s">
        <v>868</v>
      </c>
      <c r="G10" s="701" t="s">
        <v>867</v>
      </c>
      <c r="H10" s="701" t="s">
        <v>866</v>
      </c>
      <c r="I10" s="701" t="s">
        <v>865</v>
      </c>
      <c r="J10" s="935" t="s">
        <v>864</v>
      </c>
      <c r="K10" s="935"/>
      <c r="L10" s="701" t="s">
        <v>863</v>
      </c>
      <c r="M10" s="701" t="s">
        <v>862</v>
      </c>
      <c r="N10" s="701" t="s">
        <v>861</v>
      </c>
      <c r="O10" s="701" t="s">
        <v>860</v>
      </c>
      <c r="P10" s="701" t="s">
        <v>859</v>
      </c>
      <c r="Q10" s="701" t="s">
        <v>858</v>
      </c>
    </row>
    <row r="11" spans="1:17">
      <c r="A11" s="682"/>
      <c r="B11" s="682"/>
      <c r="C11" s="682"/>
      <c r="D11" s="682"/>
      <c r="E11" s="682"/>
      <c r="F11" s="699"/>
      <c r="G11" s="699"/>
      <c r="H11" s="699"/>
      <c r="I11" s="699"/>
      <c r="J11" s="700"/>
      <c r="K11" s="700"/>
      <c r="L11" s="699"/>
      <c r="M11" s="699"/>
      <c r="N11" s="699"/>
      <c r="O11" s="699"/>
      <c r="P11" s="699"/>
      <c r="Q11" s="699"/>
    </row>
    <row r="12" spans="1:17">
      <c r="A12" s="193">
        <v>1</v>
      </c>
      <c r="B12" s="932" t="s">
        <v>857</v>
      </c>
      <c r="C12" s="933"/>
      <c r="D12" s="933"/>
      <c r="E12" s="933"/>
      <c r="F12" s="933"/>
      <c r="G12" s="933"/>
      <c r="H12" s="933"/>
      <c r="I12" s="933"/>
      <c r="J12" s="933"/>
      <c r="K12" s="933"/>
      <c r="L12" s="933"/>
      <c r="M12" s="933"/>
      <c r="N12" s="933"/>
      <c r="O12" s="933"/>
      <c r="P12" s="933"/>
      <c r="Q12" s="933"/>
    </row>
    <row r="13" spans="1:17">
      <c r="A13" s="193">
        <f>A12+1</f>
        <v>2</v>
      </c>
      <c r="B13" s="683" t="s">
        <v>1071</v>
      </c>
      <c r="C13" s="683" t="s">
        <v>848</v>
      </c>
      <c r="D13" s="694" t="s">
        <v>1252</v>
      </c>
      <c r="E13" s="694"/>
      <c r="F13" s="693">
        <v>0</v>
      </c>
      <c r="G13" s="693">
        <v>0</v>
      </c>
      <c r="H13" s="693">
        <v>0</v>
      </c>
      <c r="I13" s="693">
        <v>1.0000000000000001E-9</v>
      </c>
      <c r="J13" s="692" t="s">
        <v>847</v>
      </c>
      <c r="K13" s="796">
        <v>0.22680814926774853</v>
      </c>
      <c r="L13" s="691">
        <f t="shared" ref="L13:O14" si="0">F13*$K13</f>
        <v>0</v>
      </c>
      <c r="M13" s="691">
        <f t="shared" si="0"/>
        <v>0</v>
      </c>
      <c r="N13" s="691">
        <f t="shared" si="0"/>
        <v>0</v>
      </c>
      <c r="O13" s="691">
        <f t="shared" si="0"/>
        <v>2.2680814926774854E-10</v>
      </c>
      <c r="P13" s="692" t="s">
        <v>852</v>
      </c>
      <c r="Q13" s="697" t="s">
        <v>1002</v>
      </c>
    </row>
    <row r="14" spans="1:17">
      <c r="A14" s="193">
        <f>A13+1</f>
        <v>3</v>
      </c>
      <c r="B14" s="690" t="s">
        <v>275</v>
      </c>
      <c r="C14" s="690"/>
      <c r="D14" s="690"/>
      <c r="E14" s="690"/>
      <c r="F14" s="693"/>
      <c r="G14" s="693"/>
      <c r="H14" s="693"/>
      <c r="I14" s="693"/>
      <c r="J14" s="686"/>
      <c r="K14" s="696"/>
      <c r="L14" s="691">
        <f t="shared" si="0"/>
        <v>0</v>
      </c>
      <c r="M14" s="691">
        <f>G14*$K14</f>
        <v>0</v>
      </c>
      <c r="N14" s="691">
        <f t="shared" si="0"/>
        <v>0</v>
      </c>
      <c r="O14" s="691">
        <f t="shared" si="0"/>
        <v>0</v>
      </c>
      <c r="P14" s="686"/>
      <c r="Q14" s="686"/>
    </row>
    <row r="15" spans="1:17">
      <c r="A15" s="193">
        <v>50</v>
      </c>
      <c r="B15" s="679" t="s">
        <v>1035</v>
      </c>
      <c r="C15" s="679"/>
      <c r="D15" s="679"/>
      <c r="E15" s="679"/>
      <c r="F15" s="695">
        <f>SUM(F13:F14)</f>
        <v>0</v>
      </c>
      <c r="G15" s="695">
        <f>SUM(G13:G14)</f>
        <v>0</v>
      </c>
      <c r="H15" s="695">
        <f>SUM(H13:H14)</f>
        <v>0</v>
      </c>
      <c r="I15" s="695">
        <f>SUM(I13:I14)</f>
        <v>1.0000000000000001E-9</v>
      </c>
      <c r="J15" s="682"/>
      <c r="K15" s="681"/>
      <c r="L15" s="695">
        <f>SUM(L13:L14)</f>
        <v>0</v>
      </c>
      <c r="M15" s="695">
        <f>SUM(M13:M14)</f>
        <v>0</v>
      </c>
      <c r="N15" s="695">
        <f>SUM(N13:N14)</f>
        <v>0</v>
      </c>
      <c r="O15" s="695">
        <f>SUM(O13:O14)</f>
        <v>2.2680814926774854E-10</v>
      </c>
      <c r="P15" s="677"/>
      <c r="Q15" s="677"/>
    </row>
    <row r="16" spans="1:17">
      <c r="A16" s="193"/>
      <c r="B16" s="679"/>
      <c r="C16" s="679"/>
      <c r="D16" s="679"/>
      <c r="E16" s="679"/>
      <c r="F16" s="678"/>
      <c r="G16" s="678"/>
      <c r="H16" s="678"/>
      <c r="I16" s="678"/>
      <c r="J16" s="682"/>
      <c r="K16" s="681"/>
      <c r="L16" s="678"/>
      <c r="M16" s="678"/>
      <c r="N16" s="678"/>
      <c r="O16" s="678"/>
      <c r="P16" s="677"/>
      <c r="Q16" s="677"/>
    </row>
    <row r="17" spans="1:17">
      <c r="A17" s="193">
        <v>51</v>
      </c>
      <c r="B17" s="683" t="s">
        <v>1072</v>
      </c>
      <c r="C17" s="683" t="s">
        <v>848</v>
      </c>
      <c r="D17" s="694">
        <v>283</v>
      </c>
      <c r="E17" s="694"/>
      <c r="F17" s="693">
        <v>0</v>
      </c>
      <c r="G17" s="693">
        <v>0</v>
      </c>
      <c r="H17" s="693">
        <v>0</v>
      </c>
      <c r="I17" s="693">
        <v>0</v>
      </c>
      <c r="J17" s="692" t="s">
        <v>847</v>
      </c>
      <c r="K17" s="796">
        <v>0.22680814926774853</v>
      </c>
      <c r="L17" s="691">
        <f t="shared" ref="L17:O18" si="1">F17*$K17</f>
        <v>0</v>
      </c>
      <c r="M17" s="691">
        <f t="shared" si="1"/>
        <v>0</v>
      </c>
      <c r="N17" s="691">
        <f t="shared" si="1"/>
        <v>0</v>
      </c>
      <c r="O17" s="691">
        <f t="shared" si="1"/>
        <v>0</v>
      </c>
      <c r="P17" s="692"/>
      <c r="Q17" s="698"/>
    </row>
    <row r="18" spans="1:17">
      <c r="A18" s="193">
        <v>52</v>
      </c>
      <c r="B18" s="690" t="s">
        <v>275</v>
      </c>
      <c r="C18" s="690"/>
      <c r="D18" s="690"/>
      <c r="E18" s="689"/>
      <c r="F18" s="688"/>
      <c r="G18" s="687"/>
      <c r="H18" s="687"/>
      <c r="I18" s="687"/>
      <c r="J18" s="687"/>
      <c r="K18" s="686"/>
      <c r="L18" s="685">
        <f t="shared" si="1"/>
        <v>0</v>
      </c>
      <c r="M18" s="685">
        <f t="shared" si="1"/>
        <v>0</v>
      </c>
      <c r="N18" s="685">
        <f t="shared" si="1"/>
        <v>0</v>
      </c>
      <c r="O18" s="685">
        <f t="shared" si="1"/>
        <v>0</v>
      </c>
      <c r="P18" s="684"/>
      <c r="Q18" s="684"/>
    </row>
    <row r="19" spans="1:17">
      <c r="A19" s="193">
        <v>150</v>
      </c>
      <c r="B19" s="679" t="s">
        <v>856</v>
      </c>
      <c r="C19" s="679"/>
      <c r="D19" s="679"/>
      <c r="E19" s="679"/>
      <c r="F19" s="678">
        <f>SUM(F17:F18)</f>
        <v>0</v>
      </c>
      <c r="G19" s="678">
        <f>SUM(G17:G18)</f>
        <v>0</v>
      </c>
      <c r="H19" s="678">
        <f>SUM(H17:H18)</f>
        <v>0</v>
      </c>
      <c r="I19" s="678">
        <f>SUM(I17:I18)</f>
        <v>0</v>
      </c>
      <c r="J19" s="682"/>
      <c r="K19" s="681"/>
      <c r="L19" s="678">
        <f>SUM(L17:L18)</f>
        <v>0</v>
      </c>
      <c r="M19" s="678">
        <f>SUM(M17:M18)</f>
        <v>0</v>
      </c>
      <c r="N19" s="678">
        <f>SUM(N17:N18)</f>
        <v>0</v>
      </c>
      <c r="O19" s="678">
        <f>SUM(O17:O18)</f>
        <v>0</v>
      </c>
      <c r="P19" s="677"/>
      <c r="Q19" s="677"/>
    </row>
    <row r="20" spans="1:17">
      <c r="A20" s="193">
        <v>151</v>
      </c>
      <c r="B20" s="679"/>
      <c r="C20" s="679"/>
      <c r="D20" s="679"/>
      <c r="E20" s="679"/>
      <c r="F20" s="678"/>
      <c r="G20" s="678"/>
      <c r="H20" s="678"/>
      <c r="I20" s="678"/>
      <c r="J20" s="682"/>
      <c r="K20" s="681"/>
      <c r="L20" s="678"/>
      <c r="M20" s="678"/>
      <c r="N20" s="678"/>
      <c r="O20" s="678"/>
      <c r="P20" s="677"/>
      <c r="Q20" s="677"/>
    </row>
    <row r="21" spans="1:17">
      <c r="A21" s="193">
        <v>152</v>
      </c>
      <c r="B21" s="679" t="s">
        <v>1036</v>
      </c>
      <c r="C21" s="679"/>
      <c r="D21" s="679"/>
      <c r="E21" s="679"/>
      <c r="F21" s="678">
        <f>F15+F19</f>
        <v>0</v>
      </c>
      <c r="G21" s="678">
        <f>G15+G19</f>
        <v>0</v>
      </c>
      <c r="H21" s="678">
        <f>H15+H19</f>
        <v>0</v>
      </c>
      <c r="I21" s="678">
        <f>I15+I19</f>
        <v>1.0000000000000001E-9</v>
      </c>
      <c r="J21" s="682"/>
      <c r="K21" s="681"/>
      <c r="L21" s="678">
        <f>L15+L19</f>
        <v>0</v>
      </c>
      <c r="M21" s="678">
        <f>M15+M19</f>
        <v>0</v>
      </c>
      <c r="N21" s="678">
        <f>N15+N19</f>
        <v>0</v>
      </c>
      <c r="O21" s="678">
        <f>O15+O19</f>
        <v>2.2680814926774854E-10</v>
      </c>
      <c r="P21" s="677"/>
      <c r="Q21" s="677"/>
    </row>
    <row r="22" spans="1:17">
      <c r="A22" s="193"/>
      <c r="B22" s="679"/>
      <c r="C22" s="679"/>
      <c r="D22" s="679"/>
      <c r="E22" s="679"/>
      <c r="F22" s="678"/>
      <c r="G22" s="678"/>
      <c r="H22" s="678"/>
      <c r="I22" s="678"/>
      <c r="J22" s="682"/>
      <c r="K22" s="681"/>
      <c r="L22" s="678"/>
      <c r="M22" s="678"/>
      <c r="N22" s="678"/>
      <c r="O22" s="678"/>
      <c r="P22" s="677"/>
      <c r="Q22" s="677"/>
    </row>
    <row r="23" spans="1:17">
      <c r="A23" s="193">
        <v>200</v>
      </c>
      <c r="B23" s="932" t="s">
        <v>855</v>
      </c>
      <c r="C23" s="933"/>
      <c r="D23" s="933"/>
      <c r="E23" s="933"/>
      <c r="F23" s="933"/>
      <c r="G23" s="933"/>
      <c r="H23" s="933"/>
      <c r="I23" s="933"/>
      <c r="J23" s="933"/>
      <c r="K23" s="933"/>
      <c r="L23" s="933"/>
      <c r="M23" s="933"/>
      <c r="N23" s="933"/>
      <c r="O23" s="933"/>
      <c r="P23" s="933"/>
      <c r="Q23" s="933"/>
    </row>
    <row r="24" spans="1:17">
      <c r="A24" s="193">
        <f t="shared" ref="A24:A26" si="2">A23+1</f>
        <v>201</v>
      </c>
      <c r="B24" s="683" t="s">
        <v>817</v>
      </c>
      <c r="C24" s="683" t="s">
        <v>848</v>
      </c>
      <c r="D24" s="694" t="s">
        <v>1253</v>
      </c>
      <c r="E24" s="694"/>
      <c r="F24" s="693">
        <v>-74125627</v>
      </c>
      <c r="G24" s="693">
        <v>2549116.9126343373</v>
      </c>
      <c r="H24" s="693">
        <v>184796.08736565709</v>
      </c>
      <c r="I24" s="693">
        <v>-71391714</v>
      </c>
      <c r="J24" s="692" t="s">
        <v>847</v>
      </c>
      <c r="K24" s="796">
        <v>0.22680814926774853</v>
      </c>
      <c r="L24" s="691">
        <f t="shared" ref="L24:O27" si="3">F24*$K24</f>
        <v>-16812296.27318145</v>
      </c>
      <c r="M24" s="691">
        <f t="shared" si="3"/>
        <v>578160.48922171106</v>
      </c>
      <c r="N24" s="691">
        <f t="shared" si="3"/>
        <v>41913.258567325851</v>
      </c>
      <c r="O24" s="691">
        <f t="shared" si="3"/>
        <v>-16192222.525392413</v>
      </c>
      <c r="P24" s="692" t="s">
        <v>852</v>
      </c>
      <c r="Q24" s="698" t="s">
        <v>853</v>
      </c>
    </row>
    <row r="25" spans="1:17">
      <c r="A25" s="193">
        <f t="shared" si="2"/>
        <v>202</v>
      </c>
      <c r="B25" s="683" t="s">
        <v>1067</v>
      </c>
      <c r="C25" s="683" t="s">
        <v>848</v>
      </c>
      <c r="D25" s="694" t="s">
        <v>1253</v>
      </c>
      <c r="E25" s="694"/>
      <c r="F25" s="693"/>
      <c r="G25" s="693"/>
      <c r="H25" s="693"/>
      <c r="I25" s="693"/>
      <c r="J25" s="698" t="s">
        <v>847</v>
      </c>
      <c r="K25" s="796">
        <v>0.22680814926774853</v>
      </c>
      <c r="L25" s="691">
        <f t="shared" si="3"/>
        <v>0</v>
      </c>
      <c r="M25" s="691">
        <f t="shared" si="3"/>
        <v>0</v>
      </c>
      <c r="N25" s="691">
        <f t="shared" si="3"/>
        <v>0</v>
      </c>
      <c r="O25" s="691">
        <f t="shared" si="3"/>
        <v>0</v>
      </c>
      <c r="P25" s="698" t="s">
        <v>852</v>
      </c>
      <c r="Q25" s="697" t="s">
        <v>1002</v>
      </c>
    </row>
    <row r="26" spans="1:17">
      <c r="A26" s="193">
        <f t="shared" si="2"/>
        <v>203</v>
      </c>
      <c r="B26" s="683" t="s">
        <v>854</v>
      </c>
      <c r="C26" s="683" t="s">
        <v>848</v>
      </c>
      <c r="D26" s="729">
        <v>182.3</v>
      </c>
      <c r="E26" s="694"/>
      <c r="F26" s="693">
        <v>32666023</v>
      </c>
      <c r="G26" s="693">
        <v>-1128549.093100073</v>
      </c>
      <c r="H26" s="693">
        <v>-371736.90689992532</v>
      </c>
      <c r="I26" s="693">
        <v>31165737</v>
      </c>
      <c r="J26" s="698" t="s">
        <v>847</v>
      </c>
      <c r="K26" s="796">
        <v>0.22680814926774853</v>
      </c>
      <c r="L26" s="691">
        <f t="shared" si="3"/>
        <v>7408920.220567707</v>
      </c>
      <c r="M26" s="691">
        <f t="shared" si="3"/>
        <v>-255964.13116382359</v>
      </c>
      <c r="N26" s="691">
        <f t="shared" si="3"/>
        <v>-84312.959868489401</v>
      </c>
      <c r="O26" s="691">
        <f t="shared" si="3"/>
        <v>7068643.1295353938</v>
      </c>
      <c r="P26" s="692" t="s">
        <v>852</v>
      </c>
      <c r="Q26" s="698" t="s">
        <v>853</v>
      </c>
    </row>
    <row r="27" spans="1:17">
      <c r="A27" s="193">
        <f>A26+1</f>
        <v>204</v>
      </c>
      <c r="B27" s="690" t="s">
        <v>275</v>
      </c>
      <c r="C27" s="690"/>
      <c r="D27" s="690"/>
      <c r="E27" s="690"/>
      <c r="F27" s="693"/>
      <c r="G27" s="693"/>
      <c r="H27" s="693"/>
      <c r="I27" s="693"/>
      <c r="J27" s="686"/>
      <c r="K27" s="696"/>
      <c r="L27" s="691">
        <f t="shared" si="3"/>
        <v>0</v>
      </c>
      <c r="M27" s="691">
        <f t="shared" si="3"/>
        <v>0</v>
      </c>
      <c r="N27" s="691">
        <f t="shared" si="3"/>
        <v>0</v>
      </c>
      <c r="O27" s="691">
        <f t="shared" si="3"/>
        <v>0</v>
      </c>
      <c r="P27" s="684"/>
      <c r="Q27" s="684"/>
    </row>
    <row r="28" spans="1:17">
      <c r="A28" s="193">
        <v>299</v>
      </c>
      <c r="B28" s="679" t="s">
        <v>851</v>
      </c>
      <c r="C28" s="679"/>
      <c r="D28" s="679"/>
      <c r="E28" s="679"/>
      <c r="F28" s="695">
        <f>SUM(F24:F27)</f>
        <v>-41459604</v>
      </c>
      <c r="G28" s="695">
        <f>SUM(G24:G27)</f>
        <v>1420567.8195342643</v>
      </c>
      <c r="H28" s="695">
        <f>SUM(H24:H27)</f>
        <v>-186940.81953426823</v>
      </c>
      <c r="I28" s="695">
        <f>SUM(I24:I27)</f>
        <v>-40225977</v>
      </c>
      <c r="J28" s="682"/>
      <c r="K28" s="681"/>
      <c r="L28" s="695">
        <f>SUM(L24:L27)</f>
        <v>-9403376.0526137426</v>
      </c>
      <c r="M28" s="695">
        <f>SUM(M24:M27)</f>
        <v>322196.35805788747</v>
      </c>
      <c r="N28" s="695">
        <f>SUM(N24:N27)</f>
        <v>-42399.70130116355</v>
      </c>
      <c r="O28" s="695">
        <f>SUM(O24:O27)</f>
        <v>-9123579.3958570193</v>
      </c>
      <c r="P28" s="677"/>
      <c r="Q28" s="677"/>
    </row>
    <row r="29" spans="1:17">
      <c r="A29" s="193"/>
      <c r="B29" s="679"/>
      <c r="C29" s="679"/>
      <c r="D29" s="679"/>
      <c r="E29" s="679"/>
      <c r="F29" s="678"/>
      <c r="G29" s="678"/>
      <c r="H29" s="678"/>
      <c r="I29" s="678"/>
      <c r="J29" s="682"/>
      <c r="K29" s="681"/>
      <c r="L29" s="678"/>
      <c r="M29" s="678"/>
      <c r="N29" s="678"/>
      <c r="O29" s="678"/>
      <c r="P29" s="677"/>
      <c r="Q29" s="677"/>
    </row>
    <row r="30" spans="1:17">
      <c r="A30" s="193">
        <v>300</v>
      </c>
      <c r="B30" s="683" t="s">
        <v>850</v>
      </c>
      <c r="C30" s="683" t="s">
        <v>848</v>
      </c>
      <c r="D30" s="694">
        <v>190</v>
      </c>
      <c r="E30" s="694"/>
      <c r="F30" s="693">
        <v>18230827</v>
      </c>
      <c r="G30" s="693">
        <v>-623921.85553638043</v>
      </c>
      <c r="H30" s="693">
        <v>-45230.690343618233</v>
      </c>
      <c r="I30" s="693">
        <v>17561674.454120003</v>
      </c>
      <c r="J30" s="692" t="s">
        <v>847</v>
      </c>
      <c r="K30" s="796">
        <v>0.22680814926774853</v>
      </c>
      <c r="L30" s="691">
        <f t="shared" ref="L30:O32" si="4">F30*$K30</f>
        <v>4134900.1314905002</v>
      </c>
      <c r="M30" s="691">
        <f t="shared" si="4"/>
        <v>-141510.561341906</v>
      </c>
      <c r="N30" s="691">
        <f t="shared" si="4"/>
        <v>-10258.689166938677</v>
      </c>
      <c r="O30" s="691">
        <f t="shared" si="4"/>
        <v>3983130.8809816558</v>
      </c>
      <c r="P30" s="677"/>
      <c r="Q30" s="677"/>
    </row>
    <row r="31" spans="1:17">
      <c r="A31" s="193">
        <f>A30+1</f>
        <v>301</v>
      </c>
      <c r="B31" s="683" t="s">
        <v>849</v>
      </c>
      <c r="C31" s="683" t="s">
        <v>848</v>
      </c>
      <c r="D31" s="694">
        <v>283</v>
      </c>
      <c r="E31" s="694"/>
      <c r="F31" s="693">
        <v>-8034045</v>
      </c>
      <c r="G31" s="693">
        <v>276223.67602717387</v>
      </c>
      <c r="H31" s="693">
        <v>90986.325332825727</v>
      </c>
      <c r="I31" s="693">
        <v>-7666834.9986399999</v>
      </c>
      <c r="J31" s="692" t="s">
        <v>847</v>
      </c>
      <c r="K31" s="796">
        <v>0.22680814926774853</v>
      </c>
      <c r="L31" s="691">
        <f t="shared" si="4"/>
        <v>-1822186.8775838087</v>
      </c>
      <c r="M31" s="691">
        <f t="shared" si="4"/>
        <v>62649.780743657466</v>
      </c>
      <c r="N31" s="691">
        <f t="shared" si="4"/>
        <v>20636.440057411466</v>
      </c>
      <c r="O31" s="691">
        <f t="shared" si="4"/>
        <v>-1738900.6567827398</v>
      </c>
      <c r="P31" s="677"/>
      <c r="Q31" s="677"/>
    </row>
    <row r="32" spans="1:17">
      <c r="A32" s="193">
        <f>A31+1</f>
        <v>302</v>
      </c>
      <c r="B32" s="690" t="s">
        <v>275</v>
      </c>
      <c r="C32" s="690"/>
      <c r="D32" s="690"/>
      <c r="E32" s="689"/>
      <c r="F32" s="688"/>
      <c r="G32" s="687"/>
      <c r="H32" s="687"/>
      <c r="I32" s="687"/>
      <c r="J32" s="687"/>
      <c r="K32" s="686"/>
      <c r="L32" s="685">
        <f t="shared" si="4"/>
        <v>0</v>
      </c>
      <c r="M32" s="685">
        <f t="shared" si="4"/>
        <v>0</v>
      </c>
      <c r="N32" s="685">
        <f t="shared" si="4"/>
        <v>0</v>
      </c>
      <c r="O32" s="685">
        <f t="shared" si="4"/>
        <v>0</v>
      </c>
      <c r="P32" s="684"/>
      <c r="Q32" s="684"/>
    </row>
    <row r="33" spans="1:17">
      <c r="A33" s="193">
        <v>350</v>
      </c>
      <c r="B33" s="679" t="s">
        <v>846</v>
      </c>
      <c r="C33" s="679"/>
      <c r="F33" s="678">
        <f>SUM(F30:F32)</f>
        <v>10196782</v>
      </c>
      <c r="G33" s="678">
        <f>SUM(G30:G32)</f>
        <v>-347698.17950920656</v>
      </c>
      <c r="H33" s="678">
        <f>SUM(H30:H32)</f>
        <v>45755.634989207494</v>
      </c>
      <c r="I33" s="678">
        <f>SUM(I30:I32)</f>
        <v>9894839.4554800019</v>
      </c>
      <c r="J33" s="682"/>
      <c r="K33" s="681"/>
      <c r="L33" s="678">
        <f>SUM(L30:L32)</f>
        <v>2312713.2539066914</v>
      </c>
      <c r="M33" s="678">
        <f>SUM(M30:M32)</f>
        <v>-78860.78059824853</v>
      </c>
      <c r="N33" s="678">
        <f>SUM(N30:N32)</f>
        <v>10377.750890472789</v>
      </c>
      <c r="O33" s="678">
        <f>SUM(O30:O32)</f>
        <v>2244230.224198916</v>
      </c>
      <c r="P33" s="677"/>
      <c r="Q33" s="677"/>
    </row>
    <row r="34" spans="1:17">
      <c r="A34" s="193">
        <f>A33+1</f>
        <v>351</v>
      </c>
      <c r="B34" s="679"/>
      <c r="C34" s="679"/>
      <c r="F34" s="678"/>
      <c r="G34" s="678"/>
      <c r="H34" s="678"/>
      <c r="I34" s="678"/>
      <c r="J34" s="682"/>
      <c r="K34" s="681"/>
      <c r="L34" s="678"/>
      <c r="M34" s="678"/>
      <c r="N34" s="678"/>
      <c r="O34" s="678"/>
      <c r="P34" s="677"/>
      <c r="Q34" s="677"/>
    </row>
    <row r="35" spans="1:17">
      <c r="A35" s="193">
        <f>A34+1</f>
        <v>352</v>
      </c>
      <c r="B35" s="679" t="s">
        <v>845</v>
      </c>
      <c r="C35" s="679"/>
      <c r="D35" s="679"/>
      <c r="E35" s="679"/>
      <c r="F35" s="678">
        <f>F28+F33</f>
        <v>-31262822</v>
      </c>
      <c r="G35" s="678">
        <f>G28+G33</f>
        <v>1072869.6400250578</v>
      </c>
      <c r="H35" s="678">
        <f>H28+H33</f>
        <v>-141185.18454506074</v>
      </c>
      <c r="I35" s="678">
        <f>I28+I33</f>
        <v>-30331137.544519998</v>
      </c>
      <c r="J35" s="682"/>
      <c r="K35" s="681"/>
      <c r="L35" s="678">
        <f>L28+L33</f>
        <v>-7090662.7987070512</v>
      </c>
      <c r="M35" s="678">
        <f>M28+M33</f>
        <v>243335.57745963894</v>
      </c>
      <c r="N35" s="678">
        <f>N28+N33</f>
        <v>-32021.950410690763</v>
      </c>
      <c r="O35" s="678">
        <f>O28+O33</f>
        <v>-6879349.1716581034</v>
      </c>
      <c r="P35" s="677"/>
      <c r="Q35" s="677"/>
    </row>
    <row r="36" spans="1:17">
      <c r="A36" s="193"/>
      <c r="B36" s="679"/>
      <c r="C36" s="679"/>
      <c r="D36" s="679"/>
      <c r="E36" s="679"/>
      <c r="F36" s="678"/>
      <c r="G36" s="678"/>
      <c r="H36" s="678"/>
      <c r="I36" s="678"/>
      <c r="J36" s="682"/>
      <c r="K36" s="681"/>
      <c r="L36" s="678"/>
      <c r="M36" s="678"/>
      <c r="N36" s="678"/>
      <c r="O36" s="678"/>
      <c r="P36" s="677"/>
      <c r="Q36" s="677"/>
    </row>
    <row r="37" spans="1:17">
      <c r="A37" s="193">
        <v>353</v>
      </c>
      <c r="B37" s="932" t="s">
        <v>844</v>
      </c>
      <c r="C37" s="933"/>
      <c r="D37" s="933"/>
      <c r="E37" s="933"/>
      <c r="F37" s="933"/>
      <c r="G37" s="933"/>
      <c r="H37" s="933"/>
      <c r="I37" s="933"/>
      <c r="J37" s="933"/>
      <c r="K37" s="933"/>
      <c r="L37" s="933"/>
      <c r="M37" s="933"/>
      <c r="N37" s="933"/>
      <c r="O37" s="933"/>
      <c r="P37" s="933"/>
      <c r="Q37" s="933"/>
    </row>
    <row r="38" spans="1:17">
      <c r="A38" s="193">
        <f t="shared" ref="A38:A43" si="5">A37+1</f>
        <v>354</v>
      </c>
      <c r="B38" s="679"/>
      <c r="C38" s="679"/>
      <c r="D38" s="683"/>
      <c r="E38" s="679"/>
      <c r="F38" s="678"/>
      <c r="G38" s="678"/>
      <c r="H38" s="678"/>
      <c r="I38" s="678"/>
      <c r="J38" s="682"/>
      <c r="K38" s="681"/>
      <c r="L38" s="678"/>
      <c r="M38" s="678"/>
      <c r="N38" s="678"/>
      <c r="O38" s="678"/>
      <c r="P38" s="677"/>
      <c r="Q38" s="677"/>
    </row>
    <row r="39" spans="1:17">
      <c r="A39" s="193">
        <f t="shared" si="5"/>
        <v>355</v>
      </c>
      <c r="B39" s="735" t="s">
        <v>1068</v>
      </c>
      <c r="C39" s="679"/>
      <c r="D39" s="679"/>
      <c r="E39" s="679"/>
      <c r="F39" s="678">
        <f>+F15+F28</f>
        <v>-41459604</v>
      </c>
      <c r="G39" s="678">
        <f>+G15+G28</f>
        <v>1420567.8195342643</v>
      </c>
      <c r="H39" s="678">
        <f>+H15+H28</f>
        <v>-186940.81953426823</v>
      </c>
      <c r="I39" s="678">
        <f>+I15+I28</f>
        <v>-40225977</v>
      </c>
      <c r="J39" s="741"/>
      <c r="K39" s="678"/>
      <c r="L39" s="678">
        <f>+L15+L28</f>
        <v>-9403376.0526137426</v>
      </c>
      <c r="M39" s="678">
        <f>+M15+M28</f>
        <v>322196.35805788747</v>
      </c>
      <c r="N39" s="678">
        <f>+N15+N28</f>
        <v>-42399.70130116355</v>
      </c>
      <c r="O39" s="678">
        <f>+O15+O28</f>
        <v>-9123579.3958570193</v>
      </c>
      <c r="P39" s="677"/>
      <c r="Q39" s="677"/>
    </row>
    <row r="40" spans="1:17">
      <c r="A40" s="193">
        <f t="shared" si="5"/>
        <v>356</v>
      </c>
      <c r="B40" s="679" t="s">
        <v>843</v>
      </c>
      <c r="C40" s="679"/>
      <c r="D40" s="679"/>
      <c r="E40" s="679"/>
      <c r="F40" s="680">
        <f>F19+F33</f>
        <v>10196782</v>
      </c>
      <c r="G40" s="680">
        <f>G19+G33</f>
        <v>-347698.17950920656</v>
      </c>
      <c r="H40" s="680">
        <f>H19+H33</f>
        <v>45755.634989207494</v>
      </c>
      <c r="I40" s="680">
        <f>I19+I33</f>
        <v>9894839.4554800019</v>
      </c>
      <c r="J40" s="742"/>
      <c r="K40" s="680"/>
      <c r="L40" s="680">
        <f>L19+L33</f>
        <v>2312713.2539066914</v>
      </c>
      <c r="M40" s="680">
        <f>M19+M33</f>
        <v>-78860.78059824853</v>
      </c>
      <c r="N40" s="680">
        <f>N19+N33</f>
        <v>10377.750890472789</v>
      </c>
      <c r="O40" s="680">
        <f>O19+O33</f>
        <v>2244230.224198916</v>
      </c>
      <c r="P40" s="677"/>
      <c r="Q40" s="677"/>
    </row>
    <row r="41" spans="1:17">
      <c r="A41" s="193">
        <f t="shared" si="5"/>
        <v>357</v>
      </c>
      <c r="B41" s="679" t="s">
        <v>904</v>
      </c>
      <c r="C41" s="679"/>
      <c r="D41" s="679"/>
      <c r="E41" s="679"/>
      <c r="F41" s="678">
        <f>SUM(F39:F40)</f>
        <v>-31262822</v>
      </c>
      <c r="G41" s="678">
        <f>SUM(G39:G40)</f>
        <v>1072869.6400250578</v>
      </c>
      <c r="H41" s="678">
        <f>SUM(H39:H40)</f>
        <v>-141185.18454506074</v>
      </c>
      <c r="I41" s="678">
        <f>SUM(I39:I40)</f>
        <v>-30331137.544519998</v>
      </c>
      <c r="J41" s="741"/>
      <c r="K41" s="678"/>
      <c r="L41" s="678">
        <f>SUM(L39:L40)</f>
        <v>-7090662.7987070512</v>
      </c>
      <c r="M41" s="678">
        <f>SUM(M39:M40)</f>
        <v>243335.57745963894</v>
      </c>
      <c r="N41" s="678">
        <f>SUM(N39:N40)</f>
        <v>-32021.950410690763</v>
      </c>
      <c r="O41" s="678">
        <f>SUM(O39:O40)</f>
        <v>-6879349.1716581034</v>
      </c>
      <c r="P41" s="677"/>
      <c r="Q41" s="677"/>
    </row>
    <row r="42" spans="1:17">
      <c r="A42" s="193">
        <f t="shared" si="5"/>
        <v>358</v>
      </c>
      <c r="B42" s="679" t="s">
        <v>842</v>
      </c>
      <c r="C42" s="679"/>
      <c r="D42" s="679"/>
      <c r="E42" s="679"/>
      <c r="F42" s="678"/>
      <c r="G42" s="678"/>
      <c r="H42" s="678"/>
      <c r="I42" s="678">
        <f>(I39+F39)/2</f>
        <v>-40842790.5</v>
      </c>
      <c r="J42" s="741"/>
      <c r="K42" s="678"/>
      <c r="L42" s="678"/>
      <c r="M42" s="678"/>
      <c r="N42" s="678"/>
      <c r="O42" s="678">
        <f>(O39+L39)/2</f>
        <v>-9263477.7242353819</v>
      </c>
      <c r="Q42" s="677"/>
    </row>
    <row r="43" spans="1:17" ht="15.6">
      <c r="A43" s="193">
        <f t="shared" si="5"/>
        <v>359</v>
      </c>
      <c r="B43" s="679" t="s">
        <v>1069</v>
      </c>
      <c r="C43" s="679"/>
      <c r="D43" s="679"/>
      <c r="E43" s="679"/>
      <c r="F43" s="678"/>
      <c r="G43" s="678"/>
      <c r="H43" s="678"/>
      <c r="I43" s="175"/>
      <c r="J43" s="741"/>
      <c r="K43" s="678"/>
      <c r="L43" s="678"/>
      <c r="M43" s="678"/>
      <c r="N43" s="678"/>
      <c r="O43" s="812">
        <f>O41/I41</f>
        <v>0.22680814926774853</v>
      </c>
      <c r="Q43" s="677"/>
    </row>
    <row r="44" spans="1:17">
      <c r="A44" s="193"/>
      <c r="B44" s="679"/>
      <c r="C44" s="679"/>
      <c r="D44" s="679"/>
      <c r="E44" s="679"/>
      <c r="F44" s="678"/>
      <c r="G44" s="678"/>
      <c r="H44" s="678"/>
      <c r="I44" s="678"/>
      <c r="J44" s="741"/>
      <c r="K44" s="678"/>
      <c r="L44" s="678"/>
      <c r="M44" s="678"/>
      <c r="N44" s="678"/>
      <c r="P44" s="677"/>
      <c r="Q44" s="677"/>
    </row>
    <row r="45" spans="1:17">
      <c r="A45" s="354" t="s">
        <v>172</v>
      </c>
    </row>
    <row r="46" spans="1:17" ht="79.5" customHeight="1">
      <c r="A46" s="394" t="s">
        <v>76</v>
      </c>
      <c r="B46" s="929" t="s">
        <v>1085</v>
      </c>
      <c r="C46" s="929"/>
      <c r="D46" s="929"/>
      <c r="E46" s="929"/>
      <c r="F46" s="929"/>
      <c r="G46" s="929"/>
      <c r="H46" s="929"/>
      <c r="I46" s="929"/>
      <c r="J46" s="929"/>
      <c r="K46" s="929"/>
      <c r="L46" s="929"/>
      <c r="M46" s="929"/>
      <c r="N46" s="929"/>
      <c r="O46" s="929"/>
      <c r="P46" s="743"/>
      <c r="Q46" s="743"/>
    </row>
    <row r="47" spans="1:17" ht="21" customHeight="1">
      <c r="A47" s="394" t="s">
        <v>841</v>
      </c>
      <c r="B47" s="929" t="s">
        <v>1086</v>
      </c>
      <c r="C47" s="929"/>
      <c r="D47" s="929"/>
      <c r="E47" s="929"/>
      <c r="F47" s="929"/>
      <c r="G47" s="929"/>
      <c r="H47" s="929"/>
      <c r="I47" s="929"/>
      <c r="J47" s="929"/>
      <c r="K47" s="929"/>
      <c r="L47" s="929"/>
      <c r="M47" s="929"/>
      <c r="N47" s="929"/>
      <c r="O47" s="929"/>
      <c r="P47" s="743"/>
      <c r="Q47" s="743"/>
    </row>
    <row r="48" spans="1:17" ht="21" customHeight="1">
      <c r="A48" s="394" t="s">
        <v>77</v>
      </c>
      <c r="B48" s="930" t="s">
        <v>840</v>
      </c>
      <c r="C48" s="930"/>
      <c r="D48" s="930"/>
      <c r="E48" s="930"/>
      <c r="F48" s="930"/>
      <c r="G48" s="930"/>
      <c r="H48" s="930"/>
      <c r="I48" s="930"/>
      <c r="J48" s="930"/>
      <c r="K48" s="930"/>
      <c r="L48" s="930"/>
      <c r="M48" s="930"/>
      <c r="N48" s="930"/>
      <c r="O48" s="930"/>
      <c r="P48" s="744"/>
      <c r="Q48" s="744"/>
    </row>
    <row r="49" spans="1:17" ht="21" customHeight="1">
      <c r="A49" s="394" t="s">
        <v>78</v>
      </c>
      <c r="B49" s="930" t="s">
        <v>1087</v>
      </c>
      <c r="C49" s="930"/>
      <c r="D49" s="930"/>
      <c r="E49" s="930"/>
      <c r="F49" s="930"/>
      <c r="G49" s="930"/>
      <c r="H49" s="930"/>
      <c r="I49" s="930"/>
      <c r="J49" s="930"/>
      <c r="K49" s="930"/>
      <c r="L49" s="930"/>
      <c r="M49" s="930"/>
      <c r="N49" s="930"/>
      <c r="O49" s="930"/>
      <c r="P49" s="744"/>
      <c r="Q49" s="744"/>
    </row>
    <row r="50" spans="1:17" ht="21" customHeight="1">
      <c r="A50" s="394" t="s">
        <v>79</v>
      </c>
      <c r="B50" s="930" t="s">
        <v>839</v>
      </c>
      <c r="C50" s="930"/>
      <c r="D50" s="930"/>
      <c r="E50" s="930"/>
      <c r="F50" s="930"/>
      <c r="G50" s="930"/>
      <c r="H50" s="930"/>
      <c r="I50" s="930"/>
      <c r="J50" s="930"/>
      <c r="K50" s="930"/>
      <c r="L50" s="930"/>
      <c r="M50" s="930"/>
      <c r="N50" s="930"/>
      <c r="O50" s="930"/>
    </row>
    <row r="51" spans="1:17" ht="21" customHeight="1">
      <c r="A51" s="394" t="s">
        <v>80</v>
      </c>
      <c r="B51" s="929" t="s">
        <v>838</v>
      </c>
      <c r="C51" s="929"/>
      <c r="D51" s="929"/>
      <c r="E51" s="929"/>
      <c r="F51" s="929"/>
      <c r="G51" s="929"/>
      <c r="H51" s="929"/>
      <c r="I51" s="929"/>
      <c r="J51" s="929"/>
      <c r="K51" s="929"/>
      <c r="L51" s="929"/>
      <c r="M51" s="929"/>
      <c r="N51" s="929"/>
      <c r="O51" s="929"/>
    </row>
    <row r="52" spans="1:17" ht="32.4" customHeight="1">
      <c r="A52" s="394" t="s">
        <v>81</v>
      </c>
      <c r="B52" s="929" t="s">
        <v>1060</v>
      </c>
      <c r="C52" s="929"/>
      <c r="D52" s="929"/>
      <c r="E52" s="929"/>
      <c r="F52" s="929"/>
      <c r="G52" s="929"/>
      <c r="H52" s="929"/>
      <c r="I52" s="929"/>
      <c r="J52" s="929"/>
      <c r="K52" s="929"/>
      <c r="L52" s="929"/>
      <c r="M52" s="929"/>
      <c r="N52" s="929"/>
      <c r="O52" s="929"/>
    </row>
    <row r="53" spans="1:17" ht="32.4" customHeight="1">
      <c r="A53" s="394" t="s">
        <v>82</v>
      </c>
      <c r="B53" s="929" t="s">
        <v>1037</v>
      </c>
      <c r="C53" s="929"/>
      <c r="D53" s="929"/>
      <c r="E53" s="929"/>
      <c r="F53" s="929"/>
      <c r="G53" s="929"/>
      <c r="H53" s="929"/>
      <c r="I53" s="929"/>
      <c r="J53" s="929"/>
      <c r="K53" s="929"/>
      <c r="L53" s="929"/>
      <c r="M53" s="929"/>
      <c r="N53" s="929"/>
      <c r="O53" s="929"/>
    </row>
    <row r="54" spans="1:17" ht="21" customHeight="1">
      <c r="A54" s="394" t="s">
        <v>343</v>
      </c>
      <c r="B54" s="929" t="s">
        <v>837</v>
      </c>
      <c r="C54" s="929"/>
      <c r="D54" s="929"/>
      <c r="E54" s="929"/>
      <c r="F54" s="929"/>
      <c r="G54" s="929"/>
      <c r="H54" s="929"/>
      <c r="I54" s="929"/>
      <c r="J54" s="929"/>
      <c r="K54" s="929"/>
      <c r="L54" s="929"/>
      <c r="M54" s="929"/>
      <c r="N54" s="929"/>
      <c r="O54" s="929"/>
    </row>
    <row r="55" spans="1:17" ht="29.25" customHeight="1">
      <c r="A55" s="394" t="s">
        <v>83</v>
      </c>
      <c r="B55" s="930" t="s">
        <v>1059</v>
      </c>
      <c r="C55" s="930"/>
      <c r="D55" s="930"/>
      <c r="E55" s="930"/>
      <c r="F55" s="930"/>
      <c r="G55" s="930"/>
      <c r="H55" s="930"/>
      <c r="I55" s="930"/>
      <c r="J55" s="930"/>
      <c r="K55" s="930"/>
      <c r="L55" s="930"/>
      <c r="M55" s="930"/>
      <c r="N55" s="930"/>
      <c r="O55" s="930"/>
    </row>
    <row r="56" spans="1:17" ht="29.25" customHeight="1">
      <c r="A56" s="394" t="s">
        <v>84</v>
      </c>
      <c r="B56" s="930" t="s">
        <v>906</v>
      </c>
      <c r="C56" s="930"/>
      <c r="D56" s="930"/>
      <c r="E56" s="930"/>
      <c r="F56" s="930"/>
      <c r="G56" s="930"/>
      <c r="H56" s="930"/>
      <c r="I56" s="930"/>
      <c r="J56" s="930"/>
      <c r="K56" s="930"/>
      <c r="L56" s="930"/>
      <c r="M56" s="930"/>
      <c r="N56" s="930"/>
      <c r="O56" s="930"/>
    </row>
    <row r="57" spans="1:17" s="811" customFormat="1" ht="18" customHeight="1">
      <c r="A57" s="394" t="s">
        <v>85</v>
      </c>
      <c r="B57" s="929" t="s">
        <v>1061</v>
      </c>
      <c r="C57" s="929"/>
      <c r="D57" s="929"/>
      <c r="E57" s="929"/>
      <c r="F57" s="929"/>
      <c r="G57" s="929"/>
      <c r="H57" s="929"/>
      <c r="I57" s="929"/>
      <c r="J57" s="929"/>
      <c r="K57" s="929"/>
      <c r="L57" s="929"/>
      <c r="M57" s="929"/>
      <c r="N57" s="929"/>
      <c r="O57" s="929"/>
    </row>
    <row r="58" spans="1:17" ht="15.6">
      <c r="A58" s="181"/>
      <c r="B58" s="745"/>
    </row>
    <row r="59" spans="1:17">
      <c r="A59" s="788"/>
      <c r="B59" s="745"/>
    </row>
    <row r="60" spans="1:17">
      <c r="B60" s="745"/>
    </row>
    <row r="61" spans="1:17">
      <c r="B61" s="745"/>
    </row>
    <row r="62" spans="1:17">
      <c r="B62" s="745"/>
    </row>
    <row r="63" spans="1:17">
      <c r="B63" s="745"/>
    </row>
  </sheetData>
  <mergeCells count="21">
    <mergeCell ref="A2:Q2"/>
    <mergeCell ref="A4:Q4"/>
    <mergeCell ref="J8:K8"/>
    <mergeCell ref="B37:Q37"/>
    <mergeCell ref="A1:Q1"/>
    <mergeCell ref="J10:K10"/>
    <mergeCell ref="B12:Q12"/>
    <mergeCell ref="B23:Q23"/>
    <mergeCell ref="B46:O46"/>
    <mergeCell ref="A3:Q3"/>
    <mergeCell ref="B57:O57"/>
    <mergeCell ref="B53:O53"/>
    <mergeCell ref="B54:O54"/>
    <mergeCell ref="B47:O47"/>
    <mergeCell ref="B48:O48"/>
    <mergeCell ref="B50:O50"/>
    <mergeCell ref="B51:O51"/>
    <mergeCell ref="B52:O52"/>
    <mergeCell ref="B49:O49"/>
    <mergeCell ref="B55:O55"/>
    <mergeCell ref="B56:O56"/>
  </mergeCells>
  <pageMargins left="0.5" right="0.25" top="1" bottom="1" header="0.5" footer="0.5"/>
  <pageSetup scale="58" fitToHeight="0" orientation="portrait" r:id="rId1"/>
  <headerFooter alignWithMargins="0">
    <oddHeader xml:space="preserve">&amp;C&amp;"Times New Roman,Regular"&amp;KFF0000CUI//PRIV&amp;K000000
FOR SETTLEMENT PURPOSES ONLY 
SUBJECT TO RULES 602 AND 606
</oddHeader>
  </headerFooter>
  <colBreaks count="1" manualBreakCount="1">
    <brk id="5" max="56" man="1"/>
  </colBreaks>
  <ignoredErrors>
    <ignoredError sqref="D13:D17 G7:H7 D24:D2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F1D53-1C37-4B88-8385-12F07470AE5E}">
  <sheetPr>
    <tabColor theme="6" tint="0.59999389629810485"/>
  </sheetPr>
  <dimension ref="A1:J62"/>
  <sheetViews>
    <sheetView zoomScale="90" zoomScaleNormal="90" workbookViewId="0">
      <selection activeCell="I54" sqref="I54"/>
    </sheetView>
  </sheetViews>
  <sheetFormatPr defaultColWidth="7.08984375" defaultRowHeight="13.2"/>
  <cols>
    <col min="1" max="1" width="4.81640625" style="747" customWidth="1"/>
    <col min="2" max="2" width="26.1796875" style="746" customWidth="1"/>
    <col min="3" max="3" width="6.90625" style="746" bestFit="1" customWidth="1"/>
    <col min="4" max="4" width="9.90625" style="746" customWidth="1"/>
    <col min="5" max="5" width="10.1796875" style="746" bestFit="1" customWidth="1"/>
    <col min="6" max="6" width="9.81640625" style="746" customWidth="1"/>
    <col min="7" max="7" width="9.26953125" style="746" bestFit="1" customWidth="1"/>
    <col min="8" max="8" width="10.1796875" style="746" customWidth="1"/>
    <col min="9" max="9" width="11.81640625" style="746" customWidth="1"/>
    <col min="10" max="10" width="11" style="746" bestFit="1" customWidth="1"/>
    <col min="11" max="16384" width="7.08984375" style="746"/>
  </cols>
  <sheetData>
    <row r="1" spans="1:10" ht="15" customHeight="1">
      <c r="A1" s="936" t="s">
        <v>1024</v>
      </c>
      <c r="B1" s="936"/>
      <c r="C1" s="936"/>
      <c r="D1" s="936"/>
      <c r="E1" s="936"/>
      <c r="F1" s="936"/>
      <c r="G1" s="936"/>
      <c r="H1" s="936"/>
      <c r="I1" s="936"/>
      <c r="J1" s="206"/>
    </row>
    <row r="2" spans="1:10" ht="15" customHeight="1">
      <c r="A2" s="937" t="s">
        <v>1008</v>
      </c>
      <c r="B2" s="937"/>
      <c r="C2" s="937"/>
      <c r="D2" s="937"/>
      <c r="E2" s="937"/>
      <c r="F2" s="937"/>
      <c r="G2" s="937"/>
      <c r="H2" s="937"/>
      <c r="I2" s="937"/>
      <c r="J2" s="206"/>
    </row>
    <row r="3" spans="1:10" ht="15" customHeight="1">
      <c r="A3" s="942" t="s">
        <v>912</v>
      </c>
      <c r="B3" s="942"/>
      <c r="C3" s="942"/>
      <c r="D3" s="942"/>
      <c r="E3" s="942"/>
      <c r="F3" s="942"/>
      <c r="G3" s="942"/>
      <c r="H3" s="942"/>
      <c r="I3" s="942"/>
      <c r="J3" s="206"/>
    </row>
    <row r="4" spans="1:10" ht="15" customHeight="1">
      <c r="A4" s="936" t="str">
        <f>'Act Att-H'!K4</f>
        <v>Actuals - For the 12 months ended 12/31/2022</v>
      </c>
      <c r="B4" s="936"/>
      <c r="C4" s="936"/>
      <c r="D4" s="936"/>
      <c r="E4" s="936"/>
      <c r="F4" s="936"/>
      <c r="G4" s="936"/>
      <c r="H4" s="936"/>
      <c r="I4" s="936"/>
      <c r="J4" s="206"/>
    </row>
    <row r="5" spans="1:10" ht="12.75" customHeight="1">
      <c r="B5" s="748"/>
      <c r="C5" s="748"/>
      <c r="D5" s="748"/>
      <c r="E5" s="748"/>
      <c r="F5" s="748"/>
      <c r="G5" s="748"/>
      <c r="H5" s="762" t="s">
        <v>902</v>
      </c>
      <c r="I5" s="813" t="s">
        <v>1254</v>
      </c>
    </row>
    <row r="6" spans="1:10" ht="12.75" customHeight="1">
      <c r="B6" s="748"/>
      <c r="C6" s="748"/>
      <c r="D6" s="748"/>
      <c r="E6" s="748"/>
      <c r="F6" s="748"/>
      <c r="G6" s="748"/>
      <c r="H6" s="762" t="s">
        <v>901</v>
      </c>
      <c r="I6" s="813" t="s">
        <v>852</v>
      </c>
    </row>
    <row r="7" spans="1:10" ht="12.75" customHeight="1">
      <c r="A7" s="749"/>
      <c r="B7" s="750"/>
      <c r="C7" s="751"/>
      <c r="D7" s="751"/>
      <c r="E7" s="751"/>
      <c r="F7" s="751"/>
      <c r="G7" s="751"/>
      <c r="H7" s="762" t="s">
        <v>900</v>
      </c>
      <c r="I7" s="814">
        <v>0.20380499999999999</v>
      </c>
    </row>
    <row r="8" spans="1:10" ht="12.75" customHeight="1">
      <c r="A8" s="749"/>
      <c r="B8" s="750"/>
      <c r="C8" s="751"/>
      <c r="D8" s="751"/>
      <c r="E8" s="751"/>
      <c r="F8" s="751"/>
      <c r="G8" s="751"/>
      <c r="H8" s="762" t="s">
        <v>899</v>
      </c>
      <c r="I8" s="815">
        <v>1.32727565</v>
      </c>
    </row>
    <row r="9" spans="1:10" ht="12.75" customHeight="1">
      <c r="A9" s="749"/>
      <c r="B9" s="750"/>
      <c r="C9" s="751"/>
      <c r="D9" s="751"/>
      <c r="E9" s="751"/>
      <c r="F9" s="751"/>
      <c r="G9" s="751"/>
      <c r="H9" s="762" t="s">
        <v>898</v>
      </c>
      <c r="I9" s="815" t="s">
        <v>848</v>
      </c>
    </row>
    <row r="10" spans="1:10" ht="18.600000000000001" customHeight="1" thickBot="1">
      <c r="B10" s="763" t="s">
        <v>1010</v>
      </c>
      <c r="C10" s="763" t="s">
        <v>897</v>
      </c>
      <c r="D10" s="763" t="s">
        <v>1011</v>
      </c>
      <c r="E10" s="763" t="s">
        <v>1012</v>
      </c>
      <c r="F10" s="763" t="s">
        <v>1013</v>
      </c>
      <c r="G10" s="763" t="s">
        <v>1014</v>
      </c>
      <c r="H10" s="763" t="s">
        <v>896</v>
      </c>
      <c r="I10" s="763" t="s">
        <v>895</v>
      </c>
    </row>
    <row r="11" spans="1:10" ht="15.6" customHeight="1" thickBot="1">
      <c r="A11" s="749"/>
      <c r="B11" s="750"/>
      <c r="C11" s="752"/>
      <c r="D11" s="939" t="s">
        <v>894</v>
      </c>
      <c r="E11" s="940"/>
      <c r="F11" s="940"/>
      <c r="G11" s="940"/>
      <c r="H11" s="940"/>
      <c r="I11" s="941"/>
    </row>
    <row r="12" spans="1:10" ht="39" customHeight="1" thickBot="1">
      <c r="A12" s="749"/>
      <c r="B12" s="750"/>
      <c r="C12" s="753"/>
      <c r="D12" s="764" t="s">
        <v>685</v>
      </c>
      <c r="E12" s="764" t="s">
        <v>685</v>
      </c>
      <c r="F12" s="764" t="s">
        <v>1088</v>
      </c>
      <c r="G12" s="764" t="s">
        <v>1015</v>
      </c>
      <c r="H12" s="765" t="s">
        <v>893</v>
      </c>
      <c r="I12" s="766" t="s">
        <v>892</v>
      </c>
      <c r="J12" s="762"/>
    </row>
    <row r="13" spans="1:10" s="754" customFormat="1" ht="105" customHeight="1" thickBot="1">
      <c r="A13" s="763" t="s">
        <v>1020</v>
      </c>
      <c r="B13" s="752"/>
      <c r="C13" s="764" t="s">
        <v>187</v>
      </c>
      <c r="D13" s="764" t="s">
        <v>891</v>
      </c>
      <c r="E13" s="816" t="s">
        <v>890</v>
      </c>
      <c r="F13" s="816" t="s">
        <v>1016</v>
      </c>
      <c r="G13" s="816" t="s">
        <v>889</v>
      </c>
      <c r="H13" s="817" t="s">
        <v>888</v>
      </c>
      <c r="I13" s="817" t="s">
        <v>887</v>
      </c>
    </row>
    <row r="14" spans="1:10" ht="12.9" customHeight="1">
      <c r="A14" s="767">
        <v>1</v>
      </c>
      <c r="B14" s="768" t="s">
        <v>886</v>
      </c>
      <c r="C14" s="755"/>
      <c r="D14" s="750"/>
      <c r="E14" s="750"/>
      <c r="F14" s="750"/>
      <c r="G14" s="750"/>
    </row>
    <row r="15" spans="1:10">
      <c r="A15" s="767">
        <v>2</v>
      </c>
      <c r="B15" s="769" t="s">
        <v>1017</v>
      </c>
      <c r="C15" s="818">
        <v>282</v>
      </c>
      <c r="D15" s="893">
        <v>-458889652.28000003</v>
      </c>
      <c r="E15" s="893">
        <v>-155873342.63820902</v>
      </c>
      <c r="F15" s="771">
        <f>+D15*$I$7</f>
        <v>-93524005.582925394</v>
      </c>
      <c r="G15" s="771">
        <f>+E15-F15</f>
        <v>-62349337.055283621</v>
      </c>
      <c r="H15" s="771">
        <f>+G15*$I$8</f>
        <v>-82754756.867120653</v>
      </c>
      <c r="I15" s="758">
        <f>+G15-H15</f>
        <v>20405419.811837032</v>
      </c>
      <c r="J15" s="772"/>
    </row>
    <row r="16" spans="1:10" ht="12.9" customHeight="1">
      <c r="A16" s="767">
        <v>3</v>
      </c>
      <c r="B16" s="769" t="s">
        <v>885</v>
      </c>
      <c r="C16" s="818">
        <v>282</v>
      </c>
      <c r="D16" s="893">
        <v>12501555.460000001</v>
      </c>
      <c r="E16" s="893">
        <v>4246465.8508755006</v>
      </c>
      <c r="F16" s="770">
        <f>+D16*$I$7</f>
        <v>2547879.5105253002</v>
      </c>
      <c r="G16" s="772">
        <f>+E16-F16</f>
        <v>1698586.3403502004</v>
      </c>
      <c r="H16" s="771">
        <f>+G16*$I$8</f>
        <v>2254492.2889694334</v>
      </c>
      <c r="I16" s="758">
        <f>+G16-H16</f>
        <v>-555905.94861923298</v>
      </c>
      <c r="J16" s="772"/>
    </row>
    <row r="17" spans="1:10">
      <c r="A17" s="767">
        <v>4</v>
      </c>
      <c r="B17" s="769" t="s">
        <v>1018</v>
      </c>
      <c r="C17" s="818">
        <v>190</v>
      </c>
      <c r="D17" s="893">
        <v>195816643.08754742</v>
      </c>
      <c r="E17" s="893">
        <v>66514018.240762673</v>
      </c>
      <c r="F17" s="770">
        <f>+D17*$I$7</f>
        <v>39908410.944457598</v>
      </c>
      <c r="G17" s="770">
        <f>+E17-F17</f>
        <v>26605607.296305075</v>
      </c>
      <c r="H17" s="771">
        <f>+G17*$I$8</f>
        <v>35312974.717848063</v>
      </c>
      <c r="I17" s="758">
        <f>+G17-H17</f>
        <v>-8707367.4215429872</v>
      </c>
      <c r="J17" s="772"/>
    </row>
    <row r="18" spans="1:10">
      <c r="A18" s="767">
        <v>5</v>
      </c>
      <c r="B18" s="821" t="s">
        <v>275</v>
      </c>
      <c r="C18" s="821"/>
      <c r="D18" s="822"/>
      <c r="E18" s="822"/>
      <c r="F18" s="773">
        <f>+D18*$I$7</f>
        <v>0</v>
      </c>
      <c r="G18" s="773">
        <f>+E18-F18</f>
        <v>0</v>
      </c>
      <c r="H18" s="774">
        <f>+G18*$I$8</f>
        <v>0</v>
      </c>
      <c r="I18" s="775">
        <f>+G18-H18</f>
        <v>0</v>
      </c>
      <c r="J18" s="772"/>
    </row>
    <row r="19" spans="1:10">
      <c r="A19" s="767">
        <v>99</v>
      </c>
      <c r="B19" s="752"/>
      <c r="C19" s="752"/>
      <c r="D19" s="770">
        <f t="shared" ref="D19:I19" si="0">SUM(D15:D18)</f>
        <v>-250571453.73245263</v>
      </c>
      <c r="E19" s="770">
        <f t="shared" si="0"/>
        <v>-85112858.546570837</v>
      </c>
      <c r="F19" s="770">
        <f t="shared" si="0"/>
        <v>-51067715.127942495</v>
      </c>
      <c r="G19" s="770">
        <f t="shared" si="0"/>
        <v>-34045143.418628342</v>
      </c>
      <c r="H19" s="770">
        <f t="shared" si="0"/>
        <v>-45187289.860303164</v>
      </c>
      <c r="I19" s="770">
        <f t="shared" si="0"/>
        <v>11142146.441674814</v>
      </c>
      <c r="J19" s="772"/>
    </row>
    <row r="20" spans="1:10">
      <c r="A20" s="767"/>
      <c r="B20" s="756"/>
      <c r="C20" s="752"/>
      <c r="D20" s="770"/>
      <c r="E20" s="770"/>
      <c r="F20" s="770"/>
      <c r="G20" s="770"/>
      <c r="H20" s="770"/>
      <c r="I20" s="770"/>
      <c r="J20" s="772"/>
    </row>
    <row r="21" spans="1:10" ht="12.9" customHeight="1">
      <c r="A21" s="767">
        <v>100</v>
      </c>
      <c r="B21" s="768" t="s">
        <v>884</v>
      </c>
      <c r="C21" s="752"/>
      <c r="D21" s="757"/>
      <c r="E21" s="757"/>
      <c r="F21" s="757"/>
      <c r="G21" s="757"/>
      <c r="H21" s="771"/>
      <c r="J21" s="772"/>
    </row>
    <row r="22" spans="1:10" ht="12.9" customHeight="1">
      <c r="A22" s="767">
        <v>101</v>
      </c>
      <c r="B22" s="769" t="s">
        <v>1076</v>
      </c>
      <c r="C22" s="818">
        <v>282</v>
      </c>
      <c r="D22" s="819">
        <v>3480140.7399999998</v>
      </c>
      <c r="E22" s="819">
        <v>1182116.8058594998</v>
      </c>
      <c r="F22" s="770">
        <f t="shared" ref="F22:F30" si="1">+D22*$I$7</f>
        <v>709270.08351569995</v>
      </c>
      <c r="G22" s="770">
        <f t="shared" ref="G22:G30" si="2">+E22-F22</f>
        <v>472846.72234379989</v>
      </c>
      <c r="H22" s="771">
        <f t="shared" ref="H22:H30" si="3">+G22*$I$8</f>
        <v>627597.9407492365</v>
      </c>
      <c r="I22" s="758">
        <f t="shared" ref="I22:I30" si="4">+G22-H22</f>
        <v>-154751.21840543661</v>
      </c>
      <c r="J22" s="772"/>
    </row>
    <row r="23" spans="1:10">
      <c r="A23" s="767">
        <v>102</v>
      </c>
      <c r="B23" s="829" t="s">
        <v>1074</v>
      </c>
      <c r="C23" s="818">
        <v>282</v>
      </c>
      <c r="D23" s="819">
        <v>-1367948.28</v>
      </c>
      <c r="E23" s="819">
        <v>-464657.83200900001</v>
      </c>
      <c r="F23" s="770">
        <f t="shared" si="1"/>
        <v>-278794.69920540001</v>
      </c>
      <c r="G23" s="770">
        <f t="shared" si="2"/>
        <v>-185863.13280359999</v>
      </c>
      <c r="H23" s="771">
        <f t="shared" si="3"/>
        <v>-246691.61040293452</v>
      </c>
      <c r="I23" s="758">
        <f t="shared" si="4"/>
        <v>60828.477599334525</v>
      </c>
      <c r="J23" s="772"/>
    </row>
    <row r="24" spans="1:10" ht="12.9" customHeight="1">
      <c r="A24" s="767">
        <v>103</v>
      </c>
      <c r="B24" s="769" t="s">
        <v>1073</v>
      </c>
      <c r="C24" s="818">
        <v>282</v>
      </c>
      <c r="D24" s="819">
        <v>-18147933.350000001</v>
      </c>
      <c r="E24" s="819">
        <v>-6164399.2606612509</v>
      </c>
      <c r="F24" s="770">
        <f t="shared" si="1"/>
        <v>-3698639.5563967503</v>
      </c>
      <c r="G24" s="770">
        <f t="shared" si="2"/>
        <v>-2465759.7042645006</v>
      </c>
      <c r="H24" s="771">
        <f t="shared" si="3"/>
        <v>-3272742.8142214729</v>
      </c>
      <c r="I24" s="758">
        <f t="shared" si="4"/>
        <v>806983.1099569723</v>
      </c>
      <c r="J24" s="772"/>
    </row>
    <row r="25" spans="1:10" ht="12.9" customHeight="1">
      <c r="A25" s="767">
        <v>104</v>
      </c>
      <c r="B25" s="769" t="s">
        <v>1075</v>
      </c>
      <c r="C25" s="818">
        <v>282</v>
      </c>
      <c r="D25" s="819">
        <v>1890375.2929999996</v>
      </c>
      <c r="E25" s="819">
        <v>642113.22764977487</v>
      </c>
      <c r="F25" s="770">
        <f t="shared" ref="F25:F27" si="5">+D25*$I$7</f>
        <v>385267.9365898649</v>
      </c>
      <c r="G25" s="770">
        <f t="shared" ref="G25:G27" si="6">+E25-F25</f>
        <v>256845.29105990997</v>
      </c>
      <c r="H25" s="771">
        <f t="shared" ref="H25:H27" si="7">+G25*$I$8</f>
        <v>340904.50064098119</v>
      </c>
      <c r="I25" s="758">
        <f t="shared" ref="I25:I27" si="8">+G25-H25</f>
        <v>-84059.20958107122</v>
      </c>
      <c r="J25" s="772"/>
    </row>
    <row r="26" spans="1:10" ht="12.9" customHeight="1">
      <c r="A26" s="767">
        <v>105</v>
      </c>
      <c r="B26" s="769" t="s">
        <v>991</v>
      </c>
      <c r="C26" s="818">
        <v>282</v>
      </c>
      <c r="D26" s="819">
        <v>252398.55999999997</v>
      </c>
      <c r="E26" s="819">
        <v>85733.480867999984</v>
      </c>
      <c r="F26" s="770">
        <f t="shared" si="5"/>
        <v>51440.088520799989</v>
      </c>
      <c r="G26" s="770">
        <f t="shared" si="6"/>
        <v>34293.392347199995</v>
      </c>
      <c r="H26" s="771">
        <f t="shared" si="7"/>
        <v>45516.784618334903</v>
      </c>
      <c r="I26" s="758">
        <f t="shared" si="8"/>
        <v>-11223.392271134908</v>
      </c>
      <c r="J26" s="772"/>
    </row>
    <row r="27" spans="1:10" ht="12.9" customHeight="1">
      <c r="A27" s="767">
        <v>106</v>
      </c>
      <c r="B27" s="769" t="s">
        <v>992</v>
      </c>
      <c r="C27" s="818">
        <v>282</v>
      </c>
      <c r="D27" s="820">
        <v>22703547.91</v>
      </c>
      <c r="E27" s="819">
        <v>7711827.6363292504</v>
      </c>
      <c r="F27" s="770">
        <f t="shared" si="5"/>
        <v>4627096.5817975495</v>
      </c>
      <c r="G27" s="770">
        <f t="shared" si="6"/>
        <v>3084731.0545317009</v>
      </c>
      <c r="H27" s="771">
        <f t="shared" si="7"/>
        <v>4094288.4154787487</v>
      </c>
      <c r="I27" s="758">
        <f t="shared" si="8"/>
        <v>-1009557.3609470478</v>
      </c>
      <c r="J27" s="772"/>
    </row>
    <row r="28" spans="1:10" ht="12.9" customHeight="1">
      <c r="A28" s="767">
        <f>A27+1</f>
        <v>107</v>
      </c>
      <c r="B28" s="769" t="s">
        <v>993</v>
      </c>
      <c r="C28" s="818">
        <v>282</v>
      </c>
      <c r="D28" s="820">
        <v>-35693415.770000003</v>
      </c>
      <c r="E28" s="819">
        <v>-12124161.001674751</v>
      </c>
      <c r="F28" s="770">
        <f t="shared" si="1"/>
        <v>-7274496.6010048501</v>
      </c>
      <c r="G28" s="772">
        <f t="shared" si="2"/>
        <v>-4849664.4006699007</v>
      </c>
      <c r="H28" s="771">
        <f t="shared" si="3"/>
        <v>-6436841.4696810031</v>
      </c>
      <c r="I28" s="758">
        <f t="shared" si="4"/>
        <v>1587177.0690111024</v>
      </c>
      <c r="J28" s="772"/>
    </row>
    <row r="29" spans="1:10" ht="12.9" customHeight="1">
      <c r="A29" s="767">
        <f>A28+1</f>
        <v>108</v>
      </c>
      <c r="B29" s="746" t="s">
        <v>994</v>
      </c>
      <c r="C29" s="818">
        <v>282</v>
      </c>
      <c r="D29" s="820">
        <v>-21027219.380000003</v>
      </c>
      <c r="E29" s="819">
        <v>-7142420.7429015012</v>
      </c>
      <c r="F29" s="770">
        <f t="shared" si="1"/>
        <v>-4285452.4457409</v>
      </c>
      <c r="G29" s="772">
        <f t="shared" si="2"/>
        <v>-2856968.2971606012</v>
      </c>
      <c r="H29" s="771">
        <f t="shared" si="3"/>
        <v>-3791984.4536432303</v>
      </c>
      <c r="I29" s="758">
        <f t="shared" si="4"/>
        <v>935016.15648262901</v>
      </c>
      <c r="J29" s="772"/>
    </row>
    <row r="30" spans="1:10" ht="12.9" customHeight="1">
      <c r="A30" s="767">
        <f>A29+1</f>
        <v>109</v>
      </c>
      <c r="B30" s="821" t="s">
        <v>275</v>
      </c>
      <c r="C30" s="818"/>
      <c r="D30" s="823"/>
      <c r="E30" s="823"/>
      <c r="F30" s="773">
        <f t="shared" si="1"/>
        <v>0</v>
      </c>
      <c r="G30" s="773">
        <f t="shared" si="2"/>
        <v>0</v>
      </c>
      <c r="H30" s="774">
        <f t="shared" si="3"/>
        <v>0</v>
      </c>
      <c r="I30" s="775">
        <f t="shared" si="4"/>
        <v>0</v>
      </c>
      <c r="J30" s="772"/>
    </row>
    <row r="31" spans="1:10">
      <c r="A31" s="767">
        <v>199</v>
      </c>
      <c r="B31" s="750"/>
      <c r="C31" s="750"/>
      <c r="D31" s="772">
        <f t="shared" ref="D31:I31" si="9">SUM(D22:D30)</f>
        <v>-47910054.27700001</v>
      </c>
      <c r="E31" s="772">
        <f t="shared" si="9"/>
        <v>-16273847.686539978</v>
      </c>
      <c r="F31" s="772">
        <f t="shared" si="9"/>
        <v>-9764308.6119239852</v>
      </c>
      <c r="G31" s="772">
        <f t="shared" si="9"/>
        <v>-6509539.0746159917</v>
      </c>
      <c r="H31" s="772">
        <f t="shared" si="9"/>
        <v>-8639952.7064613402</v>
      </c>
      <c r="I31" s="772">
        <f t="shared" si="9"/>
        <v>2130413.6318453476</v>
      </c>
      <c r="J31" s="772"/>
    </row>
    <row r="32" spans="1:10">
      <c r="D32" s="759"/>
      <c r="E32" s="759"/>
      <c r="F32" s="759"/>
      <c r="G32" s="759"/>
      <c r="H32" s="759"/>
      <c r="J32" s="772"/>
    </row>
    <row r="33" spans="1:10" ht="13.5" customHeight="1" thickBot="1">
      <c r="A33" s="767">
        <v>200</v>
      </c>
      <c r="B33" s="828" t="s">
        <v>905</v>
      </c>
      <c r="C33" s="762"/>
      <c r="D33" s="776">
        <f t="shared" ref="D33:I33" si="10">+D19+D31</f>
        <v>-298481508.00945264</v>
      </c>
      <c r="E33" s="776">
        <f t="shared" si="10"/>
        <v>-101386706.23311082</v>
      </c>
      <c r="F33" s="776">
        <f t="shared" si="10"/>
        <v>-60832023.73986648</v>
      </c>
      <c r="G33" s="776">
        <f t="shared" si="10"/>
        <v>-40554682.493244335</v>
      </c>
      <c r="H33" s="776">
        <f t="shared" si="10"/>
        <v>-53827242.566764504</v>
      </c>
      <c r="I33" s="776">
        <f t="shared" si="10"/>
        <v>13272560.073520161</v>
      </c>
      <c r="J33" s="772"/>
    </row>
    <row r="34" spans="1:10" ht="13.8" thickTop="1">
      <c r="A34" s="767"/>
      <c r="B34" s="777"/>
      <c r="C34" s="777"/>
      <c r="D34" s="772"/>
      <c r="E34" s="772"/>
      <c r="F34" s="772"/>
      <c r="G34" s="772"/>
      <c r="H34" s="772"/>
      <c r="I34" s="772"/>
      <c r="J34" s="772"/>
    </row>
    <row r="35" spans="1:10" ht="12.9" customHeight="1">
      <c r="A35" s="778">
        <v>300</v>
      </c>
      <c r="B35" s="779" t="s">
        <v>1077</v>
      </c>
      <c r="C35" s="780"/>
      <c r="D35" s="760"/>
      <c r="E35" s="760"/>
      <c r="F35" s="760"/>
      <c r="G35" s="760"/>
      <c r="H35" s="771"/>
      <c r="J35" s="772"/>
    </row>
    <row r="36" spans="1:10" ht="12.9" customHeight="1">
      <c r="A36" s="778">
        <v>301</v>
      </c>
      <c r="B36" s="769" t="s">
        <v>995</v>
      </c>
      <c r="C36" s="818">
        <v>190</v>
      </c>
      <c r="D36" s="819">
        <v>186258.31</v>
      </c>
      <c r="E36" s="819">
        <v>63267.291449249999</v>
      </c>
      <c r="F36" s="770">
        <f t="shared" ref="F36:F51" si="11">+D36*$I$7</f>
        <v>37960.374869549996</v>
      </c>
      <c r="G36" s="770">
        <f t="shared" ref="G36:G51" si="12">+E36-F36</f>
        <v>25306.916579700002</v>
      </c>
      <c r="H36" s="771">
        <f t="shared" ref="H36:H51" si="13">+G36*$I$8</f>
        <v>33589.254152817099</v>
      </c>
      <c r="I36" s="758">
        <f t="shared" ref="I36:I51" si="14">+G36-H36</f>
        <v>-8282.3375731170963</v>
      </c>
      <c r="J36" s="772"/>
    </row>
    <row r="37" spans="1:10" ht="12.9" customHeight="1">
      <c r="A37" s="778">
        <v>302</v>
      </c>
      <c r="B37" s="769" t="s">
        <v>883</v>
      </c>
      <c r="C37" s="818">
        <v>190</v>
      </c>
      <c r="D37" s="819">
        <v>7766143.3500000006</v>
      </c>
      <c r="E37" s="819">
        <v>2637964.7424112502</v>
      </c>
      <c r="F37" s="770">
        <f t="shared" si="11"/>
        <v>1582778.8454467501</v>
      </c>
      <c r="G37" s="770">
        <f t="shared" si="12"/>
        <v>1055185.8969645002</v>
      </c>
      <c r="H37" s="771">
        <f t="shared" si="13"/>
        <v>1400522.5472643902</v>
      </c>
      <c r="I37" s="758">
        <f t="shared" si="14"/>
        <v>-345336.65029988997</v>
      </c>
      <c r="J37" s="772"/>
    </row>
    <row r="38" spans="1:10">
      <c r="A38" s="778">
        <v>303</v>
      </c>
      <c r="B38" s="769" t="s">
        <v>877</v>
      </c>
      <c r="C38" s="818">
        <v>283</v>
      </c>
      <c r="D38" s="819">
        <v>-378023.27</v>
      </c>
      <c r="E38" s="819">
        <v>-128405.05423725001</v>
      </c>
      <c r="F38" s="770">
        <f t="shared" si="11"/>
        <v>-77043.032542350003</v>
      </c>
      <c r="G38" s="770">
        <f t="shared" si="12"/>
        <v>-51362.021694900002</v>
      </c>
      <c r="H38" s="771">
        <f t="shared" si="13"/>
        <v>-68171.560730412501</v>
      </c>
      <c r="I38" s="758">
        <f t="shared" si="14"/>
        <v>16809.539035512498</v>
      </c>
      <c r="J38" s="772"/>
    </row>
    <row r="39" spans="1:10" ht="12.9" customHeight="1">
      <c r="A39" s="778">
        <v>304</v>
      </c>
      <c r="B39" s="769" t="s">
        <v>996</v>
      </c>
      <c r="C39" s="818">
        <v>190</v>
      </c>
      <c r="D39" s="819">
        <v>530487.19999999995</v>
      </c>
      <c r="E39" s="819">
        <v>180193.23965999999</v>
      </c>
      <c r="F39" s="770">
        <f t="shared" si="11"/>
        <v>108115.94379599998</v>
      </c>
      <c r="G39" s="770">
        <f t="shared" si="12"/>
        <v>72077.295864000014</v>
      </c>
      <c r="H39" s="771">
        <f t="shared" si="13"/>
        <v>95666.439718132926</v>
      </c>
      <c r="I39" s="758">
        <f t="shared" si="14"/>
        <v>-23589.143854132912</v>
      </c>
      <c r="J39" s="772"/>
    </row>
    <row r="40" spans="1:10" ht="12.9" customHeight="1">
      <c r="A40" s="778">
        <v>305</v>
      </c>
      <c r="B40" s="769" t="s">
        <v>997</v>
      </c>
      <c r="C40" s="818">
        <v>190</v>
      </c>
      <c r="D40" s="819">
        <v>128516.5</v>
      </c>
      <c r="E40" s="819">
        <v>43653.842137500003</v>
      </c>
      <c r="F40" s="770">
        <f t="shared" si="11"/>
        <v>26192.305282499998</v>
      </c>
      <c r="G40" s="770">
        <f t="shared" si="12"/>
        <v>17461.536855000006</v>
      </c>
      <c r="H40" s="781">
        <f t="shared" si="13"/>
        <v>23176.272679219088</v>
      </c>
      <c r="I40" s="758">
        <f t="shared" si="14"/>
        <v>-5714.7358242190821</v>
      </c>
      <c r="J40" s="772"/>
    </row>
    <row r="41" spans="1:10" ht="12.9" customHeight="1">
      <c r="A41" s="778">
        <v>306</v>
      </c>
      <c r="B41" s="769" t="s">
        <v>998</v>
      </c>
      <c r="C41" s="818">
        <v>190</v>
      </c>
      <c r="D41" s="819">
        <v>20319.93</v>
      </c>
      <c r="E41" s="819">
        <v>6902.1722227500004</v>
      </c>
      <c r="F41" s="770">
        <f t="shared" si="11"/>
        <v>4141.3033336499993</v>
      </c>
      <c r="G41" s="770">
        <f t="shared" si="12"/>
        <v>2760.8688891000011</v>
      </c>
      <c r="H41" s="781">
        <f t="shared" si="13"/>
        <v>3664.4340493449818</v>
      </c>
      <c r="I41" s="758">
        <f t="shared" si="14"/>
        <v>-903.56516024498069</v>
      </c>
      <c r="J41" s="772"/>
    </row>
    <row r="42" spans="1:10" ht="12.9" customHeight="1">
      <c r="A42" s="778">
        <v>307</v>
      </c>
      <c r="B42" s="769" t="s">
        <v>879</v>
      </c>
      <c r="C42" s="818">
        <v>190</v>
      </c>
      <c r="D42" s="819">
        <v>2992922.5500000003</v>
      </c>
      <c r="E42" s="819">
        <v>1016620.9671712501</v>
      </c>
      <c r="F42" s="770">
        <f t="shared" si="11"/>
        <v>609972.58030274999</v>
      </c>
      <c r="G42" s="770">
        <f t="shared" si="12"/>
        <v>406648.38686850015</v>
      </c>
      <c r="H42" s="781">
        <f t="shared" si="13"/>
        <v>539734.50200234004</v>
      </c>
      <c r="I42" s="758">
        <f t="shared" si="14"/>
        <v>-133086.11513383989</v>
      </c>
      <c r="J42" s="772"/>
    </row>
    <row r="43" spans="1:10" ht="12.9" customHeight="1">
      <c r="A43" s="778">
        <v>308</v>
      </c>
      <c r="B43" s="769" t="s">
        <v>999</v>
      </c>
      <c r="C43" s="818">
        <v>283</v>
      </c>
      <c r="D43" s="819">
        <v>-9890835.7400000002</v>
      </c>
      <c r="E43" s="819">
        <v>-3359669.6299844999</v>
      </c>
      <c r="F43" s="770">
        <f t="shared" si="11"/>
        <v>-2015801.7779907</v>
      </c>
      <c r="G43" s="770">
        <f t="shared" si="12"/>
        <v>-1343867.8519937999</v>
      </c>
      <c r="H43" s="781">
        <f t="shared" si="13"/>
        <v>-1783683.0767691745</v>
      </c>
      <c r="I43" s="758">
        <f t="shared" si="14"/>
        <v>439815.22477537463</v>
      </c>
      <c r="J43" s="772"/>
    </row>
    <row r="44" spans="1:10" ht="12.9" customHeight="1">
      <c r="A44" s="778">
        <v>309</v>
      </c>
      <c r="B44" s="769" t="s">
        <v>1000</v>
      </c>
      <c r="C44" s="818">
        <v>190</v>
      </c>
      <c r="D44" s="819">
        <v>10088.17</v>
      </c>
      <c r="E44" s="819">
        <v>3426.69914475</v>
      </c>
      <c r="F44" s="770">
        <f t="shared" si="11"/>
        <v>2056.0194868499998</v>
      </c>
      <c r="G44" s="770">
        <f t="shared" si="12"/>
        <v>1370.6796579000002</v>
      </c>
      <c r="H44" s="781">
        <f t="shared" si="13"/>
        <v>1819.2697338810003</v>
      </c>
      <c r="I44" s="758">
        <f t="shared" si="14"/>
        <v>-448.59007598100015</v>
      </c>
      <c r="J44" s="772"/>
    </row>
    <row r="45" spans="1:10" ht="12.9" customHeight="1">
      <c r="A45" s="778">
        <v>310</v>
      </c>
      <c r="B45" s="769" t="s">
        <v>1001</v>
      </c>
      <c r="C45" s="818">
        <v>190</v>
      </c>
      <c r="D45" s="819">
        <v>859042.77</v>
      </c>
      <c r="E45" s="819">
        <v>291795.35289975</v>
      </c>
      <c r="F45" s="770">
        <f t="shared" si="11"/>
        <v>175077.21173985</v>
      </c>
      <c r="G45" s="770">
        <f t="shared" si="12"/>
        <v>116718.1411599</v>
      </c>
      <c r="H45" s="781">
        <f t="shared" si="13"/>
        <v>154917.14667479802</v>
      </c>
      <c r="I45" s="758">
        <f t="shared" si="14"/>
        <v>-38199.005514898017</v>
      </c>
      <c r="J45" s="772"/>
    </row>
    <row r="46" spans="1:10" ht="12.9" customHeight="1">
      <c r="A46" s="778">
        <v>311</v>
      </c>
      <c r="B46" s="769" t="s">
        <v>878</v>
      </c>
      <c r="C46" s="818">
        <v>283</v>
      </c>
      <c r="D46" s="819">
        <v>-985985.08</v>
      </c>
      <c r="E46" s="819">
        <v>-334914.48204899998</v>
      </c>
      <c r="F46" s="770">
        <f t="shared" si="11"/>
        <v>-200948.68922939998</v>
      </c>
      <c r="G46" s="770">
        <f t="shared" si="12"/>
        <v>-133965.7928196</v>
      </c>
      <c r="H46" s="781">
        <f t="shared" si="13"/>
        <v>-177809.53474239993</v>
      </c>
      <c r="I46" s="758">
        <f t="shared" si="14"/>
        <v>43843.741922799934</v>
      </c>
      <c r="J46" s="772"/>
    </row>
    <row r="47" spans="1:10" ht="12.9" customHeight="1">
      <c r="A47" s="778">
        <v>312</v>
      </c>
      <c r="B47" s="769" t="s">
        <v>882</v>
      </c>
      <c r="C47" s="818">
        <v>190</v>
      </c>
      <c r="D47" s="819">
        <v>465927.65</v>
      </c>
      <c r="E47" s="819">
        <v>158263.97451375</v>
      </c>
      <c r="F47" s="770">
        <f t="shared" si="11"/>
        <v>94958.38470825</v>
      </c>
      <c r="G47" s="770">
        <f t="shared" si="12"/>
        <v>63305.5898055</v>
      </c>
      <c r="H47" s="781">
        <f t="shared" si="13"/>
        <v>84023.967857728392</v>
      </c>
      <c r="I47" s="758">
        <f t="shared" si="14"/>
        <v>-20718.378052228392</v>
      </c>
      <c r="J47" s="772"/>
    </row>
    <row r="48" spans="1:10" ht="12.9" customHeight="1">
      <c r="A48" s="778">
        <v>313</v>
      </c>
      <c r="B48" s="769" t="s">
        <v>1056</v>
      </c>
      <c r="C48" s="818">
        <v>283</v>
      </c>
      <c r="D48" s="819">
        <v>-1088216.26</v>
      </c>
      <c r="E48" s="819">
        <v>-369639.85811550001</v>
      </c>
      <c r="F48" s="770">
        <f t="shared" si="11"/>
        <v>-221783.91486929997</v>
      </c>
      <c r="G48" s="770">
        <f t="shared" si="12"/>
        <v>-147855.94324620004</v>
      </c>
      <c r="H48" s="781">
        <f t="shared" si="13"/>
        <v>-196245.59317846328</v>
      </c>
      <c r="I48" s="758">
        <f t="shared" si="14"/>
        <v>48389.649932263244</v>
      </c>
      <c r="J48" s="772"/>
    </row>
    <row r="49" spans="1:10" ht="12.9" customHeight="1">
      <c r="A49" s="778">
        <v>314</v>
      </c>
      <c r="B49" s="769" t="s">
        <v>880</v>
      </c>
      <c r="C49" s="818">
        <v>190</v>
      </c>
      <c r="D49" s="819">
        <v>5648113.3200000003</v>
      </c>
      <c r="E49" s="819">
        <v>1918522.891971</v>
      </c>
      <c r="F49" s="770">
        <f t="shared" ref="F49" si="15">+D49*$I$7</f>
        <v>1151113.7351826001</v>
      </c>
      <c r="G49" s="770">
        <f t="shared" ref="G49" si="16">+E49-F49</f>
        <v>767409.15678839991</v>
      </c>
      <c r="H49" s="781">
        <f t="shared" ref="H49" si="17">+G49*$I$8</f>
        <v>1018563.4873922755</v>
      </c>
      <c r="I49" s="758">
        <f t="shared" ref="I49" si="18">+G49-H49</f>
        <v>-251154.33060387557</v>
      </c>
      <c r="J49" s="772"/>
    </row>
    <row r="50" spans="1:10">
      <c r="A50" s="778">
        <v>315</v>
      </c>
      <c r="B50" s="769" t="s">
        <v>881</v>
      </c>
      <c r="C50" s="818">
        <v>190</v>
      </c>
      <c r="D50" s="819">
        <v>364754.71</v>
      </c>
      <c r="E50" s="819">
        <v>123898.05611925</v>
      </c>
      <c r="F50" s="770">
        <f t="shared" si="11"/>
        <v>74338.833671550005</v>
      </c>
      <c r="G50" s="770">
        <f t="shared" si="12"/>
        <v>49559.222447699998</v>
      </c>
      <c r="H50" s="781">
        <f t="shared" si="13"/>
        <v>65778.749187765614</v>
      </c>
      <c r="I50" s="758">
        <f t="shared" si="14"/>
        <v>-16219.526740065616</v>
      </c>
      <c r="J50" s="772"/>
    </row>
    <row r="51" spans="1:10">
      <c r="A51" s="778">
        <v>316</v>
      </c>
      <c r="B51" s="821" t="s">
        <v>275</v>
      </c>
      <c r="C51" s="824"/>
      <c r="D51" s="825"/>
      <c r="E51" s="825"/>
      <c r="F51" s="770">
        <f t="shared" si="11"/>
        <v>0</v>
      </c>
      <c r="G51" s="773">
        <f t="shared" si="12"/>
        <v>0</v>
      </c>
      <c r="H51" s="771">
        <f t="shared" si="13"/>
        <v>0</v>
      </c>
      <c r="I51" s="758">
        <f t="shared" si="14"/>
        <v>0</v>
      </c>
      <c r="J51" s="772"/>
    </row>
    <row r="52" spans="1:10" ht="12.9" customHeight="1">
      <c r="A52" s="767">
        <v>400</v>
      </c>
      <c r="B52" s="762" t="s">
        <v>1019</v>
      </c>
      <c r="C52" s="762"/>
      <c r="D52" s="782">
        <f t="shared" ref="D52:I52" si="19">SUM(D36:D51)</f>
        <v>6629514.1100000003</v>
      </c>
      <c r="E52" s="782">
        <f t="shared" si="19"/>
        <v>2251880.2053142511</v>
      </c>
      <c r="F52" s="782">
        <f t="shared" si="19"/>
        <v>1351128.1231885508</v>
      </c>
      <c r="G52" s="783">
        <f t="shared" si="19"/>
        <v>900752.08212570031</v>
      </c>
      <c r="H52" s="784">
        <f t="shared" si="19"/>
        <v>1195546.3052922424</v>
      </c>
      <c r="I52" s="782">
        <f t="shared" si="19"/>
        <v>-294794.22316654224</v>
      </c>
      <c r="J52" s="772"/>
    </row>
    <row r="53" spans="1:10">
      <c r="A53" s="749"/>
      <c r="B53" s="750"/>
      <c r="C53" s="750"/>
      <c r="D53" s="761"/>
      <c r="E53" s="782">
        <f>+E32+E51</f>
        <v>0</v>
      </c>
      <c r="F53" s="761"/>
      <c r="G53" s="761"/>
      <c r="H53" s="771"/>
      <c r="J53" s="772"/>
    </row>
    <row r="54" spans="1:10" ht="12.9" customHeight="1">
      <c r="A54" s="767">
        <v>500</v>
      </c>
      <c r="B54" s="762" t="s">
        <v>1078</v>
      </c>
      <c r="C54" s="762"/>
      <c r="D54" s="782">
        <f>+D33+D52</f>
        <v>-291851993.89945263</v>
      </c>
      <c r="E54" s="782">
        <f>+E33+E52</f>
        <v>-99134826.027796566</v>
      </c>
      <c r="F54" s="782">
        <f>+F33+F52</f>
        <v>-59480895.616677932</v>
      </c>
      <c r="G54" s="782">
        <f>+G33+G52</f>
        <v>-39653930.411118634</v>
      </c>
      <c r="H54" s="782">
        <f>+H33+H52</f>
        <v>-52631696.261472262</v>
      </c>
      <c r="I54" s="782">
        <f>+I33+I52</f>
        <v>12977765.850353619</v>
      </c>
      <c r="J54" s="772"/>
    </row>
    <row r="55" spans="1:10">
      <c r="D55" s="771"/>
      <c r="H55" s="785"/>
      <c r="J55" s="772"/>
    </row>
    <row r="56" spans="1:10">
      <c r="A56" s="354" t="s">
        <v>172</v>
      </c>
      <c r="B56" s="740"/>
      <c r="C56" s="740"/>
      <c r="D56" s="740"/>
      <c r="E56" s="740"/>
      <c r="F56" s="740"/>
      <c r="G56" s="740"/>
      <c r="H56" s="786"/>
      <c r="I56" s="740"/>
      <c r="J56" s="772"/>
    </row>
    <row r="57" spans="1:10" ht="38.1" customHeight="1">
      <c r="A57" s="787" t="s">
        <v>76</v>
      </c>
      <c r="B57" s="938" t="s">
        <v>1003</v>
      </c>
      <c r="C57" s="938"/>
      <c r="D57" s="938"/>
      <c r="E57" s="938"/>
      <c r="F57" s="938"/>
      <c r="G57" s="938"/>
      <c r="H57" s="938"/>
      <c r="I57" s="938"/>
      <c r="J57" s="772"/>
    </row>
    <row r="58" spans="1:10" ht="49.95" customHeight="1">
      <c r="A58" s="787" t="s">
        <v>77</v>
      </c>
      <c r="B58" s="938" t="s">
        <v>876</v>
      </c>
      <c r="C58" s="938"/>
      <c r="D58" s="938"/>
      <c r="E58" s="938"/>
      <c r="F58" s="938"/>
      <c r="G58" s="938"/>
      <c r="H58" s="938"/>
      <c r="I58" s="938"/>
      <c r="J58" s="807"/>
    </row>
    <row r="60" spans="1:10">
      <c r="H60" s="712"/>
    </row>
    <row r="61" spans="1:10">
      <c r="H61" s="785"/>
    </row>
    <row r="62" spans="1:10">
      <c r="H62" s="785"/>
    </row>
  </sheetData>
  <mergeCells count="7">
    <mergeCell ref="A1:I1"/>
    <mergeCell ref="A2:I2"/>
    <mergeCell ref="A4:I4"/>
    <mergeCell ref="B58:I58"/>
    <mergeCell ref="D11:I11"/>
    <mergeCell ref="B57:I57"/>
    <mergeCell ref="A3:I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colBreaks count="1" manualBreakCount="1">
    <brk id="9" max="1048575" man="1"/>
  </colBreaks>
  <ignoredErrors>
    <ignoredError sqref="H30:H51 H28:H29 H15:H2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43"/>
  <sheetViews>
    <sheetView topLeftCell="A79" zoomScale="80" zoomScaleNormal="80" workbookViewId="0">
      <selection activeCell="D104" sqref="D104"/>
    </sheetView>
  </sheetViews>
  <sheetFormatPr defaultColWidth="8.6328125" defaultRowHeight="13.2"/>
  <cols>
    <col min="1" max="1" width="5.6328125" style="1" customWidth="1"/>
    <col min="2" max="2" width="26.54296875" style="2" customWidth="1"/>
    <col min="3" max="9" width="15.08984375" style="2" customWidth="1"/>
    <col min="10" max="10" width="11.6328125" style="2" customWidth="1"/>
    <col min="11" max="11" width="14.1796875" style="2" customWidth="1"/>
    <col min="12" max="12" width="12.1796875" style="2" customWidth="1"/>
    <col min="13" max="13" width="15.54296875" style="2" customWidth="1"/>
    <col min="14" max="14" width="13.6328125" style="2" customWidth="1"/>
    <col min="15" max="15" width="10.1796875" style="2" customWidth="1"/>
    <col min="16" max="16" width="10.6328125" style="2" customWidth="1"/>
    <col min="17" max="16384" width="8.6328125" style="2"/>
  </cols>
  <sheetData>
    <row r="1" spans="1:12">
      <c r="C1" s="3"/>
      <c r="E1" s="414" t="s">
        <v>414</v>
      </c>
      <c r="F1" s="3"/>
      <c r="H1" s="3"/>
      <c r="I1" s="3"/>
      <c r="J1" s="3"/>
    </row>
    <row r="2" spans="1:12">
      <c r="A2" s="5"/>
      <c r="C2" s="3"/>
      <c r="D2" s="3"/>
      <c r="E2" s="13" t="s">
        <v>279</v>
      </c>
      <c r="F2" s="3"/>
      <c r="H2" s="3"/>
      <c r="I2" s="3"/>
      <c r="J2" s="3"/>
      <c r="L2" s="6"/>
    </row>
    <row r="3" spans="1:12">
      <c r="A3" s="5"/>
      <c r="C3" s="3"/>
      <c r="D3" s="3"/>
      <c r="E3" s="415" t="str">
        <f>'Act Att-H'!C7</f>
        <v>Black Hills Colorado Electric, LLC</v>
      </c>
      <c r="F3" s="3"/>
      <c r="H3" s="3"/>
      <c r="I3" s="174" t="s">
        <v>720</v>
      </c>
      <c r="J3" s="3"/>
    </row>
    <row r="4" spans="1:12">
      <c r="A4" s="5"/>
      <c r="C4" s="3"/>
      <c r="D4" s="3"/>
      <c r="E4" s="3"/>
      <c r="F4" s="3"/>
      <c r="G4" s="3"/>
      <c r="H4" s="3"/>
      <c r="I4" s="3"/>
    </row>
    <row r="5" spans="1:12" ht="15" customHeight="1">
      <c r="A5" s="5"/>
      <c r="B5" s="7"/>
      <c r="C5" s="944" t="s">
        <v>697</v>
      </c>
      <c r="D5" s="945"/>
      <c r="E5" s="945"/>
      <c r="F5" s="945"/>
      <c r="G5" s="946"/>
      <c r="H5" s="8" t="s">
        <v>250</v>
      </c>
      <c r="I5" s="8" t="s">
        <v>251</v>
      </c>
    </row>
    <row r="6" spans="1:12">
      <c r="A6" s="5"/>
      <c r="B6" s="7"/>
    </row>
    <row r="7" spans="1:12" s="12" customFormat="1" ht="30" customHeight="1">
      <c r="A7" s="9" t="s">
        <v>252</v>
      </c>
      <c r="B7" s="10" t="s">
        <v>219</v>
      </c>
      <c r="C7" s="10" t="s">
        <v>253</v>
      </c>
      <c r="D7" s="10" t="s">
        <v>21</v>
      </c>
      <c r="E7" s="10" t="s">
        <v>254</v>
      </c>
      <c r="F7" s="10" t="s">
        <v>255</v>
      </c>
      <c r="G7" s="11" t="s">
        <v>167</v>
      </c>
      <c r="H7" s="10" t="s">
        <v>256</v>
      </c>
      <c r="I7" s="10" t="s">
        <v>257</v>
      </c>
    </row>
    <row r="8" spans="1:12" s="16" customFormat="1">
      <c r="A8" s="5"/>
      <c r="B8" s="13" t="s">
        <v>138</v>
      </c>
      <c r="C8" s="13" t="s">
        <v>139</v>
      </c>
      <c r="D8" s="13" t="s">
        <v>140</v>
      </c>
      <c r="E8" s="10" t="s">
        <v>141</v>
      </c>
      <c r="F8" s="10" t="s">
        <v>142</v>
      </c>
      <c r="G8" s="10" t="s">
        <v>143</v>
      </c>
      <c r="H8" s="10" t="s">
        <v>144</v>
      </c>
      <c r="I8" s="14" t="s">
        <v>145</v>
      </c>
    </row>
    <row r="9" spans="1:12" s="16" customFormat="1" ht="57.6" customHeight="1">
      <c r="A9" s="5"/>
      <c r="B9" s="17" t="s">
        <v>259</v>
      </c>
      <c r="C9" s="10" t="s">
        <v>1021</v>
      </c>
      <c r="D9" s="10" t="s">
        <v>1022</v>
      </c>
      <c r="E9" s="10" t="s">
        <v>1023</v>
      </c>
      <c r="F9" s="10" t="s">
        <v>1239</v>
      </c>
      <c r="G9" s="10" t="s">
        <v>1258</v>
      </c>
      <c r="H9" s="13" t="s">
        <v>1244</v>
      </c>
      <c r="I9" s="13" t="s">
        <v>1245</v>
      </c>
    </row>
    <row r="10" spans="1:12">
      <c r="A10" s="5">
        <v>1</v>
      </c>
      <c r="B10" s="18" t="s">
        <v>260</v>
      </c>
      <c r="C10" s="19">
        <v>424419332.86000007</v>
      </c>
      <c r="D10" s="19">
        <v>242287439.33000001</v>
      </c>
      <c r="E10" s="19">
        <v>383163465.91999996</v>
      </c>
      <c r="F10" s="19">
        <v>39146482.159999996</v>
      </c>
      <c r="G10" s="19">
        <v>22892222</v>
      </c>
      <c r="H10" s="19">
        <v>0</v>
      </c>
      <c r="I10" s="19">
        <v>0</v>
      </c>
      <c r="J10" s="16"/>
      <c r="K10" s="16"/>
    </row>
    <row r="11" spans="1:12">
      <c r="A11" s="5">
        <v>2</v>
      </c>
      <c r="B11" s="18" t="s">
        <v>146</v>
      </c>
      <c r="C11" s="19">
        <v>429823036.78000009</v>
      </c>
      <c r="D11" s="19">
        <v>241912678.32000002</v>
      </c>
      <c r="E11" s="19">
        <v>384374412.01999998</v>
      </c>
      <c r="F11" s="19">
        <v>41371136.439999998</v>
      </c>
      <c r="G11" s="19">
        <v>22911759</v>
      </c>
      <c r="H11" s="19">
        <v>0</v>
      </c>
      <c r="I11" s="19">
        <v>0</v>
      </c>
      <c r="J11" s="16"/>
      <c r="K11" s="16"/>
    </row>
    <row r="12" spans="1:12">
      <c r="A12" s="5">
        <v>3</v>
      </c>
      <c r="B12" s="3" t="s">
        <v>147</v>
      </c>
      <c r="C12" s="19">
        <v>429823036.78000009</v>
      </c>
      <c r="D12" s="19">
        <v>241905056.51999998</v>
      </c>
      <c r="E12" s="19">
        <v>386708122.97000003</v>
      </c>
      <c r="F12" s="19">
        <v>41853917.130000003</v>
      </c>
      <c r="G12" s="19">
        <v>22687655</v>
      </c>
      <c r="H12" s="19">
        <v>0</v>
      </c>
      <c r="I12" s="19">
        <v>0</v>
      </c>
      <c r="J12" s="16"/>
      <c r="K12" s="16"/>
    </row>
    <row r="13" spans="1:12">
      <c r="A13" s="5">
        <v>4</v>
      </c>
      <c r="B13" s="3" t="s">
        <v>261</v>
      </c>
      <c r="C13" s="19">
        <v>424361103</v>
      </c>
      <c r="D13" s="19">
        <v>242004040.05000001</v>
      </c>
      <c r="E13" s="19">
        <v>387403220.57000005</v>
      </c>
      <c r="F13" s="19">
        <v>41573625.689999998</v>
      </c>
      <c r="G13" s="19">
        <v>22280707</v>
      </c>
      <c r="H13" s="19">
        <v>0</v>
      </c>
      <c r="I13" s="19">
        <v>0</v>
      </c>
      <c r="J13" s="16"/>
      <c r="K13" s="16"/>
    </row>
    <row r="14" spans="1:12">
      <c r="A14" s="5">
        <v>5</v>
      </c>
      <c r="B14" s="3" t="s">
        <v>148</v>
      </c>
      <c r="C14" s="19">
        <v>424138603.00000006</v>
      </c>
      <c r="D14" s="19">
        <v>258324912.56999999</v>
      </c>
      <c r="E14" s="19">
        <v>393231605.05999988</v>
      </c>
      <c r="F14" s="19">
        <v>41911984.119999997</v>
      </c>
      <c r="G14" s="19">
        <v>22197772</v>
      </c>
      <c r="H14" s="19">
        <v>0</v>
      </c>
      <c r="I14" s="19">
        <v>0</v>
      </c>
      <c r="J14" s="16"/>
      <c r="K14" s="16"/>
    </row>
    <row r="15" spans="1:12">
      <c r="A15" s="5">
        <v>6</v>
      </c>
      <c r="B15" s="3" t="s">
        <v>149</v>
      </c>
      <c r="C15" s="19">
        <v>424140742.00000006</v>
      </c>
      <c r="D15" s="19">
        <v>259004835.46999997</v>
      </c>
      <c r="E15" s="19">
        <v>395401081.97999996</v>
      </c>
      <c r="F15" s="19">
        <v>41755949.43</v>
      </c>
      <c r="G15" s="19">
        <v>22227944</v>
      </c>
      <c r="H15" s="19">
        <v>0</v>
      </c>
      <c r="I15" s="19">
        <v>0</v>
      </c>
      <c r="J15" s="16"/>
      <c r="K15" s="16"/>
    </row>
    <row r="16" spans="1:12">
      <c r="A16" s="5">
        <v>7</v>
      </c>
      <c r="B16" s="3" t="s">
        <v>150</v>
      </c>
      <c r="C16" s="19">
        <v>424508004.90000004</v>
      </c>
      <c r="D16" s="19">
        <v>259875268.44</v>
      </c>
      <c r="E16" s="19">
        <v>395238175.33999991</v>
      </c>
      <c r="F16" s="19">
        <v>41972436.920000002</v>
      </c>
      <c r="G16" s="19">
        <v>22369153</v>
      </c>
      <c r="H16" s="19">
        <v>0</v>
      </c>
      <c r="I16" s="19">
        <v>0</v>
      </c>
      <c r="J16" s="16"/>
      <c r="K16" s="16"/>
    </row>
    <row r="17" spans="1:11">
      <c r="A17" s="5">
        <v>8</v>
      </c>
      <c r="B17" s="3" t="s">
        <v>151</v>
      </c>
      <c r="C17" s="19">
        <v>424661951.97999996</v>
      </c>
      <c r="D17" s="19">
        <v>260600369.89999998</v>
      </c>
      <c r="E17" s="19">
        <v>397865764.21999997</v>
      </c>
      <c r="F17" s="19">
        <v>43024772.629999995</v>
      </c>
      <c r="G17" s="19">
        <v>23015208</v>
      </c>
      <c r="H17" s="19">
        <v>0</v>
      </c>
      <c r="I17" s="19">
        <v>0</v>
      </c>
      <c r="J17" s="16"/>
      <c r="K17" s="16"/>
    </row>
    <row r="18" spans="1:11">
      <c r="A18" s="5">
        <v>9</v>
      </c>
      <c r="B18" s="3" t="s">
        <v>262</v>
      </c>
      <c r="C18" s="19">
        <v>424661951.97999996</v>
      </c>
      <c r="D18" s="19">
        <v>260612236.66999999</v>
      </c>
      <c r="E18" s="19">
        <v>398933295.36999995</v>
      </c>
      <c r="F18" s="19">
        <v>43200242.540000007</v>
      </c>
      <c r="G18" s="19">
        <v>23254601</v>
      </c>
      <c r="H18" s="19">
        <v>0</v>
      </c>
      <c r="I18" s="19">
        <v>0</v>
      </c>
      <c r="J18" s="16"/>
      <c r="K18" s="16"/>
    </row>
    <row r="19" spans="1:11">
      <c r="A19" s="5">
        <v>10</v>
      </c>
      <c r="B19" s="3" t="s">
        <v>152</v>
      </c>
      <c r="C19" s="19">
        <v>424626951.98000002</v>
      </c>
      <c r="D19" s="19">
        <v>260062725.99000001</v>
      </c>
      <c r="E19" s="19">
        <v>398976585.50999999</v>
      </c>
      <c r="F19" s="19">
        <v>43368823.980000012</v>
      </c>
      <c r="G19" s="19">
        <v>23275912</v>
      </c>
      <c r="H19" s="19">
        <v>0</v>
      </c>
      <c r="I19" s="19">
        <v>0</v>
      </c>
      <c r="J19" s="16"/>
      <c r="K19" s="16"/>
    </row>
    <row r="20" spans="1:11">
      <c r="A20" s="5">
        <v>11</v>
      </c>
      <c r="B20" s="3" t="s">
        <v>153</v>
      </c>
      <c r="C20" s="19">
        <v>424621951.98000008</v>
      </c>
      <c r="D20" s="19">
        <v>261665031.68000001</v>
      </c>
      <c r="E20" s="19">
        <v>401477383.65999991</v>
      </c>
      <c r="F20" s="19">
        <v>43663839.68</v>
      </c>
      <c r="G20" s="19">
        <v>23003817</v>
      </c>
      <c r="H20" s="19">
        <v>0</v>
      </c>
      <c r="I20" s="19">
        <v>0</v>
      </c>
      <c r="J20" s="16"/>
      <c r="K20" s="16"/>
    </row>
    <row r="21" spans="1:11">
      <c r="A21" s="5">
        <v>12</v>
      </c>
      <c r="B21" s="3" t="s">
        <v>154</v>
      </c>
      <c r="C21" s="19">
        <v>424621951.98000008</v>
      </c>
      <c r="D21" s="19">
        <v>263713430.58000001</v>
      </c>
      <c r="E21" s="19">
        <v>407143563.68000007</v>
      </c>
      <c r="F21" s="19">
        <v>43715058.350000001</v>
      </c>
      <c r="G21" s="19">
        <v>23072353</v>
      </c>
      <c r="H21" s="19">
        <v>0</v>
      </c>
      <c r="I21" s="19">
        <v>0</v>
      </c>
      <c r="J21" s="16"/>
      <c r="K21" s="16"/>
    </row>
    <row r="22" spans="1:11">
      <c r="A22" s="5">
        <v>13</v>
      </c>
      <c r="B22" s="3" t="s">
        <v>263</v>
      </c>
      <c r="C22" s="19">
        <v>424917973</v>
      </c>
      <c r="D22" s="19">
        <v>264303962.91</v>
      </c>
      <c r="E22" s="19">
        <v>410978289.37000006</v>
      </c>
      <c r="F22" s="19">
        <v>44386551.700000055</v>
      </c>
      <c r="G22" s="19">
        <v>22745275</v>
      </c>
      <c r="H22" s="19">
        <v>0</v>
      </c>
      <c r="I22" s="19">
        <v>0</v>
      </c>
      <c r="J22" s="16"/>
      <c r="K22" s="16"/>
    </row>
    <row r="23" spans="1:11" ht="13.8" thickBot="1">
      <c r="A23" s="5">
        <v>14</v>
      </c>
      <c r="B23" s="20" t="s">
        <v>264</v>
      </c>
      <c r="C23" s="21">
        <f>SUM(C10:C22)/13</f>
        <v>425332814.78615391</v>
      </c>
      <c r="D23" s="21">
        <f>SUM(D10:D22)/13</f>
        <v>255097845.26384613</v>
      </c>
      <c r="E23" s="21">
        <f t="shared" ref="E23:I23" si="0">SUM(E10:E22)/13</f>
        <v>395453458.89769226</v>
      </c>
      <c r="F23" s="21">
        <f t="shared" si="0"/>
        <v>42380370.828461543</v>
      </c>
      <c r="G23" s="21">
        <f t="shared" si="0"/>
        <v>22764182.923076924</v>
      </c>
      <c r="H23" s="21">
        <f t="shared" si="0"/>
        <v>0</v>
      </c>
      <c r="I23" s="21">
        <f t="shared" si="0"/>
        <v>0</v>
      </c>
      <c r="J23" s="16"/>
      <c r="K23" s="16"/>
    </row>
    <row r="24" spans="1:11" ht="13.8" thickTop="1">
      <c r="A24" s="5"/>
      <c r="B24" s="3"/>
      <c r="C24" s="22"/>
      <c r="D24" s="23"/>
      <c r="E24" s="23"/>
      <c r="F24" s="23"/>
      <c r="G24" s="22"/>
      <c r="H24" s="22"/>
      <c r="I24" s="22"/>
    </row>
    <row r="25" spans="1:11">
      <c r="A25" s="5"/>
      <c r="B25" s="3"/>
      <c r="C25" s="22"/>
      <c r="D25" s="23"/>
      <c r="E25" s="23"/>
      <c r="F25" s="23"/>
      <c r="G25" s="22"/>
      <c r="H25" s="22"/>
      <c r="I25" s="22"/>
    </row>
    <row r="26" spans="1:11">
      <c r="A26" s="5"/>
      <c r="B26" s="3"/>
      <c r="C26" s="22"/>
      <c r="D26" s="23"/>
      <c r="E26" s="23"/>
      <c r="F26" s="23"/>
      <c r="G26" s="22"/>
      <c r="H26" s="22"/>
      <c r="I26" s="22"/>
    </row>
    <row r="27" spans="1:11">
      <c r="A27" s="5"/>
      <c r="B27" s="3"/>
      <c r="C27" s="3"/>
    </row>
    <row r="28" spans="1:11">
      <c r="A28" s="5"/>
      <c r="B28" s="3"/>
      <c r="C28" s="562"/>
      <c r="D28" s="561"/>
      <c r="E28" s="947" t="s">
        <v>698</v>
      </c>
      <c r="F28" s="948"/>
      <c r="G28" s="948"/>
      <c r="H28" s="948"/>
      <c r="I28" s="949"/>
    </row>
    <row r="29" spans="1:11">
      <c r="A29" s="5"/>
      <c r="B29" s="3"/>
    </row>
    <row r="30" spans="1:11" ht="26.4">
      <c r="A30" s="9" t="s">
        <v>252</v>
      </c>
      <c r="B30" s="10" t="s">
        <v>219</v>
      </c>
      <c r="C30" s="10" t="s">
        <v>723</v>
      </c>
      <c r="D30" s="10" t="s">
        <v>723</v>
      </c>
      <c r="E30" s="10" t="s">
        <v>253</v>
      </c>
      <c r="F30" s="10" t="s">
        <v>21</v>
      </c>
      <c r="G30" s="10" t="s">
        <v>254</v>
      </c>
      <c r="H30" s="10" t="s">
        <v>255</v>
      </c>
      <c r="I30" s="10" t="s">
        <v>167</v>
      </c>
    </row>
    <row r="31" spans="1:11">
      <c r="A31" s="5"/>
      <c r="B31" s="13" t="s">
        <v>138</v>
      </c>
      <c r="C31" s="13" t="s">
        <v>139</v>
      </c>
      <c r="D31" s="13" t="s">
        <v>140</v>
      </c>
      <c r="E31" s="10" t="s">
        <v>141</v>
      </c>
      <c r="F31" s="10" t="s">
        <v>142</v>
      </c>
      <c r="G31" s="10" t="s">
        <v>143</v>
      </c>
      <c r="H31" s="10" t="s">
        <v>144</v>
      </c>
      <c r="I31" s="14" t="s">
        <v>145</v>
      </c>
    </row>
    <row r="32" spans="1:11" ht="39.6">
      <c r="A32" s="5"/>
      <c r="B32" s="17" t="s">
        <v>259</v>
      </c>
      <c r="C32" s="10"/>
      <c r="D32" s="13"/>
      <c r="E32" s="830" t="s">
        <v>1091</v>
      </c>
      <c r="F32" s="830" t="s">
        <v>1092</v>
      </c>
      <c r="G32" s="830" t="s">
        <v>1093</v>
      </c>
      <c r="H32" s="830" t="s">
        <v>1246</v>
      </c>
      <c r="I32" s="830" t="s">
        <v>1259</v>
      </c>
    </row>
    <row r="33" spans="1:9">
      <c r="A33" s="5">
        <v>15</v>
      </c>
      <c r="B33" s="18" t="s">
        <v>260</v>
      </c>
      <c r="C33" s="10"/>
      <c r="D33" s="10"/>
      <c r="E33" s="19">
        <v>113164497.34124731</v>
      </c>
      <c r="F33" s="19">
        <v>46193935.165855415</v>
      </c>
      <c r="G33" s="19">
        <v>152179529.63425758</v>
      </c>
      <c r="H33" s="19">
        <v>19353545.738639716</v>
      </c>
      <c r="I33" s="19">
        <v>3488956</v>
      </c>
    </row>
    <row r="34" spans="1:9">
      <c r="A34" s="5">
        <v>16</v>
      </c>
      <c r="B34" s="18" t="s">
        <v>146</v>
      </c>
      <c r="C34" s="10"/>
      <c r="D34" s="10"/>
      <c r="E34" s="19">
        <v>119833609.9660757</v>
      </c>
      <c r="F34" s="19">
        <v>45377602.673049301</v>
      </c>
      <c r="G34" s="19">
        <v>152883986.36312547</v>
      </c>
      <c r="H34" s="19">
        <v>20491694.517749518</v>
      </c>
      <c r="I34" s="19">
        <v>3734756</v>
      </c>
    </row>
    <row r="35" spans="1:9">
      <c r="A35" s="5">
        <v>17</v>
      </c>
      <c r="B35" s="3" t="s">
        <v>147</v>
      </c>
      <c r="C35" s="10"/>
      <c r="D35" s="10"/>
      <c r="E35" s="19">
        <v>121100618.25107239</v>
      </c>
      <c r="F35" s="19">
        <v>45691284.700087763</v>
      </c>
      <c r="G35" s="19">
        <v>153442176.44813156</v>
      </c>
      <c r="H35" s="19">
        <v>20772309.560708277</v>
      </c>
      <c r="I35" s="19">
        <v>4054872</v>
      </c>
    </row>
    <row r="36" spans="1:9">
      <c r="A36" s="5">
        <v>18</v>
      </c>
      <c r="B36" s="3" t="s">
        <v>261</v>
      </c>
      <c r="C36" s="10"/>
      <c r="D36" s="10"/>
      <c r="E36" s="19">
        <v>116922031.47691913</v>
      </c>
      <c r="F36" s="19">
        <v>46031260.611641638</v>
      </c>
      <c r="G36" s="19">
        <v>153739329.30726722</v>
      </c>
      <c r="H36" s="19">
        <v>20600057.184172019</v>
      </c>
      <c r="I36" s="19">
        <v>4303505</v>
      </c>
    </row>
    <row r="37" spans="1:9">
      <c r="A37" s="5">
        <v>19</v>
      </c>
      <c r="B37" s="3" t="s">
        <v>148</v>
      </c>
      <c r="C37" s="10"/>
      <c r="D37" s="10"/>
      <c r="E37" s="19">
        <v>117972381.86504272</v>
      </c>
      <c r="F37" s="19">
        <v>46381972.708754286</v>
      </c>
      <c r="G37" s="19">
        <v>154749249.58586621</v>
      </c>
      <c r="H37" s="19">
        <v>20698474.540336732</v>
      </c>
      <c r="I37" s="19">
        <v>4522274</v>
      </c>
    </row>
    <row r="38" spans="1:9">
      <c r="A38" s="5">
        <v>20</v>
      </c>
      <c r="B38" s="3" t="s">
        <v>149</v>
      </c>
      <c r="C38" s="10"/>
      <c r="D38" s="10"/>
      <c r="E38" s="19">
        <v>119222731.96376497</v>
      </c>
      <c r="F38" s="19">
        <v>46753254.857643507</v>
      </c>
      <c r="G38" s="19">
        <v>155145452.52374724</v>
      </c>
      <c r="H38" s="19">
        <v>21104175.064844288</v>
      </c>
      <c r="I38" s="19">
        <v>4679451</v>
      </c>
    </row>
    <row r="39" spans="1:9">
      <c r="A39" s="5">
        <v>21</v>
      </c>
      <c r="B39" s="3" t="s">
        <v>150</v>
      </c>
      <c r="C39" s="10"/>
      <c r="D39" s="10"/>
      <c r="E39" s="19">
        <v>120219997.4386083</v>
      </c>
      <c r="F39" s="19">
        <v>46607606.92755986</v>
      </c>
      <c r="G39" s="19">
        <v>154154432.60342833</v>
      </c>
      <c r="H39" s="19">
        <v>20187466.120403558</v>
      </c>
      <c r="I39" s="19">
        <v>4929973</v>
      </c>
    </row>
    <row r="40" spans="1:9">
      <c r="A40" s="5">
        <v>22</v>
      </c>
      <c r="B40" s="3" t="s">
        <v>151</v>
      </c>
      <c r="C40" s="10"/>
      <c r="D40" s="10"/>
      <c r="E40" s="19">
        <v>121484196.48449238</v>
      </c>
      <c r="F40" s="19">
        <v>47491856.954499297</v>
      </c>
      <c r="G40" s="19">
        <v>155659554.22952315</v>
      </c>
      <c r="H40" s="19">
        <v>20142081.171485189</v>
      </c>
      <c r="I40" s="19">
        <v>5035692</v>
      </c>
    </row>
    <row r="41" spans="1:9">
      <c r="A41" s="5">
        <v>23</v>
      </c>
      <c r="B41" s="3" t="s">
        <v>262</v>
      </c>
      <c r="C41" s="10"/>
      <c r="D41" s="10"/>
      <c r="E41" s="19">
        <v>122738677.23396184</v>
      </c>
      <c r="F41" s="19">
        <v>47863236.524956174</v>
      </c>
      <c r="G41" s="19">
        <v>156373418.75518018</v>
      </c>
      <c r="H41" s="19">
        <v>20382612.835901849</v>
      </c>
      <c r="I41" s="19">
        <v>5299332</v>
      </c>
    </row>
    <row r="42" spans="1:9">
      <c r="A42" s="5">
        <v>24</v>
      </c>
      <c r="B42" s="3" t="s">
        <v>152</v>
      </c>
      <c r="C42" s="10"/>
      <c r="D42" s="10"/>
      <c r="E42" s="19">
        <v>123923501.02315767</v>
      </c>
      <c r="F42" s="19">
        <v>47719328.379934691</v>
      </c>
      <c r="G42" s="19">
        <v>155655667.58628842</v>
      </c>
      <c r="H42" s="19">
        <v>20689496.820619218</v>
      </c>
      <c r="I42" s="19">
        <v>5560567</v>
      </c>
    </row>
    <row r="43" spans="1:9">
      <c r="A43" s="5">
        <v>25</v>
      </c>
      <c r="B43" s="3" t="s">
        <v>153</v>
      </c>
      <c r="C43" s="10"/>
      <c r="D43" s="10"/>
      <c r="E43" s="19">
        <v>125162757.51303728</v>
      </c>
      <c r="F43" s="19">
        <v>48604330.486245431</v>
      </c>
      <c r="G43" s="19">
        <v>157819757.75726971</v>
      </c>
      <c r="H43" s="19">
        <v>20949372.263447616</v>
      </c>
      <c r="I43" s="19">
        <v>6611714</v>
      </c>
    </row>
    <row r="44" spans="1:9">
      <c r="A44" s="5">
        <v>26</v>
      </c>
      <c r="B44" s="3" t="s">
        <v>154</v>
      </c>
      <c r="C44" s="10"/>
      <c r="D44" s="10"/>
      <c r="E44" s="19">
        <v>126414276.76090701</v>
      </c>
      <c r="F44" s="19">
        <v>48879817.220615178</v>
      </c>
      <c r="G44" s="19">
        <v>158147467.07745102</v>
      </c>
      <c r="H44" s="19">
        <v>20557755.981026825</v>
      </c>
      <c r="I44" s="19">
        <v>6879543</v>
      </c>
    </row>
    <row r="45" spans="1:9">
      <c r="A45" s="5">
        <v>27</v>
      </c>
      <c r="B45" s="3" t="s">
        <v>263</v>
      </c>
      <c r="C45" s="10"/>
      <c r="D45" s="10"/>
      <c r="E45" s="19">
        <v>127508984.69864899</v>
      </c>
      <c r="F45" s="19">
        <v>48570417.830211848</v>
      </c>
      <c r="G45" s="19">
        <v>156335883.34363261</v>
      </c>
      <c r="H45" s="19">
        <v>22580427.327506546</v>
      </c>
      <c r="I45" s="19">
        <v>6269229</v>
      </c>
    </row>
    <row r="46" spans="1:9" ht="13.8" thickBot="1">
      <c r="A46" s="5">
        <v>28</v>
      </c>
      <c r="B46" s="20" t="s">
        <v>264</v>
      </c>
      <c r="C46" s="21"/>
      <c r="D46" s="21"/>
      <c r="E46" s="21">
        <f t="shared" ref="E46:I46" si="1">SUM(E33:E45)/13</f>
        <v>121205250.92437965</v>
      </c>
      <c r="F46" s="21">
        <f t="shared" si="1"/>
        <v>47089685.003158025</v>
      </c>
      <c r="G46" s="21">
        <f t="shared" si="1"/>
        <v>155098915.78578222</v>
      </c>
      <c r="H46" s="21">
        <f t="shared" si="1"/>
        <v>20654574.548218567</v>
      </c>
      <c r="I46" s="21">
        <f t="shared" si="1"/>
        <v>5028451.076923077</v>
      </c>
    </row>
    <row r="47" spans="1:9" ht="13.8" thickTop="1">
      <c r="A47" s="5"/>
      <c r="B47" s="3"/>
    </row>
    <row r="48" spans="1:9">
      <c r="A48" s="5"/>
      <c r="B48" s="3"/>
    </row>
    <row r="49" spans="1:9">
      <c r="A49" s="725"/>
      <c r="B49" s="3"/>
      <c r="C49" s="726"/>
      <c r="D49" s="727"/>
      <c r="E49" s="726"/>
      <c r="F49" s="726"/>
      <c r="G49" s="726"/>
      <c r="H49" s="726"/>
      <c r="I49" s="726"/>
    </row>
    <row r="50" spans="1:9" s="833" customFormat="1" ht="26.4">
      <c r="A50" s="831"/>
      <c r="B50" s="830" t="s">
        <v>219</v>
      </c>
      <c r="C50" s="830" t="s">
        <v>962</v>
      </c>
      <c r="D50" s="830" t="s">
        <v>963</v>
      </c>
      <c r="E50" s="830" t="s">
        <v>1089</v>
      </c>
      <c r="F50" s="830" t="s">
        <v>1090</v>
      </c>
      <c r="G50" s="830" t="s">
        <v>964</v>
      </c>
      <c r="H50" s="830" t="s">
        <v>965</v>
      </c>
      <c r="I50" s="14" t="s">
        <v>1127</v>
      </c>
    </row>
    <row r="51" spans="1:9" s="833" customFormat="1">
      <c r="A51" s="831"/>
      <c r="B51" s="834" t="s">
        <v>138</v>
      </c>
      <c r="C51" s="834" t="s">
        <v>139</v>
      </c>
      <c r="D51" s="834" t="s">
        <v>140</v>
      </c>
      <c r="E51" s="834" t="s">
        <v>141</v>
      </c>
      <c r="F51" s="834" t="s">
        <v>142</v>
      </c>
      <c r="G51" s="834" t="s">
        <v>143</v>
      </c>
      <c r="H51" s="834" t="s">
        <v>144</v>
      </c>
      <c r="I51" s="14" t="s">
        <v>145</v>
      </c>
    </row>
    <row r="52" spans="1:9" s="833" customFormat="1">
      <c r="A52" s="831"/>
      <c r="B52" s="835" t="s">
        <v>259</v>
      </c>
      <c r="C52" s="830"/>
      <c r="D52" s="830"/>
      <c r="E52" s="830" t="s">
        <v>216</v>
      </c>
      <c r="F52" s="830" t="s">
        <v>216</v>
      </c>
      <c r="G52" s="830" t="s">
        <v>216</v>
      </c>
      <c r="H52" s="830" t="s">
        <v>216</v>
      </c>
      <c r="I52" s="10" t="s">
        <v>1128</v>
      </c>
    </row>
    <row r="53" spans="1:9" s="833" customFormat="1">
      <c r="A53" s="831">
        <f>A46+1</f>
        <v>29</v>
      </c>
      <c r="B53" s="836" t="s">
        <v>260</v>
      </c>
      <c r="C53" s="837">
        <v>7196224</v>
      </c>
      <c r="D53" s="837">
        <v>2197786</v>
      </c>
      <c r="E53" s="837">
        <v>261441404</v>
      </c>
      <c r="F53" s="837">
        <v>130720701</v>
      </c>
      <c r="G53" s="837">
        <v>1241279</v>
      </c>
      <c r="H53" s="837">
        <v>392627</v>
      </c>
      <c r="I53" s="19"/>
    </row>
    <row r="54" spans="1:9" s="833" customFormat="1">
      <c r="A54" s="831">
        <f>A53+1</f>
        <v>30</v>
      </c>
      <c r="B54" s="836" t="s">
        <v>146</v>
      </c>
      <c r="C54" s="837">
        <v>7196224</v>
      </c>
      <c r="D54" s="837">
        <v>2222961</v>
      </c>
      <c r="E54" s="837">
        <v>261441404</v>
      </c>
      <c r="F54" s="837">
        <v>131810041</v>
      </c>
      <c r="G54" s="837">
        <v>1127251</v>
      </c>
      <c r="H54" s="837">
        <v>381466</v>
      </c>
      <c r="I54" s="19"/>
    </row>
    <row r="55" spans="1:9" s="833" customFormat="1">
      <c r="A55" s="831">
        <f t="shared" ref="A55:A66" si="2">A54+1</f>
        <v>31</v>
      </c>
      <c r="B55" s="836" t="s">
        <v>147</v>
      </c>
      <c r="C55" s="837">
        <v>7196224</v>
      </c>
      <c r="D55" s="837">
        <v>2248137</v>
      </c>
      <c r="E55" s="837">
        <v>261441404</v>
      </c>
      <c r="F55" s="837">
        <v>132899380</v>
      </c>
      <c r="G55" s="837">
        <v>1127251</v>
      </c>
      <c r="H55" s="837">
        <v>390135</v>
      </c>
      <c r="I55" s="19"/>
    </row>
    <row r="56" spans="1:9" s="833" customFormat="1">
      <c r="A56" s="831">
        <f t="shared" si="2"/>
        <v>32</v>
      </c>
      <c r="B56" s="836" t="s">
        <v>261</v>
      </c>
      <c r="C56" s="837">
        <v>7196224</v>
      </c>
      <c r="D56" s="837">
        <v>2273312</v>
      </c>
      <c r="E56" s="837">
        <v>261441404</v>
      </c>
      <c r="F56" s="837">
        <v>133988719</v>
      </c>
      <c r="G56" s="837">
        <v>1127251</v>
      </c>
      <c r="H56" s="837">
        <v>398822</v>
      </c>
      <c r="I56" s="19"/>
    </row>
    <row r="57" spans="1:9" s="833" customFormat="1">
      <c r="A57" s="831">
        <f t="shared" si="2"/>
        <v>33</v>
      </c>
      <c r="B57" s="836" t="s">
        <v>148</v>
      </c>
      <c r="C57" s="837">
        <v>7196224</v>
      </c>
      <c r="D57" s="837">
        <v>2298487</v>
      </c>
      <c r="E57" s="837">
        <v>261441404</v>
      </c>
      <c r="F57" s="837">
        <v>135078058</v>
      </c>
      <c r="G57" s="837">
        <v>1127251</v>
      </c>
      <c r="H57" s="837">
        <v>407527</v>
      </c>
      <c r="I57" s="19"/>
    </row>
    <row r="58" spans="1:9" s="833" customFormat="1">
      <c r="A58" s="831">
        <f t="shared" si="2"/>
        <v>34</v>
      </c>
      <c r="B58" s="836" t="s">
        <v>149</v>
      </c>
      <c r="C58" s="837">
        <v>7196224</v>
      </c>
      <c r="D58" s="837">
        <v>2323663</v>
      </c>
      <c r="E58" s="837">
        <v>261441404</v>
      </c>
      <c r="F58" s="837">
        <v>136167397</v>
      </c>
      <c r="G58" s="837">
        <v>1127251</v>
      </c>
      <c r="H58" s="837">
        <v>416249</v>
      </c>
      <c r="I58" s="19"/>
    </row>
    <row r="59" spans="1:9" s="833" customFormat="1">
      <c r="A59" s="831">
        <f t="shared" si="2"/>
        <v>35</v>
      </c>
      <c r="B59" s="836" t="s">
        <v>150</v>
      </c>
      <c r="C59" s="837">
        <v>7196224</v>
      </c>
      <c r="D59" s="837">
        <v>2348838</v>
      </c>
      <c r="E59" s="837">
        <v>261441404</v>
      </c>
      <c r="F59" s="837">
        <v>137256736</v>
      </c>
      <c r="G59" s="837">
        <v>1127251</v>
      </c>
      <c r="H59" s="837">
        <v>424988</v>
      </c>
      <c r="I59" s="19"/>
    </row>
    <row r="60" spans="1:9" s="833" customFormat="1">
      <c r="A60" s="831">
        <f t="shared" si="2"/>
        <v>36</v>
      </c>
      <c r="B60" s="836" t="s">
        <v>151</v>
      </c>
      <c r="C60" s="837">
        <v>7196224</v>
      </c>
      <c r="D60" s="837">
        <v>2374014</v>
      </c>
      <c r="E60" s="837">
        <v>261441404</v>
      </c>
      <c r="F60" s="837">
        <v>138346076</v>
      </c>
      <c r="G60" s="837">
        <v>1150852</v>
      </c>
      <c r="H60" s="837">
        <v>433730</v>
      </c>
      <c r="I60" s="19"/>
    </row>
    <row r="61" spans="1:9" s="833" customFormat="1">
      <c r="A61" s="831">
        <f t="shared" si="2"/>
        <v>37</v>
      </c>
      <c r="B61" s="836" t="s">
        <v>262</v>
      </c>
      <c r="C61" s="837">
        <v>7196224</v>
      </c>
      <c r="D61" s="837">
        <v>2374014</v>
      </c>
      <c r="E61" s="837">
        <v>261441404</v>
      </c>
      <c r="F61" s="837">
        <v>139435415</v>
      </c>
      <c r="G61" s="837">
        <v>1151438</v>
      </c>
      <c r="H61" s="837">
        <v>442503</v>
      </c>
      <c r="I61" s="19"/>
    </row>
    <row r="62" spans="1:9" s="833" customFormat="1">
      <c r="A62" s="831">
        <f t="shared" si="2"/>
        <v>38</v>
      </c>
      <c r="B62" s="836" t="s">
        <v>152</v>
      </c>
      <c r="C62" s="837">
        <v>7196224</v>
      </c>
      <c r="D62" s="837">
        <v>2424365</v>
      </c>
      <c r="E62" s="837">
        <v>261441404</v>
      </c>
      <c r="F62" s="837">
        <v>140524754</v>
      </c>
      <c r="G62" s="837">
        <v>1151438</v>
      </c>
      <c r="H62" s="837">
        <v>451291</v>
      </c>
      <c r="I62" s="19"/>
    </row>
    <row r="63" spans="1:9" s="833" customFormat="1">
      <c r="A63" s="831">
        <f t="shared" si="2"/>
        <v>39</v>
      </c>
      <c r="B63" s="836" t="s">
        <v>153</v>
      </c>
      <c r="C63" s="837">
        <v>7196224</v>
      </c>
      <c r="D63" s="837">
        <v>2449540</v>
      </c>
      <c r="E63" s="837">
        <v>261441404</v>
      </c>
      <c r="F63" s="837">
        <v>141614093</v>
      </c>
      <c r="G63" s="837">
        <v>1151438</v>
      </c>
      <c r="H63" s="837">
        <v>460097</v>
      </c>
      <c r="I63" s="19"/>
    </row>
    <row r="64" spans="1:9" s="833" customFormat="1">
      <c r="A64" s="831">
        <f t="shared" si="2"/>
        <v>40</v>
      </c>
      <c r="B64" s="836" t="s">
        <v>154</v>
      </c>
      <c r="C64" s="837">
        <v>7196224</v>
      </c>
      <c r="D64" s="837">
        <v>2474716</v>
      </c>
      <c r="E64" s="837">
        <v>261441404</v>
      </c>
      <c r="F64" s="837">
        <v>142703432</v>
      </c>
      <c r="G64" s="837">
        <v>1151438</v>
      </c>
      <c r="H64" s="837">
        <v>468922</v>
      </c>
      <c r="I64" s="19"/>
    </row>
    <row r="65" spans="1:12" s="833" customFormat="1">
      <c r="A65" s="831">
        <f t="shared" si="2"/>
        <v>41</v>
      </c>
      <c r="B65" s="836" t="s">
        <v>263</v>
      </c>
      <c r="C65" s="837">
        <v>7196224</v>
      </c>
      <c r="D65" s="837">
        <v>2499891</v>
      </c>
      <c r="E65" s="837">
        <v>261441404</v>
      </c>
      <c r="F65" s="837">
        <v>143792772</v>
      </c>
      <c r="G65" s="837">
        <v>1151569</v>
      </c>
      <c r="H65" s="837">
        <v>475160</v>
      </c>
      <c r="I65" s="19"/>
    </row>
    <row r="66" spans="1:12" s="833" customFormat="1" ht="13.8" thickBot="1">
      <c r="A66" s="831">
        <f t="shared" si="2"/>
        <v>42</v>
      </c>
      <c r="B66" s="836" t="s">
        <v>264</v>
      </c>
      <c r="C66" s="838">
        <f>SUM(C53:C65)/13</f>
        <v>7196224</v>
      </c>
      <c r="D66" s="838">
        <f t="shared" ref="D66:I66" si="3">SUM(D53:D65)/13</f>
        <v>2346901.846153846</v>
      </c>
      <c r="E66" s="838">
        <f t="shared" si="3"/>
        <v>261441404</v>
      </c>
      <c r="F66" s="838">
        <f t="shared" si="3"/>
        <v>137256736.46153846</v>
      </c>
      <c r="G66" s="838">
        <f t="shared" si="3"/>
        <v>1147150.6153846155</v>
      </c>
      <c r="H66" s="838">
        <f t="shared" si="3"/>
        <v>426424.38461538462</v>
      </c>
      <c r="I66" s="838">
        <f t="shared" si="3"/>
        <v>0</v>
      </c>
    </row>
    <row r="67" spans="1:12" ht="13.8" thickTop="1">
      <c r="A67" s="5"/>
      <c r="B67" s="3"/>
      <c r="C67" s="22"/>
      <c r="D67" s="23"/>
      <c r="E67" s="23"/>
      <c r="F67" s="23"/>
      <c r="G67" s="22"/>
      <c r="H67" s="22"/>
      <c r="I67" s="22"/>
    </row>
    <row r="68" spans="1:12">
      <c r="C68" s="3"/>
      <c r="E68" s="414" t="str">
        <f>E1</f>
        <v>Worksheet A4</v>
      </c>
      <c r="F68" s="3"/>
      <c r="H68" s="3"/>
      <c r="I68" s="3"/>
      <c r="J68" s="3"/>
    </row>
    <row r="69" spans="1:12">
      <c r="A69" s="5"/>
      <c r="C69" s="3"/>
      <c r="D69" s="3"/>
      <c r="E69" s="13" t="str">
        <f>E2</f>
        <v>Rate Base Worksheet</v>
      </c>
      <c r="F69" s="3"/>
      <c r="H69" s="3"/>
      <c r="I69" s="3"/>
      <c r="J69" s="3"/>
      <c r="L69" s="6"/>
    </row>
    <row r="70" spans="1:12">
      <c r="A70" s="5"/>
      <c r="C70" s="3"/>
      <c r="E70" s="214" t="str">
        <f>E3</f>
        <v>Black Hills Colorado Electric, LLC</v>
      </c>
      <c r="F70" s="3"/>
      <c r="H70" s="3"/>
      <c r="I70" s="174" t="s">
        <v>721</v>
      </c>
      <c r="J70" s="3"/>
    </row>
    <row r="71" spans="1:12">
      <c r="A71" s="5"/>
      <c r="B71" s="3"/>
      <c r="C71" s="22"/>
      <c r="D71" s="23"/>
      <c r="E71" s="23"/>
      <c r="F71" s="23"/>
      <c r="G71" s="22"/>
      <c r="H71" s="22"/>
      <c r="I71" s="22"/>
    </row>
    <row r="72" spans="1:12">
      <c r="A72" s="5"/>
      <c r="B72" s="24"/>
      <c r="C72" s="947" t="s">
        <v>699</v>
      </c>
      <c r="D72" s="948"/>
      <c r="E72" s="948"/>
      <c r="F72" s="948"/>
      <c r="G72" s="948"/>
      <c r="H72" s="948"/>
      <c r="I72" s="949"/>
    </row>
    <row r="73" spans="1:12" ht="102" customHeight="1">
      <c r="A73" s="5" t="s">
        <v>252</v>
      </c>
      <c r="B73" s="13" t="s">
        <v>219</v>
      </c>
      <c r="C73" s="14" t="s">
        <v>265</v>
      </c>
      <c r="D73" s="14" t="s">
        <v>266</v>
      </c>
      <c r="E73" s="14" t="s">
        <v>267</v>
      </c>
      <c r="F73" s="14" t="s">
        <v>268</v>
      </c>
      <c r="G73" s="14" t="s">
        <v>269</v>
      </c>
      <c r="H73" s="14" t="s">
        <v>270</v>
      </c>
      <c r="I73" s="14" t="s">
        <v>793</v>
      </c>
    </row>
    <row r="74" spans="1:12" s="16" customFormat="1">
      <c r="A74" s="5"/>
      <c r="B74" s="13" t="s">
        <v>138</v>
      </c>
      <c r="C74" s="14" t="s">
        <v>139</v>
      </c>
      <c r="D74" s="14" t="s">
        <v>140</v>
      </c>
      <c r="E74" s="14" t="s">
        <v>141</v>
      </c>
      <c r="F74" s="14" t="s">
        <v>142</v>
      </c>
      <c r="G74" s="14" t="s">
        <v>143</v>
      </c>
      <c r="H74" s="14" t="s">
        <v>144</v>
      </c>
      <c r="I74" s="14" t="s">
        <v>145</v>
      </c>
    </row>
    <row r="75" spans="1:12" s="16" customFormat="1" ht="57" customHeight="1">
      <c r="A75" s="5"/>
      <c r="B75" s="17" t="s">
        <v>259</v>
      </c>
      <c r="C75" s="10" t="s">
        <v>271</v>
      </c>
      <c r="D75" s="14" t="s">
        <v>747</v>
      </c>
      <c r="E75" s="14" t="s">
        <v>796</v>
      </c>
      <c r="F75" s="14" t="s">
        <v>796</v>
      </c>
      <c r="G75" s="14" t="s">
        <v>796</v>
      </c>
      <c r="H75" s="14" t="s">
        <v>796</v>
      </c>
      <c r="I75" s="14">
        <v>111.57</v>
      </c>
    </row>
    <row r="76" spans="1:12">
      <c r="A76" s="5">
        <v>1</v>
      </c>
      <c r="B76" s="18" t="s">
        <v>260</v>
      </c>
      <c r="C76" s="19">
        <v>0</v>
      </c>
      <c r="D76" s="19">
        <v>0</v>
      </c>
      <c r="E76" s="160">
        <f>'A3-ADIT'!D12</f>
        <v>0</v>
      </c>
      <c r="F76" s="160">
        <f>'A3-ADIT'!D13</f>
        <v>-130446407</v>
      </c>
      <c r="G76" s="160">
        <f>'A3-ADIT'!D14</f>
        <v>-41588756</v>
      </c>
      <c r="H76" s="160">
        <f>'A3-ADIT'!D15</f>
        <v>74956049</v>
      </c>
      <c r="I76" s="19">
        <v>1130673</v>
      </c>
    </row>
    <row r="77" spans="1:12">
      <c r="A77" s="5">
        <v>2</v>
      </c>
      <c r="B77" s="18" t="s">
        <v>146</v>
      </c>
      <c r="C77" s="19">
        <v>0</v>
      </c>
      <c r="D77" s="19">
        <v>0</v>
      </c>
      <c r="E77" s="25"/>
      <c r="F77" s="25"/>
      <c r="G77" s="25"/>
      <c r="H77" s="25"/>
      <c r="I77" s="19">
        <v>1524675</v>
      </c>
    </row>
    <row r="78" spans="1:12">
      <c r="A78" s="5">
        <v>3</v>
      </c>
      <c r="B78" s="3" t="s">
        <v>147</v>
      </c>
      <c r="C78" s="19">
        <v>0</v>
      </c>
      <c r="D78" s="19">
        <v>0</v>
      </c>
      <c r="E78" s="25"/>
      <c r="F78" s="25"/>
      <c r="G78" s="25"/>
      <c r="H78" s="25"/>
      <c r="I78" s="19">
        <v>1299321</v>
      </c>
    </row>
    <row r="79" spans="1:12">
      <c r="A79" s="5">
        <v>4</v>
      </c>
      <c r="B79" s="3" t="s">
        <v>261</v>
      </c>
      <c r="C79" s="19">
        <v>0</v>
      </c>
      <c r="D79" s="19">
        <v>0</v>
      </c>
      <c r="E79" s="25"/>
      <c r="F79" s="25"/>
      <c r="G79" s="25"/>
      <c r="H79" s="25"/>
      <c r="I79" s="19">
        <v>1001352</v>
      </c>
    </row>
    <row r="80" spans="1:12">
      <c r="A80" s="5">
        <v>5</v>
      </c>
      <c r="B80" s="3" t="s">
        <v>148</v>
      </c>
      <c r="C80" s="19">
        <v>0</v>
      </c>
      <c r="D80" s="19">
        <v>0</v>
      </c>
      <c r="E80" s="25"/>
      <c r="F80" s="25"/>
      <c r="G80" s="25"/>
      <c r="H80" s="25"/>
      <c r="I80" s="19">
        <v>1150846</v>
      </c>
    </row>
    <row r="81" spans="1:12">
      <c r="A81" s="5">
        <v>6</v>
      </c>
      <c r="B81" s="3" t="s">
        <v>149</v>
      </c>
      <c r="C81" s="19">
        <v>0</v>
      </c>
      <c r="D81" s="19">
        <v>0</v>
      </c>
      <c r="E81" s="25"/>
      <c r="F81" s="25"/>
      <c r="G81" s="25"/>
      <c r="H81" s="25"/>
      <c r="I81" s="19">
        <v>1384484</v>
      </c>
    </row>
    <row r="82" spans="1:12">
      <c r="A82" s="5">
        <v>7</v>
      </c>
      <c r="B82" s="3" t="s">
        <v>150</v>
      </c>
      <c r="C82" s="19">
        <v>0</v>
      </c>
      <c r="D82" s="19">
        <v>0</v>
      </c>
      <c r="E82" s="25"/>
      <c r="F82" s="25"/>
      <c r="G82" s="25"/>
      <c r="H82" s="25"/>
      <c r="I82" s="19">
        <v>1168891</v>
      </c>
    </row>
    <row r="83" spans="1:12">
      <c r="A83" s="5">
        <v>8</v>
      </c>
      <c r="B83" s="3" t="s">
        <v>151</v>
      </c>
      <c r="C83" s="19">
        <v>0</v>
      </c>
      <c r="D83" s="19">
        <v>0</v>
      </c>
      <c r="E83" s="25"/>
      <c r="F83" s="25"/>
      <c r="G83" s="25"/>
      <c r="H83" s="25"/>
      <c r="I83" s="19">
        <v>900174</v>
      </c>
    </row>
    <row r="84" spans="1:12">
      <c r="A84" s="5">
        <v>9</v>
      </c>
      <c r="B84" s="3" t="s">
        <v>262</v>
      </c>
      <c r="C84" s="19">
        <v>0</v>
      </c>
      <c r="D84" s="19">
        <v>0</v>
      </c>
      <c r="E84" s="25"/>
      <c r="F84" s="25"/>
      <c r="G84" s="25"/>
      <c r="H84" s="25"/>
      <c r="I84" s="19">
        <v>579084</v>
      </c>
    </row>
    <row r="85" spans="1:12">
      <c r="A85" s="5">
        <v>10</v>
      </c>
      <c r="B85" s="3" t="s">
        <v>152</v>
      </c>
      <c r="C85" s="19">
        <v>0</v>
      </c>
      <c r="D85" s="19">
        <v>0</v>
      </c>
      <c r="E85" s="25"/>
      <c r="F85" s="25"/>
      <c r="G85" s="25"/>
      <c r="H85" s="25"/>
      <c r="I85" s="19">
        <v>747625</v>
      </c>
    </row>
    <row r="86" spans="1:12">
      <c r="A86" s="5">
        <v>11</v>
      </c>
      <c r="B86" s="3" t="s">
        <v>153</v>
      </c>
      <c r="C86" s="19">
        <v>0</v>
      </c>
      <c r="D86" s="19">
        <v>0</v>
      </c>
      <c r="E86" s="25"/>
      <c r="F86" s="25"/>
      <c r="G86" s="25"/>
      <c r="H86" s="25"/>
      <c r="I86" s="19">
        <v>1483975</v>
      </c>
    </row>
    <row r="87" spans="1:12">
      <c r="A87" s="5">
        <v>12</v>
      </c>
      <c r="B87" s="3" t="s">
        <v>154</v>
      </c>
      <c r="C87" s="19">
        <v>0</v>
      </c>
      <c r="D87" s="19">
        <v>0</v>
      </c>
      <c r="E87" s="25"/>
      <c r="F87" s="25"/>
      <c r="G87" s="25"/>
      <c r="H87" s="25"/>
      <c r="I87" s="19">
        <v>1363964</v>
      </c>
    </row>
    <row r="88" spans="1:12">
      <c r="A88" s="5">
        <v>13</v>
      </c>
      <c r="B88" s="3" t="s">
        <v>263</v>
      </c>
      <c r="C88" s="19">
        <v>0</v>
      </c>
      <c r="D88" s="19">
        <v>0</v>
      </c>
      <c r="E88" s="160">
        <f>'A3-ADIT'!E12</f>
        <v>0</v>
      </c>
      <c r="F88" s="160">
        <f>'A3-ADIT'!E13</f>
        <v>-132909277</v>
      </c>
      <c r="G88" s="160">
        <f>'A3-ADIT'!E14</f>
        <v>-70683636</v>
      </c>
      <c r="H88" s="160">
        <f>'A3-ADIT'!E15</f>
        <v>73130366</v>
      </c>
      <c r="I88" s="19">
        <v>1578989</v>
      </c>
    </row>
    <row r="89" spans="1:12" ht="13.8" thickBot="1">
      <c r="A89" s="5">
        <v>14</v>
      </c>
      <c r="B89" s="17" t="s">
        <v>272</v>
      </c>
      <c r="C89" s="21">
        <f>SUM(C76:C88)/13</f>
        <v>0</v>
      </c>
      <c r="D89" s="26">
        <f>SUM(D76:D88)/13</f>
        <v>0</v>
      </c>
      <c r="E89" s="402">
        <f>'A3-ADIT'!F12</f>
        <v>0</v>
      </c>
      <c r="F89" s="402">
        <f>'A3-ADIT'!F13</f>
        <v>-131677842</v>
      </c>
      <c r="G89" s="402">
        <f>'A3-ADIT'!F14</f>
        <v>-56136196</v>
      </c>
      <c r="H89" s="402">
        <f>'A3-ADIT'!F15</f>
        <v>74043207.5</v>
      </c>
      <c r="I89" s="617">
        <f t="shared" ref="I89" si="4">SUM(I76:I88)/13</f>
        <v>1178004.076923077</v>
      </c>
    </row>
    <row r="90" spans="1:12" ht="13.8" thickTop="1">
      <c r="A90" s="5">
        <v>15</v>
      </c>
      <c r="B90" s="3" t="s">
        <v>780</v>
      </c>
      <c r="E90" s="27"/>
      <c r="F90" s="27"/>
      <c r="G90" s="27"/>
      <c r="H90" s="27"/>
      <c r="I90" s="23"/>
    </row>
    <row r="91" spans="1:12" s="16" customFormat="1">
      <c r="A91" s="5"/>
      <c r="B91" s="28"/>
      <c r="C91" s="29"/>
      <c r="D91" s="29"/>
      <c r="E91" s="29"/>
      <c r="F91" s="29"/>
      <c r="G91" s="29"/>
      <c r="H91" s="2"/>
      <c r="I91" s="2"/>
      <c r="J91" s="2"/>
    </row>
    <row r="92" spans="1:12" s="16" customFormat="1">
      <c r="A92" s="5"/>
      <c r="B92" s="28"/>
      <c r="C92" s="29"/>
      <c r="D92" s="29"/>
      <c r="E92" s="29"/>
      <c r="F92" s="29"/>
      <c r="G92" s="29"/>
      <c r="H92" s="2"/>
      <c r="I92" s="2"/>
      <c r="J92" s="2"/>
      <c r="K92" s="2"/>
      <c r="L92" s="2"/>
    </row>
    <row r="93" spans="1:12" s="16" customFormat="1">
      <c r="A93" s="5"/>
      <c r="B93" s="172" t="s">
        <v>273</v>
      </c>
      <c r="C93" s="29"/>
      <c r="D93" s="29"/>
      <c r="E93" s="29"/>
      <c r="F93" s="29"/>
      <c r="G93" s="29"/>
      <c r="H93" s="2"/>
      <c r="I93" s="2"/>
      <c r="J93" s="2"/>
      <c r="L93" s="2"/>
    </row>
    <row r="94" spans="1:12" s="16" customFormat="1" ht="39.6" customHeight="1">
      <c r="A94" s="5">
        <f>+A89+1</f>
        <v>15</v>
      </c>
      <c r="B94" s="30" t="s">
        <v>274</v>
      </c>
      <c r="C94" s="31"/>
      <c r="D94" s="32" t="s">
        <v>1139</v>
      </c>
      <c r="E94" s="33" t="s">
        <v>1140</v>
      </c>
      <c r="F94" s="33" t="s">
        <v>1141</v>
      </c>
      <c r="G94" s="30"/>
      <c r="H94" s="30"/>
      <c r="I94" s="30"/>
    </row>
    <row r="95" spans="1:12" s="16" customFormat="1">
      <c r="A95" s="5">
        <v>16</v>
      </c>
      <c r="B95" s="30" t="s">
        <v>1130</v>
      </c>
      <c r="C95" s="30"/>
      <c r="D95" s="19">
        <v>-567831.46153846197</v>
      </c>
      <c r="E95" s="894">
        <f>'Act Att-H'!G48</f>
        <v>0.12706661096257854</v>
      </c>
      <c r="F95" s="34">
        <f>D95*E95</f>
        <v>-72152.419415620127</v>
      </c>
      <c r="G95" s="2"/>
      <c r="H95" s="2"/>
      <c r="I95" s="2"/>
    </row>
    <row r="96" spans="1:12" s="16" customFormat="1">
      <c r="A96" s="5">
        <v>17</v>
      </c>
      <c r="B96" s="30" t="s">
        <v>1131</v>
      </c>
      <c r="C96" s="30"/>
      <c r="D96" s="19">
        <v>-127018.769230769</v>
      </c>
      <c r="E96" s="894">
        <f>E95</f>
        <v>0.12706661096257854</v>
      </c>
      <c r="F96" s="34">
        <f t="shared" ref="F96:F103" si="5">D96*E96</f>
        <v>-16139.844534791666</v>
      </c>
      <c r="G96" s="2"/>
      <c r="H96" s="2"/>
      <c r="I96" s="2"/>
    </row>
    <row r="97" spans="1:12" s="16" customFormat="1">
      <c r="A97" s="5">
        <v>18</v>
      </c>
      <c r="B97" s="30" t="s">
        <v>1132</v>
      </c>
      <c r="C97" s="30"/>
      <c r="D97" s="19">
        <v>-2562176.3846153799</v>
      </c>
      <c r="E97" s="894">
        <f t="shared" ref="E97:E103" si="6">E96</f>
        <v>0.12706661096257854</v>
      </c>
      <c r="F97" s="34">
        <f t="shared" si="5"/>
        <v>-325567.0698814285</v>
      </c>
      <c r="G97" s="2"/>
      <c r="H97" s="2"/>
      <c r="I97" s="2"/>
    </row>
    <row r="98" spans="1:12" s="16" customFormat="1">
      <c r="A98" s="5">
        <v>19</v>
      </c>
      <c r="B98" s="30" t="s">
        <v>1133</v>
      </c>
      <c r="C98" s="30"/>
      <c r="D98" s="19">
        <v>-1409257.5384615399</v>
      </c>
      <c r="E98" s="894">
        <f t="shared" si="6"/>
        <v>0.12706661096257854</v>
      </c>
      <c r="F98" s="34">
        <f t="shared" si="5"/>
        <v>-179069.57938577354</v>
      </c>
      <c r="G98" s="2"/>
      <c r="H98" s="2"/>
      <c r="I98" s="2"/>
    </row>
    <row r="99" spans="1:12" s="16" customFormat="1">
      <c r="A99" s="5">
        <v>20</v>
      </c>
      <c r="B99" s="30" t="s">
        <v>1134</v>
      </c>
      <c r="C99" s="30"/>
      <c r="D99" s="19">
        <v>-480199.84615384601</v>
      </c>
      <c r="E99" s="894">
        <f t="shared" si="6"/>
        <v>0.12706661096257854</v>
      </c>
      <c r="F99" s="34">
        <f t="shared" si="5"/>
        <v>-61017.367035520816</v>
      </c>
      <c r="G99" s="2"/>
      <c r="H99" s="2"/>
      <c r="I99" s="2"/>
    </row>
    <row r="100" spans="1:12" s="16" customFormat="1">
      <c r="A100" s="5">
        <v>21</v>
      </c>
      <c r="B100" s="30" t="s">
        <v>1135</v>
      </c>
      <c r="C100" s="30"/>
      <c r="D100" s="19">
        <v>-390923.07692307699</v>
      </c>
      <c r="E100" s="894">
        <f t="shared" si="6"/>
        <v>0.12706661096257854</v>
      </c>
      <c r="F100" s="34">
        <f t="shared" si="5"/>
        <v>-49673.270531678791</v>
      </c>
      <c r="G100" s="2"/>
      <c r="H100" s="2"/>
      <c r="I100" s="2"/>
    </row>
    <row r="101" spans="1:12" s="16" customFormat="1">
      <c r="A101" s="5">
        <v>22</v>
      </c>
      <c r="B101" s="30" t="s">
        <v>1136</v>
      </c>
      <c r="C101" s="30"/>
      <c r="D101" s="19">
        <v>-7875</v>
      </c>
      <c r="E101" s="894">
        <f t="shared" si="6"/>
        <v>0.12706661096257854</v>
      </c>
      <c r="F101" s="34">
        <f t="shared" si="5"/>
        <v>-1000.649561330306</v>
      </c>
      <c r="G101" s="2"/>
      <c r="H101" s="2"/>
      <c r="I101" s="2"/>
    </row>
    <row r="102" spans="1:12" s="16" customFormat="1">
      <c r="A102" s="5">
        <v>23</v>
      </c>
      <c r="B102" s="30" t="s">
        <v>1137</v>
      </c>
      <c r="C102" s="30"/>
      <c r="D102" s="19">
        <v>-461540.07692307699</v>
      </c>
      <c r="E102" s="894">
        <f t="shared" si="6"/>
        <v>0.12706661096257854</v>
      </c>
      <c r="F102" s="34">
        <f t="shared" si="5"/>
        <v>-58646.333398023198</v>
      </c>
      <c r="G102" s="2"/>
      <c r="H102" s="2"/>
      <c r="I102" s="2"/>
    </row>
    <row r="103" spans="1:12" s="16" customFormat="1">
      <c r="A103" s="5">
        <v>24</v>
      </c>
      <c r="B103" s="30" t="s">
        <v>1138</v>
      </c>
      <c r="C103" s="30"/>
      <c r="D103" s="19">
        <v>-1736.61538461538</v>
      </c>
      <c r="E103" s="894">
        <f t="shared" si="6"/>
        <v>0.12706661096257854</v>
      </c>
      <c r="F103" s="34">
        <f t="shared" si="5"/>
        <v>-220.6658314685512</v>
      </c>
      <c r="G103" s="2"/>
      <c r="H103" s="2"/>
      <c r="I103" s="2"/>
    </row>
    <row r="104" spans="1:12" s="16" customFormat="1">
      <c r="A104" s="5">
        <v>25</v>
      </c>
      <c r="B104" s="428"/>
      <c r="C104" s="863" t="s">
        <v>9</v>
      </c>
      <c r="D104" s="208">
        <f>SUM(D95:D103)</f>
        <v>-6008558.7692307653</v>
      </c>
      <c r="E104" s="208">
        <f>SUM(E95:E103)</f>
        <v>1.1435994986632068</v>
      </c>
      <c r="F104" s="864">
        <f>SUM(F95:F103)</f>
        <v>-763487.19957563549</v>
      </c>
      <c r="G104" s="2"/>
      <c r="H104" s="2"/>
    </row>
    <row r="105" spans="1:12">
      <c r="C105" s="3"/>
      <c r="E105" s="414" t="str">
        <f>E1</f>
        <v>Worksheet A4</v>
      </c>
      <c r="F105" s="3"/>
      <c r="H105" s="3"/>
      <c r="I105" s="3"/>
      <c r="J105" s="3"/>
    </row>
    <row r="106" spans="1:12">
      <c r="A106" s="5"/>
      <c r="C106" s="3"/>
      <c r="D106" s="3"/>
      <c r="E106" s="414" t="str">
        <f>E2</f>
        <v>Rate Base Worksheet</v>
      </c>
      <c r="F106" s="3"/>
      <c r="H106" s="3"/>
      <c r="I106" s="3"/>
      <c r="J106" s="3"/>
      <c r="L106" s="6"/>
    </row>
    <row r="107" spans="1:12" ht="15">
      <c r="A107" s="5"/>
      <c r="C107" s="3"/>
      <c r="E107" s="414" t="str">
        <f>E3</f>
        <v>Black Hills Colorado Electric, LLC</v>
      </c>
      <c r="F107" s="3"/>
      <c r="H107"/>
      <c r="I107" s="174" t="s">
        <v>710</v>
      </c>
      <c r="J107" s="3"/>
    </row>
    <row r="108" spans="1:12" ht="15">
      <c r="A108" s="5"/>
      <c r="B108" s="3"/>
      <c r="C108" s="22"/>
      <c r="D108" s="23"/>
      <c r="E108" s="23"/>
      <c r="F108" s="23"/>
      <c r="H108"/>
      <c r="I108" s="22"/>
    </row>
    <row r="109" spans="1:12" ht="15">
      <c r="A109" s="5"/>
      <c r="B109" s="24"/>
      <c r="C109" s="947" t="s">
        <v>711</v>
      </c>
      <c r="D109" s="948"/>
      <c r="E109" s="948"/>
      <c r="F109" s="948"/>
      <c r="H109"/>
      <c r="I109" s="22"/>
    </row>
    <row r="110" spans="1:12" ht="58.5" customHeight="1">
      <c r="A110" s="5" t="s">
        <v>252</v>
      </c>
      <c r="B110" s="13" t="s">
        <v>219</v>
      </c>
      <c r="C110" s="14" t="s">
        <v>713</v>
      </c>
      <c r="D110" s="14" t="s">
        <v>714</v>
      </c>
      <c r="E110" s="14" t="s">
        <v>715</v>
      </c>
      <c r="F110" s="14" t="s">
        <v>258</v>
      </c>
      <c r="H110"/>
      <c r="I110" s="563"/>
    </row>
    <row r="111" spans="1:12" s="16" customFormat="1" ht="15">
      <c r="A111" s="5"/>
      <c r="B111" s="13" t="s">
        <v>138</v>
      </c>
      <c r="C111" s="14" t="s">
        <v>139</v>
      </c>
      <c r="D111" s="14" t="s">
        <v>140</v>
      </c>
      <c r="E111" s="14" t="s">
        <v>141</v>
      </c>
      <c r="F111" s="14" t="s">
        <v>142</v>
      </c>
      <c r="G111" s="2"/>
      <c r="H111"/>
      <c r="I111" s="317"/>
    </row>
    <row r="112" spans="1:12" s="16" customFormat="1" ht="30.75" customHeight="1">
      <c r="A112" s="5"/>
      <c r="B112" s="17" t="s">
        <v>259</v>
      </c>
      <c r="C112" s="13" t="s">
        <v>716</v>
      </c>
      <c r="D112" s="13" t="s">
        <v>717</v>
      </c>
      <c r="E112" s="13" t="s">
        <v>718</v>
      </c>
      <c r="F112" s="13" t="s">
        <v>719</v>
      </c>
      <c r="G112" s="2"/>
      <c r="H112"/>
      <c r="I112" s="10"/>
    </row>
    <row r="113" spans="1:9" ht="15">
      <c r="A113" s="5">
        <v>1</v>
      </c>
      <c r="B113" s="18" t="s">
        <v>260</v>
      </c>
      <c r="C113" s="19">
        <v>24500.83536333856</v>
      </c>
      <c r="D113" s="19">
        <v>940890</v>
      </c>
      <c r="E113" s="19">
        <v>4530716.0385195892</v>
      </c>
      <c r="F113" s="560">
        <f>SUM(C113:E113)</f>
        <v>5496106.8738829279</v>
      </c>
      <c r="G113" s="14"/>
      <c r="H113"/>
      <c r="I113" s="10"/>
    </row>
    <row r="114" spans="1:9" ht="15">
      <c r="A114" s="5">
        <v>2</v>
      </c>
      <c r="B114" s="18" t="s">
        <v>146</v>
      </c>
      <c r="C114" s="19">
        <v>25030.189719868842</v>
      </c>
      <c r="D114" s="19">
        <v>1025149</v>
      </c>
      <c r="E114" s="19">
        <v>4628604.7120127678</v>
      </c>
      <c r="F114" s="560">
        <f t="shared" ref="F114:F125" si="7">SUM(C114:E114)</f>
        <v>5678783.9017326366</v>
      </c>
      <c r="G114" s="14"/>
      <c r="H114"/>
      <c r="I114" s="10"/>
    </row>
    <row r="115" spans="1:9" ht="15">
      <c r="A115" s="5">
        <v>3</v>
      </c>
      <c r="B115" s="3" t="s">
        <v>147</v>
      </c>
      <c r="C115" s="19">
        <v>24830.123307070662</v>
      </c>
      <c r="D115" s="19">
        <v>1039430</v>
      </c>
      <c r="E115" s="19">
        <v>4591608.254880121</v>
      </c>
      <c r="F115" s="560">
        <f t="shared" si="7"/>
        <v>5655868.3781871917</v>
      </c>
      <c r="G115" s="14"/>
      <c r="H115"/>
      <c r="I115" s="10"/>
    </row>
    <row r="116" spans="1:9" ht="15">
      <c r="A116" s="5">
        <v>4</v>
      </c>
      <c r="B116" s="3" t="s">
        <v>261</v>
      </c>
      <c r="C116" s="19">
        <v>25381.574004017813</v>
      </c>
      <c r="D116" s="19">
        <v>1109064</v>
      </c>
      <c r="E116" s="19">
        <v>4693583.0030901274</v>
      </c>
      <c r="F116" s="560">
        <f t="shared" si="7"/>
        <v>5828028.5770941451</v>
      </c>
      <c r="G116" s="14"/>
      <c r="H116"/>
      <c r="I116" s="10"/>
    </row>
    <row r="117" spans="1:9" ht="15">
      <c r="A117" s="5">
        <v>5</v>
      </c>
      <c r="B117" s="3" t="s">
        <v>148</v>
      </c>
      <c r="C117" s="19">
        <v>25578.183959494847</v>
      </c>
      <c r="D117" s="19">
        <v>1113084</v>
      </c>
      <c r="E117" s="19">
        <v>4729940.2890929272</v>
      </c>
      <c r="F117" s="560">
        <f t="shared" si="7"/>
        <v>5868602.4730524216</v>
      </c>
      <c r="G117" s="14"/>
      <c r="H117"/>
      <c r="I117" s="10"/>
    </row>
    <row r="118" spans="1:9" ht="15">
      <c r="A118" s="5">
        <v>6</v>
      </c>
      <c r="B118" s="3" t="s">
        <v>149</v>
      </c>
      <c r="C118" s="19">
        <v>26104.39280104934</v>
      </c>
      <c r="D118" s="19">
        <v>1185209</v>
      </c>
      <c r="E118" s="19">
        <v>4827247.2911884217</v>
      </c>
      <c r="F118" s="560">
        <f t="shared" si="7"/>
        <v>6038560.6839894708</v>
      </c>
      <c r="G118" s="14"/>
      <c r="H118"/>
      <c r="I118" s="10"/>
    </row>
    <row r="119" spans="1:9" ht="15">
      <c r="A119" s="5">
        <v>7</v>
      </c>
      <c r="B119" s="3" t="s">
        <v>150</v>
      </c>
      <c r="C119" s="19">
        <v>26470.788382174567</v>
      </c>
      <c r="D119" s="19">
        <v>950337</v>
      </c>
      <c r="E119" s="19">
        <v>4895001.484514039</v>
      </c>
      <c r="F119" s="560">
        <f t="shared" si="7"/>
        <v>5871809.2728962135</v>
      </c>
      <c r="G119" s="14"/>
      <c r="H119"/>
      <c r="I119" s="10"/>
    </row>
    <row r="120" spans="1:9" ht="15">
      <c r="A120" s="5">
        <v>8</v>
      </c>
      <c r="B120" s="3" t="s">
        <v>151</v>
      </c>
      <c r="C120" s="19">
        <v>26625.348937984068</v>
      </c>
      <c r="D120" s="19">
        <v>985101</v>
      </c>
      <c r="E120" s="19">
        <v>4923582.9585227361</v>
      </c>
      <c r="F120" s="560">
        <f t="shared" si="7"/>
        <v>5935309.3074607197</v>
      </c>
      <c r="G120" s="14"/>
      <c r="H120"/>
      <c r="I120" s="10"/>
    </row>
    <row r="121" spans="1:9" ht="15">
      <c r="A121" s="5">
        <v>9</v>
      </c>
      <c r="B121" s="3" t="s">
        <v>262</v>
      </c>
      <c r="C121" s="19">
        <v>26794.459929793673</v>
      </c>
      <c r="D121" s="19">
        <v>1107172</v>
      </c>
      <c r="E121" s="19">
        <v>4954855.111962378</v>
      </c>
      <c r="F121" s="560">
        <f t="shared" si="7"/>
        <v>6088821.5718921721</v>
      </c>
      <c r="G121" s="14"/>
      <c r="H121"/>
      <c r="I121" s="10"/>
    </row>
    <row r="122" spans="1:9" ht="15">
      <c r="A122" s="5">
        <v>10</v>
      </c>
      <c r="B122" s="3" t="s">
        <v>152</v>
      </c>
      <c r="C122" s="19">
        <v>26866.040523457214</v>
      </c>
      <c r="D122" s="19">
        <v>1225739</v>
      </c>
      <c r="E122" s="19">
        <v>4968091.8583405614</v>
      </c>
      <c r="F122" s="560">
        <f t="shared" si="7"/>
        <v>6220696.8988640187</v>
      </c>
      <c r="G122" s="14"/>
      <c r="H122"/>
      <c r="I122" s="10"/>
    </row>
    <row r="123" spans="1:9" ht="15">
      <c r="A123" s="5">
        <v>11</v>
      </c>
      <c r="B123" s="3" t="s">
        <v>153</v>
      </c>
      <c r="C123" s="19">
        <v>26216.212665727086</v>
      </c>
      <c r="D123" s="19">
        <v>1203784</v>
      </c>
      <c r="E123" s="19">
        <v>4847925.1189770466</v>
      </c>
      <c r="F123" s="560">
        <f t="shared" si="7"/>
        <v>6077925.3316427739</v>
      </c>
      <c r="G123" s="14"/>
      <c r="H123"/>
      <c r="I123" s="10"/>
    </row>
    <row r="124" spans="1:9" ht="15">
      <c r="A124" s="5">
        <v>12</v>
      </c>
      <c r="B124" s="3" t="s">
        <v>154</v>
      </c>
      <c r="C124" s="19">
        <v>26994.434725650812</v>
      </c>
      <c r="D124" s="19">
        <v>1320593</v>
      </c>
      <c r="E124" s="661">
        <v>4991834.6272096559</v>
      </c>
      <c r="F124" s="560">
        <f t="shared" si="7"/>
        <v>6339422.0619353065</v>
      </c>
      <c r="G124" s="14"/>
      <c r="H124"/>
      <c r="I124" s="10"/>
    </row>
    <row r="125" spans="1:9" ht="15">
      <c r="A125" s="5">
        <v>13</v>
      </c>
      <c r="B125" s="3" t="s">
        <v>263</v>
      </c>
      <c r="C125" s="19">
        <v>26997</v>
      </c>
      <c r="D125" s="19">
        <v>1307851</v>
      </c>
      <c r="E125" s="19">
        <v>4992309</v>
      </c>
      <c r="F125" s="560">
        <f t="shared" si="7"/>
        <v>6327157</v>
      </c>
      <c r="G125" s="14"/>
      <c r="H125"/>
      <c r="I125" s="10"/>
    </row>
    <row r="126" spans="1:9" ht="15">
      <c r="A126" s="5">
        <v>14</v>
      </c>
      <c r="B126" s="17" t="s">
        <v>272</v>
      </c>
      <c r="C126" s="559">
        <f>SUM(C113:C125)/13</f>
        <v>26029.968024586731</v>
      </c>
      <c r="D126" s="559">
        <f t="shared" ref="D126:E126" si="8">SUM(D113:D125)/13</f>
        <v>1116415.6153846155</v>
      </c>
      <c r="E126" s="559">
        <f t="shared" si="8"/>
        <v>4813484.5960238744</v>
      </c>
      <c r="F126" s="559">
        <f>SUM(F113:F125)/13</f>
        <v>5955930.1794330776</v>
      </c>
      <c r="G126" s="14"/>
      <c r="H126"/>
      <c r="I126"/>
    </row>
    <row r="127" spans="1:9" ht="15">
      <c r="A127" s="5">
        <v>15</v>
      </c>
      <c r="B127" s="17" t="s">
        <v>10</v>
      </c>
      <c r="C127" s="557" t="s">
        <v>11</v>
      </c>
      <c r="D127" s="557" t="s">
        <v>31</v>
      </c>
      <c r="E127" s="557" t="s">
        <v>27</v>
      </c>
      <c r="F127" s="556"/>
      <c r="G127" s="14"/>
      <c r="H127"/>
      <c r="I127" s="10"/>
    </row>
    <row r="128" spans="1:9" ht="15">
      <c r="A128" s="5">
        <v>16</v>
      </c>
      <c r="B128" s="17" t="s">
        <v>909</v>
      </c>
      <c r="C128" s="558">
        <f>'Act Att-H'!I175</f>
        <v>0.93124420194583424</v>
      </c>
      <c r="D128" s="558">
        <f>'Act Att-H'!I192</f>
        <v>0.12706661096257854</v>
      </c>
      <c r="E128" s="558">
        <v>0</v>
      </c>
      <c r="F128" s="556"/>
      <c r="G128" s="14"/>
      <c r="H128"/>
      <c r="I128" s="10"/>
    </row>
    <row r="129" spans="1:14" ht="15.6" thickBot="1">
      <c r="A129" s="5">
        <v>17</v>
      </c>
      <c r="B129" s="17" t="s">
        <v>712</v>
      </c>
      <c r="C129" s="21">
        <f>C128*C126</f>
        <v>24240.256799731855</v>
      </c>
      <c r="D129" s="21">
        <f t="shared" ref="D129:E129" si="9">D128*D126</f>
        <v>141859.14867262464</v>
      </c>
      <c r="E129" s="21">
        <f t="shared" si="9"/>
        <v>0</v>
      </c>
      <c r="F129" s="21">
        <f>C129+D129+E129</f>
        <v>166099.40547235648</v>
      </c>
      <c r="G129" s="14"/>
      <c r="H129"/>
      <c r="I129" s="10"/>
    </row>
    <row r="130" spans="1:14" s="16" customFormat="1" ht="15.6" thickTop="1">
      <c r="A130" s="5">
        <v>18</v>
      </c>
      <c r="B130" s="28"/>
      <c r="C130" s="29"/>
      <c r="D130" s="29"/>
      <c r="E130" s="29"/>
      <c r="F130" s="29"/>
      <c r="G130" s="37"/>
      <c r="H130"/>
      <c r="I130" s="2"/>
      <c r="J130" s="2"/>
      <c r="K130" s="2"/>
    </row>
    <row r="131" spans="1:14" s="16" customFormat="1" ht="15">
      <c r="A131" s="5"/>
      <c r="B131" s="28"/>
      <c r="C131" s="29"/>
      <c r="D131" s="29"/>
      <c r="E131" s="29"/>
      <c r="F131" s="29"/>
      <c r="H131"/>
      <c r="I131" s="2"/>
      <c r="J131" s="2"/>
      <c r="K131" s="2"/>
    </row>
    <row r="132" spans="1:14">
      <c r="A132" s="173" t="s">
        <v>172</v>
      </c>
    </row>
    <row r="133" spans="1:14" ht="15" customHeight="1">
      <c r="A133" s="40" t="s">
        <v>76</v>
      </c>
      <c r="B133" s="904" t="s">
        <v>1123</v>
      </c>
      <c r="C133" s="904"/>
      <c r="D133" s="904"/>
      <c r="E133" s="904"/>
      <c r="F133" s="904"/>
      <c r="G133" s="904"/>
      <c r="H133" s="904"/>
      <c r="I133" s="904"/>
      <c r="J133" s="280"/>
      <c r="K133" s="280"/>
    </row>
    <row r="134" spans="1:14" ht="30" customHeight="1">
      <c r="A134" s="40" t="s">
        <v>77</v>
      </c>
      <c r="B134" s="904" t="s">
        <v>1118</v>
      </c>
      <c r="C134" s="904"/>
      <c r="D134" s="904"/>
      <c r="E134" s="904"/>
      <c r="F134" s="904"/>
      <c r="G134" s="904"/>
      <c r="H134" s="904"/>
      <c r="I134" s="904"/>
      <c r="J134" s="280"/>
      <c r="K134" s="280"/>
      <c r="L134" s="6"/>
    </row>
    <row r="135" spans="1:14" ht="58.5" customHeight="1">
      <c r="A135" s="40" t="s">
        <v>78</v>
      </c>
      <c r="B135" s="904" t="s">
        <v>975</v>
      </c>
      <c r="C135" s="904"/>
      <c r="D135" s="904"/>
      <c r="E135" s="904"/>
      <c r="F135" s="904"/>
      <c r="G135" s="904"/>
      <c r="H135" s="904"/>
      <c r="I135" s="904"/>
      <c r="J135" s="38"/>
      <c r="K135" s="38"/>
    </row>
    <row r="136" spans="1:14">
      <c r="A136" s="40" t="s">
        <v>79</v>
      </c>
      <c r="B136" s="904" t="s">
        <v>795</v>
      </c>
      <c r="C136" s="904"/>
      <c r="D136" s="904"/>
      <c r="E136" s="904"/>
      <c r="F136" s="904"/>
      <c r="G136" s="904"/>
      <c r="H136" s="904"/>
      <c r="I136" s="904"/>
    </row>
    <row r="137" spans="1:14" ht="18.75" customHeight="1">
      <c r="A137" s="40" t="s">
        <v>80</v>
      </c>
      <c r="B137" s="943" t="s">
        <v>1123</v>
      </c>
      <c r="C137" s="943"/>
      <c r="D137" s="943"/>
      <c r="E137" s="943"/>
      <c r="F137" s="943"/>
      <c r="G137" s="943"/>
      <c r="H137" s="943"/>
      <c r="I137" s="943"/>
      <c r="J137" s="281"/>
      <c r="K137" s="281"/>
      <c r="L137" s="281"/>
      <c r="M137" s="281"/>
      <c r="N137" s="281"/>
    </row>
    <row r="138" spans="1:14" ht="51.6" customHeight="1">
      <c r="A138" s="40" t="s">
        <v>81</v>
      </c>
      <c r="B138" s="904" t="s">
        <v>1235</v>
      </c>
      <c r="C138" s="904"/>
      <c r="D138" s="904"/>
      <c r="E138" s="904"/>
      <c r="F138" s="904"/>
      <c r="G138" s="904"/>
      <c r="H138" s="904"/>
      <c r="I138" s="904"/>
      <c r="J138" s="281"/>
      <c r="K138" s="281"/>
    </row>
    <row r="139" spans="1:14" ht="33.6" customHeight="1">
      <c r="A139" s="40" t="s">
        <v>82</v>
      </c>
      <c r="B139" s="943" t="s">
        <v>1240</v>
      </c>
      <c r="C139" s="943"/>
      <c r="D139" s="943"/>
      <c r="E139" s="943"/>
      <c r="F139" s="943"/>
      <c r="G139" s="943"/>
      <c r="H139" s="943"/>
      <c r="I139" s="943"/>
      <c r="J139" s="281"/>
      <c r="K139" s="281"/>
      <c r="L139" s="281"/>
      <c r="M139" s="281"/>
      <c r="N139" s="281"/>
    </row>
    <row r="140" spans="1:14" ht="27" customHeight="1">
      <c r="A140" s="40" t="s">
        <v>343</v>
      </c>
      <c r="B140" s="904" t="s">
        <v>990</v>
      </c>
      <c r="C140" s="904"/>
      <c r="D140" s="904"/>
      <c r="E140" s="904"/>
      <c r="F140" s="904"/>
      <c r="G140" s="904"/>
      <c r="H140" s="904"/>
      <c r="I140" s="904"/>
      <c r="J140" s="41"/>
      <c r="K140" s="41"/>
    </row>
    <row r="141" spans="1:14" ht="13.2" customHeight="1">
      <c r="A141" s="40" t="s">
        <v>83</v>
      </c>
      <c r="B141" s="943" t="s">
        <v>1147</v>
      </c>
      <c r="C141" s="943"/>
      <c r="D141" s="943"/>
      <c r="E141" s="943"/>
      <c r="F141" s="943"/>
      <c r="G141" s="943"/>
      <c r="H141" s="943"/>
      <c r="I141" s="943"/>
    </row>
    <row r="142" spans="1:14">
      <c r="A142" s="831" t="s">
        <v>84</v>
      </c>
      <c r="B142" s="832" t="s">
        <v>1004</v>
      </c>
    </row>
    <row r="143" spans="1:14">
      <c r="A143" s="831" t="s">
        <v>85</v>
      </c>
      <c r="B143" s="832" t="s">
        <v>1038</v>
      </c>
    </row>
  </sheetData>
  <mergeCells count="13">
    <mergeCell ref="B141:I141"/>
    <mergeCell ref="C5:G5"/>
    <mergeCell ref="E28:I28"/>
    <mergeCell ref="C72:I72"/>
    <mergeCell ref="B133:I133"/>
    <mergeCell ref="B134:I134"/>
    <mergeCell ref="B138:I138"/>
    <mergeCell ref="B135:I135"/>
    <mergeCell ref="B136:I136"/>
    <mergeCell ref="B137:I137"/>
    <mergeCell ref="C109:F109"/>
    <mergeCell ref="B140:I140"/>
    <mergeCell ref="B139:I139"/>
  </mergeCells>
  <pageMargins left="0.5" right="0.25" top="1" bottom="1" header="0.5" footer="0.5"/>
  <pageSetup scale="58" fitToHeight="4" orientation="portrait" r:id="rId1"/>
  <headerFooter alignWithMargins="0">
    <oddHeader xml:space="preserve">&amp;C&amp;"Times New Roman,Regular"&amp;KFF0000CUI//PRIV&amp;K000000
FOR SETTLEMENT PURPOSES ONLY 
SUBJECT TO RULES 602 AND 606
</oddHeader>
  </headerFooter>
  <rowBreaks count="2" manualBreakCount="2">
    <brk id="67" max="16383" man="1"/>
    <brk id="104" max="16383" man="1"/>
  </rowBreaks>
  <ignoredErrors>
    <ignoredError sqref="I46" formulaRange="1"/>
    <ignoredError sqref="E68 E105:E10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H74"/>
  <sheetViews>
    <sheetView zoomScale="75" zoomScaleNormal="75" workbookViewId="0">
      <selection activeCell="A3" sqref="A3:H3"/>
    </sheetView>
  </sheetViews>
  <sheetFormatPr defaultColWidth="7.08984375" defaultRowHeight="13.2"/>
  <cols>
    <col min="1" max="1" width="2.08984375" style="190" customWidth="1"/>
    <col min="2" max="2" width="3.54296875" style="190" customWidth="1"/>
    <col min="3" max="4" width="1.6328125" style="190" customWidth="1"/>
    <col min="5" max="5" width="6.453125" style="190" customWidth="1"/>
    <col min="6" max="6" width="52.54296875" style="190" customWidth="1"/>
    <col min="7" max="7" width="1.6328125" style="190" customWidth="1"/>
    <col min="8" max="8" width="8.1796875" style="282" customWidth="1"/>
    <col min="9" max="9" width="8.1796875" style="190" customWidth="1"/>
    <col min="10" max="256" width="7.08984375" style="190"/>
    <col min="257" max="257" width="10.1796875" style="190" customWidth="1"/>
    <col min="258" max="258" width="3.54296875" style="190" customWidth="1"/>
    <col min="259" max="260" width="1.6328125" style="190" customWidth="1"/>
    <col min="261" max="261" width="4" style="190" customWidth="1"/>
    <col min="262" max="262" width="24.1796875" style="190" customWidth="1"/>
    <col min="263" max="263" width="1.6328125" style="190" customWidth="1"/>
    <col min="264" max="265" width="8.1796875" style="190" customWidth="1"/>
    <col min="266" max="512" width="7.08984375" style="190"/>
    <col min="513" max="513" width="10.1796875" style="190" customWidth="1"/>
    <col min="514" max="514" width="3.54296875" style="190" customWidth="1"/>
    <col min="515" max="516" width="1.6328125" style="190" customWidth="1"/>
    <col min="517" max="517" width="4" style="190" customWidth="1"/>
    <col min="518" max="518" width="24.1796875" style="190" customWidth="1"/>
    <col min="519" max="519" width="1.6328125" style="190" customWidth="1"/>
    <col min="520" max="521" width="8.1796875" style="190" customWidth="1"/>
    <col min="522" max="768" width="7.08984375" style="190"/>
    <col min="769" max="769" width="10.1796875" style="190" customWidth="1"/>
    <col min="770" max="770" width="3.54296875" style="190" customWidth="1"/>
    <col min="771" max="772" width="1.6328125" style="190" customWidth="1"/>
    <col min="773" max="773" width="4" style="190" customWidth="1"/>
    <col min="774" max="774" width="24.1796875" style="190" customWidth="1"/>
    <col min="775" max="775" width="1.6328125" style="190" customWidth="1"/>
    <col min="776" max="777" width="8.1796875" style="190" customWidth="1"/>
    <col min="778" max="1024" width="7.08984375" style="190"/>
    <col min="1025" max="1025" width="10.1796875" style="190" customWidth="1"/>
    <col min="1026" max="1026" width="3.54296875" style="190" customWidth="1"/>
    <col min="1027" max="1028" width="1.6328125" style="190" customWidth="1"/>
    <col min="1029" max="1029" width="4" style="190" customWidth="1"/>
    <col min="1030" max="1030" width="24.1796875" style="190" customWidth="1"/>
    <col min="1031" max="1031" width="1.6328125" style="190" customWidth="1"/>
    <col min="1032" max="1033" width="8.1796875" style="190" customWidth="1"/>
    <col min="1034" max="1280" width="7.08984375" style="190"/>
    <col min="1281" max="1281" width="10.1796875" style="190" customWidth="1"/>
    <col min="1282" max="1282" width="3.54296875" style="190" customWidth="1"/>
    <col min="1283" max="1284" width="1.6328125" style="190" customWidth="1"/>
    <col min="1285" max="1285" width="4" style="190" customWidth="1"/>
    <col min="1286" max="1286" width="24.1796875" style="190" customWidth="1"/>
    <col min="1287" max="1287" width="1.6328125" style="190" customWidth="1"/>
    <col min="1288" max="1289" width="8.1796875" style="190" customWidth="1"/>
    <col min="1290" max="1536" width="7.08984375" style="190"/>
    <col min="1537" max="1537" width="10.1796875" style="190" customWidth="1"/>
    <col min="1538" max="1538" width="3.54296875" style="190" customWidth="1"/>
    <col min="1539" max="1540" width="1.6328125" style="190" customWidth="1"/>
    <col min="1541" max="1541" width="4" style="190" customWidth="1"/>
    <col min="1542" max="1542" width="24.1796875" style="190" customWidth="1"/>
    <col min="1543" max="1543" width="1.6328125" style="190" customWidth="1"/>
    <col min="1544" max="1545" width="8.1796875" style="190" customWidth="1"/>
    <col min="1546" max="1792" width="7.08984375" style="190"/>
    <col min="1793" max="1793" width="10.1796875" style="190" customWidth="1"/>
    <col min="1794" max="1794" width="3.54296875" style="190" customWidth="1"/>
    <col min="1795" max="1796" width="1.6328125" style="190" customWidth="1"/>
    <col min="1797" max="1797" width="4" style="190" customWidth="1"/>
    <col min="1798" max="1798" width="24.1796875" style="190" customWidth="1"/>
    <col min="1799" max="1799" width="1.6328125" style="190" customWidth="1"/>
    <col min="1800" max="1801" width="8.1796875" style="190" customWidth="1"/>
    <col min="1802" max="2048" width="7.08984375" style="190"/>
    <col min="2049" max="2049" width="10.1796875" style="190" customWidth="1"/>
    <col min="2050" max="2050" width="3.54296875" style="190" customWidth="1"/>
    <col min="2051" max="2052" width="1.6328125" style="190" customWidth="1"/>
    <col min="2053" max="2053" width="4" style="190" customWidth="1"/>
    <col min="2054" max="2054" width="24.1796875" style="190" customWidth="1"/>
    <col min="2055" max="2055" width="1.6328125" style="190" customWidth="1"/>
    <col min="2056" max="2057" width="8.1796875" style="190" customWidth="1"/>
    <col min="2058" max="2304" width="7.08984375" style="190"/>
    <col min="2305" max="2305" width="10.1796875" style="190" customWidth="1"/>
    <col min="2306" max="2306" width="3.54296875" style="190" customWidth="1"/>
    <col min="2307" max="2308" width="1.6328125" style="190" customWidth="1"/>
    <col min="2309" max="2309" width="4" style="190" customWidth="1"/>
    <col min="2310" max="2310" width="24.1796875" style="190" customWidth="1"/>
    <col min="2311" max="2311" width="1.6328125" style="190" customWidth="1"/>
    <col min="2312" max="2313" width="8.1796875" style="190" customWidth="1"/>
    <col min="2314" max="2560" width="7.08984375" style="190"/>
    <col min="2561" max="2561" width="10.1796875" style="190" customWidth="1"/>
    <col min="2562" max="2562" width="3.54296875" style="190" customWidth="1"/>
    <col min="2563" max="2564" width="1.6328125" style="190" customWidth="1"/>
    <col min="2565" max="2565" width="4" style="190" customWidth="1"/>
    <col min="2566" max="2566" width="24.1796875" style="190" customWidth="1"/>
    <col min="2567" max="2567" width="1.6328125" style="190" customWidth="1"/>
    <col min="2568" max="2569" width="8.1796875" style="190" customWidth="1"/>
    <col min="2570" max="2816" width="7.08984375" style="190"/>
    <col min="2817" max="2817" width="10.1796875" style="190" customWidth="1"/>
    <col min="2818" max="2818" width="3.54296875" style="190" customWidth="1"/>
    <col min="2819" max="2820" width="1.6328125" style="190" customWidth="1"/>
    <col min="2821" max="2821" width="4" style="190" customWidth="1"/>
    <col min="2822" max="2822" width="24.1796875" style="190" customWidth="1"/>
    <col min="2823" max="2823" width="1.6328125" style="190" customWidth="1"/>
    <col min="2824" max="2825" width="8.1796875" style="190" customWidth="1"/>
    <col min="2826" max="3072" width="7.08984375" style="190"/>
    <col min="3073" max="3073" width="10.1796875" style="190" customWidth="1"/>
    <col min="3074" max="3074" width="3.54296875" style="190" customWidth="1"/>
    <col min="3075" max="3076" width="1.6328125" style="190" customWidth="1"/>
    <col min="3077" max="3077" width="4" style="190" customWidth="1"/>
    <col min="3078" max="3078" width="24.1796875" style="190" customWidth="1"/>
    <col min="3079" max="3079" width="1.6328125" style="190" customWidth="1"/>
    <col min="3080" max="3081" width="8.1796875" style="190" customWidth="1"/>
    <col min="3082" max="3328" width="7.08984375" style="190"/>
    <col min="3329" max="3329" width="10.1796875" style="190" customWidth="1"/>
    <col min="3330" max="3330" width="3.54296875" style="190" customWidth="1"/>
    <col min="3331" max="3332" width="1.6328125" style="190" customWidth="1"/>
    <col min="3333" max="3333" width="4" style="190" customWidth="1"/>
    <col min="3334" max="3334" width="24.1796875" style="190" customWidth="1"/>
    <col min="3335" max="3335" width="1.6328125" style="190" customWidth="1"/>
    <col min="3336" max="3337" width="8.1796875" style="190" customWidth="1"/>
    <col min="3338" max="3584" width="7.08984375" style="190"/>
    <col min="3585" max="3585" width="10.1796875" style="190" customWidth="1"/>
    <col min="3586" max="3586" width="3.54296875" style="190" customWidth="1"/>
    <col min="3587" max="3588" width="1.6328125" style="190" customWidth="1"/>
    <col min="3589" max="3589" width="4" style="190" customWidth="1"/>
    <col min="3590" max="3590" width="24.1796875" style="190" customWidth="1"/>
    <col min="3591" max="3591" width="1.6328125" style="190" customWidth="1"/>
    <col min="3592" max="3593" width="8.1796875" style="190" customWidth="1"/>
    <col min="3594" max="3840" width="7.08984375" style="190"/>
    <col min="3841" max="3841" width="10.1796875" style="190" customWidth="1"/>
    <col min="3842" max="3842" width="3.54296875" style="190" customWidth="1"/>
    <col min="3843" max="3844" width="1.6328125" style="190" customWidth="1"/>
    <col min="3845" max="3845" width="4" style="190" customWidth="1"/>
    <col min="3846" max="3846" width="24.1796875" style="190" customWidth="1"/>
    <col min="3847" max="3847" width="1.6328125" style="190" customWidth="1"/>
    <col min="3848" max="3849" width="8.1796875" style="190" customWidth="1"/>
    <col min="3850" max="4096" width="7.08984375" style="190"/>
    <col min="4097" max="4097" width="10.1796875" style="190" customWidth="1"/>
    <col min="4098" max="4098" width="3.54296875" style="190" customWidth="1"/>
    <col min="4099" max="4100" width="1.6328125" style="190" customWidth="1"/>
    <col min="4101" max="4101" width="4" style="190" customWidth="1"/>
    <col min="4102" max="4102" width="24.1796875" style="190" customWidth="1"/>
    <col min="4103" max="4103" width="1.6328125" style="190" customWidth="1"/>
    <col min="4104" max="4105" width="8.1796875" style="190" customWidth="1"/>
    <col min="4106" max="4352" width="7.08984375" style="190"/>
    <col min="4353" max="4353" width="10.1796875" style="190" customWidth="1"/>
    <col min="4354" max="4354" width="3.54296875" style="190" customWidth="1"/>
    <col min="4355" max="4356" width="1.6328125" style="190" customWidth="1"/>
    <col min="4357" max="4357" width="4" style="190" customWidth="1"/>
    <col min="4358" max="4358" width="24.1796875" style="190" customWidth="1"/>
    <col min="4359" max="4359" width="1.6328125" style="190" customWidth="1"/>
    <col min="4360" max="4361" width="8.1796875" style="190" customWidth="1"/>
    <col min="4362" max="4608" width="7.08984375" style="190"/>
    <col min="4609" max="4609" width="10.1796875" style="190" customWidth="1"/>
    <col min="4610" max="4610" width="3.54296875" style="190" customWidth="1"/>
    <col min="4611" max="4612" width="1.6328125" style="190" customWidth="1"/>
    <col min="4613" max="4613" width="4" style="190" customWidth="1"/>
    <col min="4614" max="4614" width="24.1796875" style="190" customWidth="1"/>
    <col min="4615" max="4615" width="1.6328125" style="190" customWidth="1"/>
    <col min="4616" max="4617" width="8.1796875" style="190" customWidth="1"/>
    <col min="4618" max="4864" width="7.08984375" style="190"/>
    <col min="4865" max="4865" width="10.1796875" style="190" customWidth="1"/>
    <col min="4866" max="4866" width="3.54296875" style="190" customWidth="1"/>
    <col min="4867" max="4868" width="1.6328125" style="190" customWidth="1"/>
    <col min="4869" max="4869" width="4" style="190" customWidth="1"/>
    <col min="4870" max="4870" width="24.1796875" style="190" customWidth="1"/>
    <col min="4871" max="4871" width="1.6328125" style="190" customWidth="1"/>
    <col min="4872" max="4873" width="8.1796875" style="190" customWidth="1"/>
    <col min="4874" max="5120" width="7.08984375" style="190"/>
    <col min="5121" max="5121" width="10.1796875" style="190" customWidth="1"/>
    <col min="5122" max="5122" width="3.54296875" style="190" customWidth="1"/>
    <col min="5123" max="5124" width="1.6328125" style="190" customWidth="1"/>
    <col min="5125" max="5125" width="4" style="190" customWidth="1"/>
    <col min="5126" max="5126" width="24.1796875" style="190" customWidth="1"/>
    <col min="5127" max="5127" width="1.6328125" style="190" customWidth="1"/>
    <col min="5128" max="5129" width="8.1796875" style="190" customWidth="1"/>
    <col min="5130" max="5376" width="7.08984375" style="190"/>
    <col min="5377" max="5377" width="10.1796875" style="190" customWidth="1"/>
    <col min="5378" max="5378" width="3.54296875" style="190" customWidth="1"/>
    <col min="5379" max="5380" width="1.6328125" style="190" customWidth="1"/>
    <col min="5381" max="5381" width="4" style="190" customWidth="1"/>
    <col min="5382" max="5382" width="24.1796875" style="190" customWidth="1"/>
    <col min="5383" max="5383" width="1.6328125" style="190" customWidth="1"/>
    <col min="5384" max="5385" width="8.1796875" style="190" customWidth="1"/>
    <col min="5386" max="5632" width="7.08984375" style="190"/>
    <col min="5633" max="5633" width="10.1796875" style="190" customWidth="1"/>
    <col min="5634" max="5634" width="3.54296875" style="190" customWidth="1"/>
    <col min="5635" max="5636" width="1.6328125" style="190" customWidth="1"/>
    <col min="5637" max="5637" width="4" style="190" customWidth="1"/>
    <col min="5638" max="5638" width="24.1796875" style="190" customWidth="1"/>
    <col min="5639" max="5639" width="1.6328125" style="190" customWidth="1"/>
    <col min="5640" max="5641" width="8.1796875" style="190" customWidth="1"/>
    <col min="5642" max="5888" width="7.08984375" style="190"/>
    <col min="5889" max="5889" width="10.1796875" style="190" customWidth="1"/>
    <col min="5890" max="5890" width="3.54296875" style="190" customWidth="1"/>
    <col min="5891" max="5892" width="1.6328125" style="190" customWidth="1"/>
    <col min="5893" max="5893" width="4" style="190" customWidth="1"/>
    <col min="5894" max="5894" width="24.1796875" style="190" customWidth="1"/>
    <col min="5895" max="5895" width="1.6328125" style="190" customWidth="1"/>
    <col min="5896" max="5897" width="8.1796875" style="190" customWidth="1"/>
    <col min="5898" max="6144" width="7.08984375" style="190"/>
    <col min="6145" max="6145" width="10.1796875" style="190" customWidth="1"/>
    <col min="6146" max="6146" width="3.54296875" style="190" customWidth="1"/>
    <col min="6147" max="6148" width="1.6328125" style="190" customWidth="1"/>
    <col min="6149" max="6149" width="4" style="190" customWidth="1"/>
    <col min="6150" max="6150" width="24.1796875" style="190" customWidth="1"/>
    <col min="6151" max="6151" width="1.6328125" style="190" customWidth="1"/>
    <col min="6152" max="6153" width="8.1796875" style="190" customWidth="1"/>
    <col min="6154" max="6400" width="7.08984375" style="190"/>
    <col min="6401" max="6401" width="10.1796875" style="190" customWidth="1"/>
    <col min="6402" max="6402" width="3.54296875" style="190" customWidth="1"/>
    <col min="6403" max="6404" width="1.6328125" style="190" customWidth="1"/>
    <col min="6405" max="6405" width="4" style="190" customWidth="1"/>
    <col min="6406" max="6406" width="24.1796875" style="190" customWidth="1"/>
    <col min="6407" max="6407" width="1.6328125" style="190" customWidth="1"/>
    <col min="6408" max="6409" width="8.1796875" style="190" customWidth="1"/>
    <col min="6410" max="6656" width="7.08984375" style="190"/>
    <col min="6657" max="6657" width="10.1796875" style="190" customWidth="1"/>
    <col min="6658" max="6658" width="3.54296875" style="190" customWidth="1"/>
    <col min="6659" max="6660" width="1.6328125" style="190" customWidth="1"/>
    <col min="6661" max="6661" width="4" style="190" customWidth="1"/>
    <col min="6662" max="6662" width="24.1796875" style="190" customWidth="1"/>
    <col min="6663" max="6663" width="1.6328125" style="190" customWidth="1"/>
    <col min="6664" max="6665" width="8.1796875" style="190" customWidth="1"/>
    <col min="6666" max="6912" width="7.08984375" style="190"/>
    <col min="6913" max="6913" width="10.1796875" style="190" customWidth="1"/>
    <col min="6914" max="6914" width="3.54296875" style="190" customWidth="1"/>
    <col min="6915" max="6916" width="1.6328125" style="190" customWidth="1"/>
    <col min="6917" max="6917" width="4" style="190" customWidth="1"/>
    <col min="6918" max="6918" width="24.1796875" style="190" customWidth="1"/>
    <col min="6919" max="6919" width="1.6328125" style="190" customWidth="1"/>
    <col min="6920" max="6921" width="8.1796875" style="190" customWidth="1"/>
    <col min="6922" max="7168" width="7.08984375" style="190"/>
    <col min="7169" max="7169" width="10.1796875" style="190" customWidth="1"/>
    <col min="7170" max="7170" width="3.54296875" style="190" customWidth="1"/>
    <col min="7171" max="7172" width="1.6328125" style="190" customWidth="1"/>
    <col min="7173" max="7173" width="4" style="190" customWidth="1"/>
    <col min="7174" max="7174" width="24.1796875" style="190" customWidth="1"/>
    <col min="7175" max="7175" width="1.6328125" style="190" customWidth="1"/>
    <col min="7176" max="7177" width="8.1796875" style="190" customWidth="1"/>
    <col min="7178" max="7424" width="7.08984375" style="190"/>
    <col min="7425" max="7425" width="10.1796875" style="190" customWidth="1"/>
    <col min="7426" max="7426" width="3.54296875" style="190" customWidth="1"/>
    <col min="7427" max="7428" width="1.6328125" style="190" customWidth="1"/>
    <col min="7429" max="7429" width="4" style="190" customWidth="1"/>
    <col min="7430" max="7430" width="24.1796875" style="190" customWidth="1"/>
    <col min="7431" max="7431" width="1.6328125" style="190" customWidth="1"/>
    <col min="7432" max="7433" width="8.1796875" style="190" customWidth="1"/>
    <col min="7434" max="7680" width="7.08984375" style="190"/>
    <col min="7681" max="7681" width="10.1796875" style="190" customWidth="1"/>
    <col min="7682" max="7682" width="3.54296875" style="190" customWidth="1"/>
    <col min="7683" max="7684" width="1.6328125" style="190" customWidth="1"/>
    <col min="7685" max="7685" width="4" style="190" customWidth="1"/>
    <col min="7686" max="7686" width="24.1796875" style="190" customWidth="1"/>
    <col min="7687" max="7687" width="1.6328125" style="190" customWidth="1"/>
    <col min="7688" max="7689" width="8.1796875" style="190" customWidth="1"/>
    <col min="7690" max="7936" width="7.08984375" style="190"/>
    <col min="7937" max="7937" width="10.1796875" style="190" customWidth="1"/>
    <col min="7938" max="7938" width="3.54296875" style="190" customWidth="1"/>
    <col min="7939" max="7940" width="1.6328125" style="190" customWidth="1"/>
    <col min="7941" max="7941" width="4" style="190" customWidth="1"/>
    <col min="7942" max="7942" width="24.1796875" style="190" customWidth="1"/>
    <col min="7943" max="7943" width="1.6328125" style="190" customWidth="1"/>
    <col min="7944" max="7945" width="8.1796875" style="190" customWidth="1"/>
    <col min="7946" max="8192" width="7.08984375" style="190"/>
    <col min="8193" max="8193" width="10.1796875" style="190" customWidth="1"/>
    <col min="8194" max="8194" width="3.54296875" style="190" customWidth="1"/>
    <col min="8195" max="8196" width="1.6328125" style="190" customWidth="1"/>
    <col min="8197" max="8197" width="4" style="190" customWidth="1"/>
    <col min="8198" max="8198" width="24.1796875" style="190" customWidth="1"/>
    <col min="8199" max="8199" width="1.6328125" style="190" customWidth="1"/>
    <col min="8200" max="8201" width="8.1796875" style="190" customWidth="1"/>
    <col min="8202" max="8448" width="7.08984375" style="190"/>
    <col min="8449" max="8449" width="10.1796875" style="190" customWidth="1"/>
    <col min="8450" max="8450" width="3.54296875" style="190" customWidth="1"/>
    <col min="8451" max="8452" width="1.6328125" style="190" customWidth="1"/>
    <col min="8453" max="8453" width="4" style="190" customWidth="1"/>
    <col min="8454" max="8454" width="24.1796875" style="190" customWidth="1"/>
    <col min="8455" max="8455" width="1.6328125" style="190" customWidth="1"/>
    <col min="8456" max="8457" width="8.1796875" style="190" customWidth="1"/>
    <col min="8458" max="8704" width="7.08984375" style="190"/>
    <col min="8705" max="8705" width="10.1796875" style="190" customWidth="1"/>
    <col min="8706" max="8706" width="3.54296875" style="190" customWidth="1"/>
    <col min="8707" max="8708" width="1.6328125" style="190" customWidth="1"/>
    <col min="8709" max="8709" width="4" style="190" customWidth="1"/>
    <col min="8710" max="8710" width="24.1796875" style="190" customWidth="1"/>
    <col min="8711" max="8711" width="1.6328125" style="190" customWidth="1"/>
    <col min="8712" max="8713" width="8.1796875" style="190" customWidth="1"/>
    <col min="8714" max="8960" width="7.08984375" style="190"/>
    <col min="8961" max="8961" width="10.1796875" style="190" customWidth="1"/>
    <col min="8962" max="8962" width="3.54296875" style="190" customWidth="1"/>
    <col min="8963" max="8964" width="1.6328125" style="190" customWidth="1"/>
    <col min="8965" max="8965" width="4" style="190" customWidth="1"/>
    <col min="8966" max="8966" width="24.1796875" style="190" customWidth="1"/>
    <col min="8967" max="8967" width="1.6328125" style="190" customWidth="1"/>
    <col min="8968" max="8969" width="8.1796875" style="190" customWidth="1"/>
    <col min="8970" max="9216" width="7.08984375" style="190"/>
    <col min="9217" max="9217" width="10.1796875" style="190" customWidth="1"/>
    <col min="9218" max="9218" width="3.54296875" style="190" customWidth="1"/>
    <col min="9219" max="9220" width="1.6328125" style="190" customWidth="1"/>
    <col min="9221" max="9221" width="4" style="190" customWidth="1"/>
    <col min="9222" max="9222" width="24.1796875" style="190" customWidth="1"/>
    <col min="9223" max="9223" width="1.6328125" style="190" customWidth="1"/>
    <col min="9224" max="9225" width="8.1796875" style="190" customWidth="1"/>
    <col min="9226" max="9472" width="7.08984375" style="190"/>
    <col min="9473" max="9473" width="10.1796875" style="190" customWidth="1"/>
    <col min="9474" max="9474" width="3.54296875" style="190" customWidth="1"/>
    <col min="9475" max="9476" width="1.6328125" style="190" customWidth="1"/>
    <col min="9477" max="9477" width="4" style="190" customWidth="1"/>
    <col min="9478" max="9478" width="24.1796875" style="190" customWidth="1"/>
    <col min="9479" max="9479" width="1.6328125" style="190" customWidth="1"/>
    <col min="9480" max="9481" width="8.1796875" style="190" customWidth="1"/>
    <col min="9482" max="9728" width="7.08984375" style="190"/>
    <col min="9729" max="9729" width="10.1796875" style="190" customWidth="1"/>
    <col min="9730" max="9730" width="3.54296875" style="190" customWidth="1"/>
    <col min="9731" max="9732" width="1.6328125" style="190" customWidth="1"/>
    <col min="9733" max="9733" width="4" style="190" customWidth="1"/>
    <col min="9734" max="9734" width="24.1796875" style="190" customWidth="1"/>
    <col min="9735" max="9735" width="1.6328125" style="190" customWidth="1"/>
    <col min="9736" max="9737" width="8.1796875" style="190" customWidth="1"/>
    <col min="9738" max="9984" width="7.08984375" style="190"/>
    <col min="9985" max="9985" width="10.1796875" style="190" customWidth="1"/>
    <col min="9986" max="9986" width="3.54296875" style="190" customWidth="1"/>
    <col min="9987" max="9988" width="1.6328125" style="190" customWidth="1"/>
    <col min="9989" max="9989" width="4" style="190" customWidth="1"/>
    <col min="9990" max="9990" width="24.1796875" style="190" customWidth="1"/>
    <col min="9991" max="9991" width="1.6328125" style="190" customWidth="1"/>
    <col min="9992" max="9993" width="8.1796875" style="190" customWidth="1"/>
    <col min="9994" max="10240" width="7.08984375" style="190"/>
    <col min="10241" max="10241" width="10.1796875" style="190" customWidth="1"/>
    <col min="10242" max="10242" width="3.54296875" style="190" customWidth="1"/>
    <col min="10243" max="10244" width="1.6328125" style="190" customWidth="1"/>
    <col min="10245" max="10245" width="4" style="190" customWidth="1"/>
    <col min="10246" max="10246" width="24.1796875" style="190" customWidth="1"/>
    <col min="10247" max="10247" width="1.6328125" style="190" customWidth="1"/>
    <col min="10248" max="10249" width="8.1796875" style="190" customWidth="1"/>
    <col min="10250" max="10496" width="7.08984375" style="190"/>
    <col min="10497" max="10497" width="10.1796875" style="190" customWidth="1"/>
    <col min="10498" max="10498" width="3.54296875" style="190" customWidth="1"/>
    <col min="10499" max="10500" width="1.6328125" style="190" customWidth="1"/>
    <col min="10501" max="10501" width="4" style="190" customWidth="1"/>
    <col min="10502" max="10502" width="24.1796875" style="190" customWidth="1"/>
    <col min="10503" max="10503" width="1.6328125" style="190" customWidth="1"/>
    <col min="10504" max="10505" width="8.1796875" style="190" customWidth="1"/>
    <col min="10506" max="10752" width="7.08984375" style="190"/>
    <col min="10753" max="10753" width="10.1796875" style="190" customWidth="1"/>
    <col min="10754" max="10754" width="3.54296875" style="190" customWidth="1"/>
    <col min="10755" max="10756" width="1.6328125" style="190" customWidth="1"/>
    <col min="10757" max="10757" width="4" style="190" customWidth="1"/>
    <col min="10758" max="10758" width="24.1796875" style="190" customWidth="1"/>
    <col min="10759" max="10759" width="1.6328125" style="190" customWidth="1"/>
    <col min="10760" max="10761" width="8.1796875" style="190" customWidth="1"/>
    <col min="10762" max="11008" width="7.08984375" style="190"/>
    <col min="11009" max="11009" width="10.1796875" style="190" customWidth="1"/>
    <col min="11010" max="11010" width="3.54296875" style="190" customWidth="1"/>
    <col min="11011" max="11012" width="1.6328125" style="190" customWidth="1"/>
    <col min="11013" max="11013" width="4" style="190" customWidth="1"/>
    <col min="11014" max="11014" width="24.1796875" style="190" customWidth="1"/>
    <col min="11015" max="11015" width="1.6328125" style="190" customWidth="1"/>
    <col min="11016" max="11017" width="8.1796875" style="190" customWidth="1"/>
    <col min="11018" max="11264" width="7.08984375" style="190"/>
    <col min="11265" max="11265" width="10.1796875" style="190" customWidth="1"/>
    <col min="11266" max="11266" width="3.54296875" style="190" customWidth="1"/>
    <col min="11267" max="11268" width="1.6328125" style="190" customWidth="1"/>
    <col min="11269" max="11269" width="4" style="190" customWidth="1"/>
    <col min="11270" max="11270" width="24.1796875" style="190" customWidth="1"/>
    <col min="11271" max="11271" width="1.6328125" style="190" customWidth="1"/>
    <col min="11272" max="11273" width="8.1796875" style="190" customWidth="1"/>
    <col min="11274" max="11520" width="7.08984375" style="190"/>
    <col min="11521" max="11521" width="10.1796875" style="190" customWidth="1"/>
    <col min="11522" max="11522" width="3.54296875" style="190" customWidth="1"/>
    <col min="11523" max="11524" width="1.6328125" style="190" customWidth="1"/>
    <col min="11525" max="11525" width="4" style="190" customWidth="1"/>
    <col min="11526" max="11526" width="24.1796875" style="190" customWidth="1"/>
    <col min="11527" max="11527" width="1.6328125" style="190" customWidth="1"/>
    <col min="11528" max="11529" width="8.1796875" style="190" customWidth="1"/>
    <col min="11530" max="11776" width="7.08984375" style="190"/>
    <col min="11777" max="11777" width="10.1796875" style="190" customWidth="1"/>
    <col min="11778" max="11778" width="3.54296875" style="190" customWidth="1"/>
    <col min="11779" max="11780" width="1.6328125" style="190" customWidth="1"/>
    <col min="11781" max="11781" width="4" style="190" customWidth="1"/>
    <col min="11782" max="11782" width="24.1796875" style="190" customWidth="1"/>
    <col min="11783" max="11783" width="1.6328125" style="190" customWidth="1"/>
    <col min="11784" max="11785" width="8.1796875" style="190" customWidth="1"/>
    <col min="11786" max="12032" width="7.08984375" style="190"/>
    <col min="12033" max="12033" width="10.1796875" style="190" customWidth="1"/>
    <col min="12034" max="12034" width="3.54296875" style="190" customWidth="1"/>
    <col min="12035" max="12036" width="1.6328125" style="190" customWidth="1"/>
    <col min="12037" max="12037" width="4" style="190" customWidth="1"/>
    <col min="12038" max="12038" width="24.1796875" style="190" customWidth="1"/>
    <col min="12039" max="12039" width="1.6328125" style="190" customWidth="1"/>
    <col min="12040" max="12041" width="8.1796875" style="190" customWidth="1"/>
    <col min="12042" max="12288" width="7.08984375" style="190"/>
    <col min="12289" max="12289" width="10.1796875" style="190" customWidth="1"/>
    <col min="12290" max="12290" width="3.54296875" style="190" customWidth="1"/>
    <col min="12291" max="12292" width="1.6328125" style="190" customWidth="1"/>
    <col min="12293" max="12293" width="4" style="190" customWidth="1"/>
    <col min="12294" max="12294" width="24.1796875" style="190" customWidth="1"/>
    <col min="12295" max="12295" width="1.6328125" style="190" customWidth="1"/>
    <col min="12296" max="12297" width="8.1796875" style="190" customWidth="1"/>
    <col min="12298" max="12544" width="7.08984375" style="190"/>
    <col min="12545" max="12545" width="10.1796875" style="190" customWidth="1"/>
    <col min="12546" max="12546" width="3.54296875" style="190" customWidth="1"/>
    <col min="12547" max="12548" width="1.6328125" style="190" customWidth="1"/>
    <col min="12549" max="12549" width="4" style="190" customWidth="1"/>
    <col min="12550" max="12550" width="24.1796875" style="190" customWidth="1"/>
    <col min="12551" max="12551" width="1.6328125" style="190" customWidth="1"/>
    <col min="12552" max="12553" width="8.1796875" style="190" customWidth="1"/>
    <col min="12554" max="12800" width="7.08984375" style="190"/>
    <col min="12801" max="12801" width="10.1796875" style="190" customWidth="1"/>
    <col min="12802" max="12802" width="3.54296875" style="190" customWidth="1"/>
    <col min="12803" max="12804" width="1.6328125" style="190" customWidth="1"/>
    <col min="12805" max="12805" width="4" style="190" customWidth="1"/>
    <col min="12806" max="12806" width="24.1796875" style="190" customWidth="1"/>
    <col min="12807" max="12807" width="1.6328125" style="190" customWidth="1"/>
    <col min="12808" max="12809" width="8.1796875" style="190" customWidth="1"/>
    <col min="12810" max="13056" width="7.08984375" style="190"/>
    <col min="13057" max="13057" width="10.1796875" style="190" customWidth="1"/>
    <col min="13058" max="13058" width="3.54296875" style="190" customWidth="1"/>
    <col min="13059" max="13060" width="1.6328125" style="190" customWidth="1"/>
    <col min="13061" max="13061" width="4" style="190" customWidth="1"/>
    <col min="13062" max="13062" width="24.1796875" style="190" customWidth="1"/>
    <col min="13063" max="13063" width="1.6328125" style="190" customWidth="1"/>
    <col min="13064" max="13065" width="8.1796875" style="190" customWidth="1"/>
    <col min="13066" max="13312" width="7.08984375" style="190"/>
    <col min="13313" max="13313" width="10.1796875" style="190" customWidth="1"/>
    <col min="13314" max="13314" width="3.54296875" style="190" customWidth="1"/>
    <col min="13315" max="13316" width="1.6328125" style="190" customWidth="1"/>
    <col min="13317" max="13317" width="4" style="190" customWidth="1"/>
    <col min="13318" max="13318" width="24.1796875" style="190" customWidth="1"/>
    <col min="13319" max="13319" width="1.6328125" style="190" customWidth="1"/>
    <col min="13320" max="13321" width="8.1796875" style="190" customWidth="1"/>
    <col min="13322" max="13568" width="7.08984375" style="190"/>
    <col min="13569" max="13569" width="10.1796875" style="190" customWidth="1"/>
    <col min="13570" max="13570" width="3.54296875" style="190" customWidth="1"/>
    <col min="13571" max="13572" width="1.6328125" style="190" customWidth="1"/>
    <col min="13573" max="13573" width="4" style="190" customWidth="1"/>
    <col min="13574" max="13574" width="24.1796875" style="190" customWidth="1"/>
    <col min="13575" max="13575" width="1.6328125" style="190" customWidth="1"/>
    <col min="13576" max="13577" width="8.1796875" style="190" customWidth="1"/>
    <col min="13578" max="13824" width="7.08984375" style="190"/>
    <col min="13825" max="13825" width="10.1796875" style="190" customWidth="1"/>
    <col min="13826" max="13826" width="3.54296875" style="190" customWidth="1"/>
    <col min="13827" max="13828" width="1.6328125" style="190" customWidth="1"/>
    <col min="13829" max="13829" width="4" style="190" customWidth="1"/>
    <col min="13830" max="13830" width="24.1796875" style="190" customWidth="1"/>
    <col min="13831" max="13831" width="1.6328125" style="190" customWidth="1"/>
    <col min="13832" max="13833" width="8.1796875" style="190" customWidth="1"/>
    <col min="13834" max="14080" width="7.08984375" style="190"/>
    <col min="14081" max="14081" width="10.1796875" style="190" customWidth="1"/>
    <col min="14082" max="14082" width="3.54296875" style="190" customWidth="1"/>
    <col min="14083" max="14084" width="1.6328125" style="190" customWidth="1"/>
    <col min="14085" max="14085" width="4" style="190" customWidth="1"/>
    <col min="14086" max="14086" width="24.1796875" style="190" customWidth="1"/>
    <col min="14087" max="14087" width="1.6328125" style="190" customWidth="1"/>
    <col min="14088" max="14089" width="8.1796875" style="190" customWidth="1"/>
    <col min="14090" max="14336" width="7.08984375" style="190"/>
    <col min="14337" max="14337" width="10.1796875" style="190" customWidth="1"/>
    <col min="14338" max="14338" width="3.54296875" style="190" customWidth="1"/>
    <col min="14339" max="14340" width="1.6328125" style="190" customWidth="1"/>
    <col min="14341" max="14341" width="4" style="190" customWidth="1"/>
    <col min="14342" max="14342" width="24.1796875" style="190" customWidth="1"/>
    <col min="14343" max="14343" width="1.6328125" style="190" customWidth="1"/>
    <col min="14344" max="14345" width="8.1796875" style="190" customWidth="1"/>
    <col min="14346" max="14592" width="7.08984375" style="190"/>
    <col min="14593" max="14593" width="10.1796875" style="190" customWidth="1"/>
    <col min="14594" max="14594" width="3.54296875" style="190" customWidth="1"/>
    <col min="14595" max="14596" width="1.6328125" style="190" customWidth="1"/>
    <col min="14597" max="14597" width="4" style="190" customWidth="1"/>
    <col min="14598" max="14598" width="24.1796875" style="190" customWidth="1"/>
    <col min="14599" max="14599" width="1.6328125" style="190" customWidth="1"/>
    <col min="14600" max="14601" width="8.1796875" style="190" customWidth="1"/>
    <col min="14602" max="14848" width="7.08984375" style="190"/>
    <col min="14849" max="14849" width="10.1796875" style="190" customWidth="1"/>
    <col min="14850" max="14850" width="3.54296875" style="190" customWidth="1"/>
    <col min="14851" max="14852" width="1.6328125" style="190" customWidth="1"/>
    <col min="14853" max="14853" width="4" style="190" customWidth="1"/>
    <col min="14854" max="14854" width="24.1796875" style="190" customWidth="1"/>
    <col min="14855" max="14855" width="1.6328125" style="190" customWidth="1"/>
    <col min="14856" max="14857" width="8.1796875" style="190" customWidth="1"/>
    <col min="14858" max="15104" width="7.08984375" style="190"/>
    <col min="15105" max="15105" width="10.1796875" style="190" customWidth="1"/>
    <col min="15106" max="15106" width="3.54296875" style="190" customWidth="1"/>
    <col min="15107" max="15108" width="1.6328125" style="190" customWidth="1"/>
    <col min="15109" max="15109" width="4" style="190" customWidth="1"/>
    <col min="15110" max="15110" width="24.1796875" style="190" customWidth="1"/>
    <col min="15111" max="15111" width="1.6328125" style="190" customWidth="1"/>
    <col min="15112" max="15113" width="8.1796875" style="190" customWidth="1"/>
    <col min="15114" max="15360" width="7.08984375" style="190"/>
    <col min="15361" max="15361" width="10.1796875" style="190" customWidth="1"/>
    <col min="15362" max="15362" width="3.54296875" style="190" customWidth="1"/>
    <col min="15363" max="15364" width="1.6328125" style="190" customWidth="1"/>
    <col min="15365" max="15365" width="4" style="190" customWidth="1"/>
    <col min="15366" max="15366" width="24.1796875" style="190" customWidth="1"/>
    <col min="15367" max="15367" width="1.6328125" style="190" customWidth="1"/>
    <col min="15368" max="15369" width="8.1796875" style="190" customWidth="1"/>
    <col min="15370" max="15616" width="7.08984375" style="190"/>
    <col min="15617" max="15617" width="10.1796875" style="190" customWidth="1"/>
    <col min="15618" max="15618" width="3.54296875" style="190" customWidth="1"/>
    <col min="15619" max="15620" width="1.6328125" style="190" customWidth="1"/>
    <col min="15621" max="15621" width="4" style="190" customWidth="1"/>
    <col min="15622" max="15622" width="24.1796875" style="190" customWidth="1"/>
    <col min="15623" max="15623" width="1.6328125" style="190" customWidth="1"/>
    <col min="15624" max="15625" width="8.1796875" style="190" customWidth="1"/>
    <col min="15626" max="15872" width="7.08984375" style="190"/>
    <col min="15873" max="15873" width="10.1796875" style="190" customWidth="1"/>
    <col min="15874" max="15874" width="3.54296875" style="190" customWidth="1"/>
    <col min="15875" max="15876" width="1.6328125" style="190" customWidth="1"/>
    <col min="15877" max="15877" width="4" style="190" customWidth="1"/>
    <col min="15878" max="15878" width="24.1796875" style="190" customWidth="1"/>
    <col min="15879" max="15879" width="1.6328125" style="190" customWidth="1"/>
    <col min="15880" max="15881" width="8.1796875" style="190" customWidth="1"/>
    <col min="15882" max="16128" width="7.08984375" style="190"/>
    <col min="16129" max="16129" width="10.1796875" style="190" customWidth="1"/>
    <col min="16130" max="16130" width="3.54296875" style="190" customWidth="1"/>
    <col min="16131" max="16132" width="1.6328125" style="190" customWidth="1"/>
    <col min="16133" max="16133" width="4" style="190" customWidth="1"/>
    <col min="16134" max="16134" width="24.1796875" style="190" customWidth="1"/>
    <col min="16135" max="16135" width="1.6328125" style="190" customWidth="1"/>
    <col min="16136" max="16137" width="8.1796875" style="190" customWidth="1"/>
    <col min="16138" max="16384" width="7.08984375" style="190"/>
  </cols>
  <sheetData>
    <row r="1" spans="1:8" ht="14.25" customHeight="1">
      <c r="A1" s="925" t="s">
        <v>415</v>
      </c>
      <c r="B1" s="925"/>
      <c r="C1" s="925"/>
      <c r="D1" s="925"/>
      <c r="E1" s="925"/>
      <c r="F1" s="925"/>
      <c r="G1" s="925"/>
      <c r="H1" s="925"/>
    </row>
    <row r="2" spans="1:8">
      <c r="A2" s="925" t="s">
        <v>135</v>
      </c>
      <c r="B2" s="925"/>
      <c r="C2" s="925"/>
      <c r="D2" s="925"/>
      <c r="E2" s="925"/>
      <c r="F2" s="925"/>
      <c r="G2" s="925"/>
      <c r="H2" s="925"/>
    </row>
    <row r="3" spans="1:8">
      <c r="A3" s="926" t="str">
        <f>'Act Att-H'!C7</f>
        <v>Black Hills Colorado Electric, LLC</v>
      </c>
      <c r="B3" s="926"/>
      <c r="C3" s="926"/>
      <c r="D3" s="926"/>
      <c r="E3" s="926"/>
      <c r="F3" s="926"/>
      <c r="G3" s="926"/>
      <c r="H3" s="926"/>
    </row>
    <row r="4" spans="1:8">
      <c r="F4" s="2"/>
      <c r="H4" s="282" t="s">
        <v>515</v>
      </c>
    </row>
    <row r="5" spans="1:8">
      <c r="A5" s="925"/>
      <c r="B5" s="925"/>
      <c r="C5" s="925"/>
      <c r="D5" s="925"/>
      <c r="E5" s="925"/>
      <c r="F5" s="925"/>
      <c r="G5" s="925"/>
      <c r="H5" s="925"/>
    </row>
    <row r="6" spans="1:8">
      <c r="B6" s="193" t="s">
        <v>4</v>
      </c>
      <c r="H6" s="190"/>
    </row>
    <row r="7" spans="1:8">
      <c r="B7" s="196" t="s">
        <v>6</v>
      </c>
      <c r="D7" s="215" t="s">
        <v>125</v>
      </c>
      <c r="E7" s="215"/>
      <c r="F7" s="215"/>
      <c r="H7" s="651" t="s">
        <v>136</v>
      </c>
    </row>
    <row r="8" spans="1:8">
      <c r="B8" s="193">
        <v>1</v>
      </c>
    </row>
    <row r="9" spans="1:8">
      <c r="B9" s="193">
        <f>B8+1</f>
        <v>2</v>
      </c>
      <c r="D9" s="206" t="s">
        <v>765</v>
      </c>
      <c r="E9" s="206"/>
    </row>
    <row r="10" spans="1:8">
      <c r="B10" s="193">
        <f t="shared" ref="B10:B57" si="0">B9+1</f>
        <v>3</v>
      </c>
      <c r="E10" s="652">
        <v>352</v>
      </c>
      <c r="F10" s="217" t="s">
        <v>519</v>
      </c>
      <c r="H10" s="283">
        <v>1.43E-2</v>
      </c>
    </row>
    <row r="11" spans="1:8">
      <c r="B11" s="193">
        <f t="shared" si="0"/>
        <v>4</v>
      </c>
      <c r="E11" s="652">
        <v>352.59</v>
      </c>
      <c r="F11" s="190" t="s">
        <v>919</v>
      </c>
      <c r="H11" s="283">
        <v>1.17E-2</v>
      </c>
    </row>
    <row r="12" spans="1:8">
      <c r="B12" s="193">
        <f t="shared" si="0"/>
        <v>5</v>
      </c>
      <c r="E12" s="652">
        <v>353</v>
      </c>
      <c r="F12" s="190" t="s">
        <v>520</v>
      </c>
      <c r="H12" s="283">
        <v>1.4500000000000001E-2</v>
      </c>
    </row>
    <row r="13" spans="1:8">
      <c r="B13" s="193">
        <f t="shared" si="0"/>
        <v>6</v>
      </c>
      <c r="E13" s="652">
        <v>353.59</v>
      </c>
      <c r="F13" s="190" t="s">
        <v>920</v>
      </c>
      <c r="H13" s="283">
        <v>1.17E-2</v>
      </c>
    </row>
    <row r="14" spans="1:8">
      <c r="B14" s="193">
        <f t="shared" si="0"/>
        <v>7</v>
      </c>
      <c r="E14" s="652">
        <v>355</v>
      </c>
      <c r="F14" s="190" t="s">
        <v>521</v>
      </c>
      <c r="H14" s="283">
        <v>2.0799999999999999E-2</v>
      </c>
    </row>
    <row r="15" spans="1:8">
      <c r="B15" s="193">
        <f t="shared" si="0"/>
        <v>8</v>
      </c>
      <c r="E15" s="652">
        <v>356</v>
      </c>
      <c r="F15" s="217" t="s">
        <v>522</v>
      </c>
      <c r="H15" s="283">
        <v>2.0299999999999999E-2</v>
      </c>
    </row>
    <row r="16" spans="1:8">
      <c r="B16" s="193">
        <f t="shared" si="0"/>
        <v>9</v>
      </c>
      <c r="E16" s="652">
        <v>357</v>
      </c>
      <c r="F16" s="217" t="s">
        <v>921</v>
      </c>
      <c r="H16" s="283">
        <v>2.2200000000000001E-2</v>
      </c>
    </row>
    <row r="17" spans="2:8">
      <c r="B17" s="193">
        <f t="shared" si="0"/>
        <v>10</v>
      </c>
      <c r="E17" s="652">
        <v>358</v>
      </c>
      <c r="F17" s="716" t="s">
        <v>922</v>
      </c>
      <c r="H17" s="717">
        <v>2.1700000000000001E-2</v>
      </c>
    </row>
    <row r="18" spans="2:8">
      <c r="B18" s="193">
        <f t="shared" si="0"/>
        <v>11</v>
      </c>
      <c r="F18" s="190" t="s">
        <v>523</v>
      </c>
      <c r="H18" s="623">
        <v>1.6500000000000001E-2</v>
      </c>
    </row>
    <row r="19" spans="2:8">
      <c r="B19" s="193">
        <f t="shared" si="0"/>
        <v>12</v>
      </c>
      <c r="H19" s="623"/>
    </row>
    <row r="20" spans="2:8">
      <c r="B20" s="193">
        <f t="shared" si="0"/>
        <v>13</v>
      </c>
      <c r="D20" s="206" t="s">
        <v>917</v>
      </c>
      <c r="H20" s="284"/>
    </row>
    <row r="21" spans="2:8">
      <c r="B21" s="193">
        <f t="shared" si="0"/>
        <v>14</v>
      </c>
      <c r="E21" s="652">
        <v>390.01</v>
      </c>
      <c r="F21" s="217" t="s">
        <v>923</v>
      </c>
      <c r="H21" s="283">
        <v>3.1199999999999999E-2</v>
      </c>
    </row>
    <row r="22" spans="2:8">
      <c r="B22" s="193">
        <f t="shared" si="0"/>
        <v>15</v>
      </c>
      <c r="E22" s="652">
        <v>391.01</v>
      </c>
      <c r="F22" s="190" t="s">
        <v>800</v>
      </c>
      <c r="H22" s="283">
        <v>6.9800000000000001E-2</v>
      </c>
    </row>
    <row r="23" spans="2:8">
      <c r="B23" s="193">
        <f t="shared" si="0"/>
        <v>16</v>
      </c>
      <c r="E23" s="652">
        <v>391.03</v>
      </c>
      <c r="F23" s="190" t="s">
        <v>801</v>
      </c>
      <c r="H23" s="283">
        <v>0.36280000000000001</v>
      </c>
    </row>
    <row r="24" spans="2:8">
      <c r="B24" s="193">
        <f t="shared" si="0"/>
        <v>17</v>
      </c>
      <c r="E24" s="652">
        <v>391.04</v>
      </c>
      <c r="F24" s="190" t="s">
        <v>924</v>
      </c>
      <c r="H24" s="283">
        <v>0.18429999999999999</v>
      </c>
    </row>
    <row r="25" spans="2:8">
      <c r="B25" s="193">
        <f t="shared" si="0"/>
        <v>18</v>
      </c>
      <c r="E25" s="653">
        <v>391.05</v>
      </c>
      <c r="F25" s="190" t="s">
        <v>822</v>
      </c>
      <c r="H25" s="283">
        <v>0.13719999999999999</v>
      </c>
    </row>
    <row r="26" spans="2:8">
      <c r="B26" s="193">
        <f t="shared" si="0"/>
        <v>19</v>
      </c>
      <c r="E26" s="652">
        <v>392</v>
      </c>
      <c r="F26" s="190" t="s">
        <v>802</v>
      </c>
      <c r="H26" s="283">
        <v>9.0200000000000002E-2</v>
      </c>
    </row>
    <row r="27" spans="2:8">
      <c r="B27" s="193">
        <f t="shared" si="0"/>
        <v>20</v>
      </c>
      <c r="E27" s="652">
        <v>393</v>
      </c>
      <c r="F27" s="190" t="s">
        <v>803</v>
      </c>
      <c r="H27" s="283">
        <v>6.0900000000000003E-2</v>
      </c>
    </row>
    <row r="28" spans="2:8">
      <c r="B28" s="193">
        <f t="shared" si="0"/>
        <v>21</v>
      </c>
      <c r="E28" s="652">
        <v>394</v>
      </c>
      <c r="F28" s="190" t="s">
        <v>804</v>
      </c>
      <c r="H28" s="283">
        <v>2.1000000000000001E-2</v>
      </c>
    </row>
    <row r="29" spans="2:8">
      <c r="B29" s="193">
        <f t="shared" si="0"/>
        <v>22</v>
      </c>
      <c r="E29" s="652">
        <v>395</v>
      </c>
      <c r="F29" s="190" t="s">
        <v>805</v>
      </c>
      <c r="H29" s="283">
        <v>1.26E-2</v>
      </c>
    </row>
    <row r="30" spans="2:8">
      <c r="B30" s="193">
        <f t="shared" si="0"/>
        <v>23</v>
      </c>
      <c r="E30" s="652">
        <v>396</v>
      </c>
      <c r="F30" s="190" t="s">
        <v>925</v>
      </c>
      <c r="H30" s="283">
        <v>5.6300000000000003E-2</v>
      </c>
    </row>
    <row r="31" spans="2:8">
      <c r="B31" s="193">
        <f t="shared" si="0"/>
        <v>24</v>
      </c>
      <c r="E31" s="652">
        <v>397</v>
      </c>
      <c r="F31" s="190" t="s">
        <v>926</v>
      </c>
      <c r="H31" s="283">
        <v>8.6300000000000002E-2</v>
      </c>
    </row>
    <row r="32" spans="2:8">
      <c r="B32" s="193">
        <f t="shared" si="0"/>
        <v>25</v>
      </c>
      <c r="E32" s="652">
        <v>398</v>
      </c>
      <c r="F32" s="190" t="s">
        <v>927</v>
      </c>
      <c r="H32" s="283">
        <v>5.8400000000000001E-2</v>
      </c>
    </row>
    <row r="33" spans="2:8">
      <c r="B33" s="193">
        <f t="shared" si="0"/>
        <v>26</v>
      </c>
      <c r="F33" s="285" t="s">
        <v>806</v>
      </c>
      <c r="H33" s="654">
        <v>8.3199999999999996E-2</v>
      </c>
    </row>
    <row r="34" spans="2:8">
      <c r="B34" s="193">
        <f t="shared" si="0"/>
        <v>27</v>
      </c>
      <c r="H34" s="623"/>
    </row>
    <row r="35" spans="2:8">
      <c r="B35" s="193">
        <f t="shared" si="0"/>
        <v>28</v>
      </c>
      <c r="D35" s="206" t="s">
        <v>807</v>
      </c>
      <c r="H35" s="623"/>
    </row>
    <row r="36" spans="2:8">
      <c r="B36" s="193">
        <f t="shared" si="0"/>
        <v>29</v>
      </c>
      <c r="E36" s="652">
        <v>301</v>
      </c>
      <c r="F36" s="217" t="s">
        <v>808</v>
      </c>
      <c r="H36" s="623">
        <v>0</v>
      </c>
    </row>
    <row r="37" spans="2:8">
      <c r="B37" s="193">
        <f t="shared" si="0"/>
        <v>30</v>
      </c>
      <c r="E37" s="652">
        <v>303</v>
      </c>
      <c r="F37" s="217" t="s">
        <v>928</v>
      </c>
      <c r="H37" s="623">
        <v>0</v>
      </c>
    </row>
    <row r="38" spans="2:8">
      <c r="B38" s="193">
        <f t="shared" si="0"/>
        <v>31</v>
      </c>
      <c r="F38" s="285" t="s">
        <v>809</v>
      </c>
      <c r="H38" s="286">
        <v>0</v>
      </c>
    </row>
    <row r="39" spans="2:8">
      <c r="B39" s="193">
        <f t="shared" si="0"/>
        <v>32</v>
      </c>
      <c r="H39" s="623"/>
    </row>
    <row r="40" spans="2:8">
      <c r="B40" s="193">
        <f t="shared" si="0"/>
        <v>33</v>
      </c>
      <c r="D40" s="206" t="s">
        <v>816</v>
      </c>
      <c r="H40" s="623"/>
    </row>
    <row r="41" spans="2:8">
      <c r="B41" s="193">
        <f t="shared" si="0"/>
        <v>34</v>
      </c>
      <c r="E41" s="206" t="s">
        <v>812</v>
      </c>
      <c r="H41" s="623"/>
    </row>
    <row r="42" spans="2:8">
      <c r="B42" s="193">
        <f t="shared" si="0"/>
        <v>35</v>
      </c>
      <c r="E42" s="652">
        <v>390.01</v>
      </c>
      <c r="F42" s="217" t="s">
        <v>799</v>
      </c>
      <c r="H42" s="623">
        <v>1.9900000000000001E-2</v>
      </c>
    </row>
    <row r="43" spans="2:8">
      <c r="B43" s="193">
        <f t="shared" si="0"/>
        <v>36</v>
      </c>
      <c r="E43" s="652">
        <v>391</v>
      </c>
      <c r="F43" s="190" t="s">
        <v>800</v>
      </c>
      <c r="H43" s="623">
        <v>0.1245</v>
      </c>
    </row>
    <row r="44" spans="2:8">
      <c r="B44" s="193">
        <f t="shared" si="0"/>
        <v>37</v>
      </c>
      <c r="E44" s="653">
        <v>392</v>
      </c>
      <c r="F44" s="190" t="s">
        <v>802</v>
      </c>
      <c r="H44" s="623">
        <v>8.6400000000000005E-2</v>
      </c>
    </row>
    <row r="45" spans="2:8">
      <c r="B45" s="193">
        <f t="shared" si="0"/>
        <v>38</v>
      </c>
      <c r="E45" s="652">
        <v>395</v>
      </c>
      <c r="F45" s="190" t="s">
        <v>805</v>
      </c>
      <c r="H45" s="623">
        <v>0.05</v>
      </c>
    </row>
    <row r="46" spans="2:8">
      <c r="B46" s="193">
        <f t="shared" si="0"/>
        <v>39</v>
      </c>
      <c r="E46" s="652">
        <v>397</v>
      </c>
      <c r="F46" s="190" t="s">
        <v>810</v>
      </c>
      <c r="H46" s="623">
        <v>6.6699999999999995E-2</v>
      </c>
    </row>
    <row r="47" spans="2:8">
      <c r="B47" s="193">
        <f t="shared" si="0"/>
        <v>40</v>
      </c>
      <c r="E47" s="652">
        <v>397.1</v>
      </c>
      <c r="F47" s="190" t="s">
        <v>811</v>
      </c>
      <c r="H47" s="623">
        <v>0.04</v>
      </c>
    </row>
    <row r="48" spans="2:8">
      <c r="B48" s="193">
        <f t="shared" si="0"/>
        <v>41</v>
      </c>
      <c r="F48" s="285" t="s">
        <v>806</v>
      </c>
      <c r="H48" s="654">
        <v>0.1206</v>
      </c>
    </row>
    <row r="49" spans="2:8">
      <c r="B49" s="193">
        <f t="shared" si="0"/>
        <v>42</v>
      </c>
      <c r="H49" s="655"/>
    </row>
    <row r="50" spans="2:8">
      <c r="B50" s="193">
        <f t="shared" si="0"/>
        <v>43</v>
      </c>
      <c r="E50" s="206" t="s">
        <v>813</v>
      </c>
      <c r="H50" s="655"/>
    </row>
    <row r="51" spans="2:8">
      <c r="B51" s="193">
        <f t="shared" si="0"/>
        <v>44</v>
      </c>
      <c r="E51" s="652">
        <v>390.01</v>
      </c>
      <c r="F51" s="217" t="s">
        <v>824</v>
      </c>
      <c r="H51" s="655">
        <v>2.2499999999999999E-2</v>
      </c>
    </row>
    <row r="52" spans="2:8">
      <c r="B52" s="193">
        <f t="shared" si="0"/>
        <v>45</v>
      </c>
      <c r="E52" s="652">
        <v>391</v>
      </c>
      <c r="F52" s="190" t="s">
        <v>800</v>
      </c>
      <c r="H52" s="655">
        <v>8.1100000000000005E-2</v>
      </c>
    </row>
    <row r="53" spans="2:8">
      <c r="B53" s="193">
        <f t="shared" si="0"/>
        <v>46</v>
      </c>
      <c r="E53" s="652">
        <v>392</v>
      </c>
      <c r="F53" s="190" t="s">
        <v>823</v>
      </c>
      <c r="H53" s="655">
        <v>9.8299999999999998E-2</v>
      </c>
    </row>
    <row r="54" spans="2:8">
      <c r="B54" s="193">
        <f t="shared" si="0"/>
        <v>47</v>
      </c>
      <c r="E54" s="652">
        <v>394</v>
      </c>
      <c r="F54" s="190" t="s">
        <v>804</v>
      </c>
      <c r="H54" s="655">
        <v>0.04</v>
      </c>
    </row>
    <row r="55" spans="2:8">
      <c r="B55" s="193">
        <f t="shared" si="0"/>
        <v>48</v>
      </c>
      <c r="E55" s="652">
        <v>397</v>
      </c>
      <c r="F55" s="190" t="s">
        <v>815</v>
      </c>
      <c r="H55" s="655">
        <v>6.6699999999999995E-2</v>
      </c>
    </row>
    <row r="56" spans="2:8">
      <c r="B56" s="193">
        <f t="shared" si="0"/>
        <v>49</v>
      </c>
      <c r="E56" s="652">
        <v>398</v>
      </c>
      <c r="F56" s="190" t="s">
        <v>814</v>
      </c>
      <c r="H56" s="655">
        <v>0.05</v>
      </c>
    </row>
    <row r="57" spans="2:8">
      <c r="B57" s="193">
        <f t="shared" si="0"/>
        <v>50</v>
      </c>
      <c r="F57" s="285" t="s">
        <v>806</v>
      </c>
      <c r="H57" s="654">
        <v>7.9399999999999998E-2</v>
      </c>
    </row>
    <row r="58" spans="2:8">
      <c r="B58" s="193"/>
      <c r="H58" s="623"/>
    </row>
    <row r="59" spans="2:8" ht="16.350000000000001" customHeight="1">
      <c r="B59" s="354" t="s">
        <v>155</v>
      </c>
      <c r="D59" s="206"/>
      <c r="H59" s="284"/>
    </row>
    <row r="60" spans="2:8" ht="27.75" customHeight="1">
      <c r="B60" s="394" t="s">
        <v>76</v>
      </c>
      <c r="C60" s="950" t="s">
        <v>918</v>
      </c>
      <c r="D60" s="950"/>
      <c r="E60" s="950"/>
      <c r="F60" s="950"/>
      <c r="G60" s="950"/>
      <c r="H60" s="950"/>
    </row>
    <row r="61" spans="2:8" ht="32.4" customHeight="1">
      <c r="B61" s="394" t="s">
        <v>77</v>
      </c>
      <c r="C61" s="950" t="s">
        <v>1146</v>
      </c>
      <c r="D61" s="950"/>
      <c r="E61" s="950"/>
      <c r="F61" s="950"/>
      <c r="G61" s="950"/>
      <c r="H61" s="950"/>
    </row>
    <row r="62" spans="2:8" ht="16.350000000000001" customHeight="1">
      <c r="B62" s="193"/>
      <c r="D62" s="206"/>
      <c r="H62" s="284"/>
    </row>
    <row r="63" spans="2:8" ht="16.350000000000001" customHeight="1">
      <c r="B63" s="193"/>
      <c r="D63" s="206"/>
      <c r="H63" s="284"/>
    </row>
    <row r="64" spans="2:8" ht="16.350000000000001" customHeight="1">
      <c r="B64" s="193"/>
      <c r="D64" s="206"/>
      <c r="H64" s="284"/>
    </row>
    <row r="65" spans="2:8" ht="16.350000000000001" customHeight="1">
      <c r="B65" s="193"/>
      <c r="D65" s="206"/>
      <c r="H65" s="284"/>
    </row>
    <row r="66" spans="2:8" ht="16.350000000000001" customHeight="1">
      <c r="B66" s="193"/>
      <c r="D66" s="206"/>
      <c r="H66" s="284"/>
    </row>
    <row r="67" spans="2:8" ht="16.350000000000001" customHeight="1">
      <c r="B67" s="193"/>
      <c r="D67" s="206"/>
      <c r="H67" s="284"/>
    </row>
    <row r="68" spans="2:8" ht="16.350000000000001" customHeight="1">
      <c r="B68" s="193"/>
      <c r="D68" s="206"/>
      <c r="H68" s="284"/>
    </row>
    <row r="69" spans="2:8" ht="16.350000000000001" customHeight="1">
      <c r="B69" s="193"/>
      <c r="D69" s="206"/>
      <c r="H69" s="284"/>
    </row>
    <row r="70" spans="2:8" ht="16.350000000000001" customHeight="1">
      <c r="B70" s="193"/>
      <c r="D70" s="206"/>
      <c r="H70" s="284"/>
    </row>
    <row r="71" spans="2:8" ht="16.350000000000001" customHeight="1"/>
    <row r="72" spans="2:8" ht="16.350000000000001" customHeight="1"/>
    <row r="73" spans="2:8" ht="16.350000000000001" customHeight="1"/>
    <row r="74" spans="2:8" ht="16.350000000000001" customHeight="1"/>
  </sheetData>
  <mergeCells count="6">
    <mergeCell ref="C61:H61"/>
    <mergeCell ref="C60:H60"/>
    <mergeCell ref="A5:H5"/>
    <mergeCell ref="A1:H1"/>
    <mergeCell ref="A2:H2"/>
    <mergeCell ref="A3:H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1320BB196B784C9B5CBAA37592C4E1" ma:contentTypeVersion="4" ma:contentTypeDescription="Create a new document." ma:contentTypeScope="" ma:versionID="c894168e844d43e9c33d4a71cce87cb5">
  <xsd:schema xmlns:xsd="http://www.w3.org/2001/XMLSchema" xmlns:xs="http://www.w3.org/2001/XMLSchema" xmlns:p="http://schemas.microsoft.com/office/2006/metadata/properties" xmlns:ns3="c9471a47-d8e6-4bf9-a71a-08db01a4736c" targetNamespace="http://schemas.microsoft.com/office/2006/metadata/properties" ma:root="true" ma:fieldsID="d218226a7bbc8c3ab72e272c133a82f8" ns3:_="">
    <xsd:import namespace="c9471a47-d8e6-4bf9-a71a-08db01a4736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471a47-d8e6-4bf9-a71a-08db01a473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0D6CF8-E809-4BF9-91B7-C9F8DAA3E9D8}">
  <ds:schemaRefs>
    <ds:schemaRef ds:uri="http://schemas.microsoft.com/sharepoint/v3/contenttype/forms"/>
  </ds:schemaRefs>
</ds:datastoreItem>
</file>

<file path=customXml/itemProps2.xml><?xml version="1.0" encoding="utf-8"?>
<ds:datastoreItem xmlns:ds="http://schemas.openxmlformats.org/officeDocument/2006/customXml" ds:itemID="{D6EC30B5-1624-4AF3-9936-D11BAFE34F0B}">
  <ds:schemaRefs>
    <ds:schemaRef ds:uri="http://schemas.microsoft.com/office/2006/documentManagement/types"/>
    <ds:schemaRef ds:uri="http://purl.org/dc/dcmitype/"/>
    <ds:schemaRef ds:uri="http://purl.org/dc/terms/"/>
    <ds:schemaRef ds:uri="http://schemas.microsoft.com/office/2006/metadata/properties"/>
    <ds:schemaRef ds:uri="c9471a47-d8e6-4bf9-a71a-08db01a4736c"/>
    <ds:schemaRef ds:uri="http://schemas.openxmlformats.org/package/2006/metadata/core-properties"/>
    <ds:schemaRef ds:uri="http://www.w3.org/XML/1998/namespac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DFACB093-2DF0-4D52-AEC7-C482860B34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471a47-d8e6-4bf9-a71a-08db01a473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Table of Contents</vt:lpstr>
      <vt:lpstr>Act Att-H</vt:lpstr>
      <vt:lpstr>A1-RevCred</vt:lpstr>
      <vt:lpstr>A2-A&amp;G</vt:lpstr>
      <vt:lpstr>A3-ADIT</vt:lpstr>
      <vt:lpstr>A3.1-EDIT-DDIT</vt:lpstr>
      <vt:lpstr>A3.2-EDIT-DDIT.dtl</vt:lpstr>
      <vt:lpstr>A4-Rate Base</vt:lpstr>
      <vt:lpstr>A5-Depr</vt:lpstr>
      <vt:lpstr>A6-Divisor</vt:lpstr>
      <vt:lpstr>A7-IncentPlant</vt:lpstr>
      <vt:lpstr>A8-Prepmts</vt:lpstr>
      <vt:lpstr>TU-TrueUp</vt:lpstr>
      <vt:lpstr>Proj Att-H</vt:lpstr>
      <vt:lpstr>P1-Trans Plant</vt:lpstr>
      <vt:lpstr>P2-Exp. &amp; Rev. Credits</vt:lpstr>
      <vt:lpstr>P3-Divisor</vt:lpstr>
      <vt:lpstr>P4-IncentPlant</vt:lpstr>
      <vt:lpstr>P5-ADIT</vt:lpstr>
      <vt:lpstr>Schedule 1</vt:lpstr>
      <vt:lpstr>CE</vt:lpstr>
      <vt:lpstr>GP</vt:lpstr>
      <vt:lpstr>NP</vt:lpstr>
      <vt:lpstr>'A1-RevCred'!Print_Area</vt:lpstr>
      <vt:lpstr>'A2-A&amp;G'!Print_Area</vt:lpstr>
      <vt:lpstr>'A3.2-EDIT-DDIT.dtl'!Print_Area</vt:lpstr>
      <vt:lpstr>'A3-ADIT'!Print_Area</vt:lpstr>
      <vt:lpstr>'A7-IncentPlant'!Print_Area</vt:lpstr>
      <vt:lpstr>'A8-Prepmts'!Print_Area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Newberry, David L</dc:creator>
  <cp:lastModifiedBy>Lever, Henry</cp:lastModifiedBy>
  <cp:lastPrinted>2023-07-07T21:17:25Z</cp:lastPrinted>
  <dcterms:created xsi:type="dcterms:W3CDTF">2008-03-20T17:17:47Z</dcterms:created>
  <dcterms:modified xsi:type="dcterms:W3CDTF">2023-12-29T16:53:15Z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0x010100501320BB196B784C9B5CBAA37592C4E1</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