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N:\BHSC\BHC\Rates\BHE COE\FERC\Transmission Formula Rate\COE Trans Form Rates 2024\2024 True-Up\"/>
    </mc:Choice>
  </mc:AlternateContent>
  <xr:revisionPtr revIDLastSave="0" documentId="13_ncr:1_{3DE7060A-310D-4B1F-8069-A7C19C8AC083}" xr6:coauthVersionLast="47" xr6:coauthVersionMax="47" xr10:uidLastSave="{00000000-0000-0000-0000-000000000000}"/>
  <bookViews>
    <workbookView xWindow="-108" yWindow="-108" windowWidth="23256" windowHeight="13896" tabRatio="890" activeTab="1"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3.2-EDIT-DDIT.dtl" sheetId="42" r:id="rId7"/>
    <sheet name="A4-Rate Base" sheetId="23" r:id="rId8"/>
    <sheet name="A5-Depr" sheetId="3" r:id="rId9"/>
    <sheet name="A6-Divisor" sheetId="20" r:id="rId10"/>
    <sheet name="A7-IncentPlant" sheetId="29" r:id="rId11"/>
    <sheet name="A8-Prepmts" sheetId="39" r:id="rId12"/>
    <sheet name="TU-TrueUp" sheetId="21" r:id="rId13"/>
    <sheet name="Proj Att-H" sheetId="25" r:id="rId14"/>
    <sheet name="P1-Trans Plant" sheetId="26" r:id="rId15"/>
    <sheet name="P2-Exp. &amp; Rev. Credits" sheetId="27" r:id="rId16"/>
    <sheet name="P3-Divisor" sheetId="28" r:id="rId17"/>
    <sheet name="P4-IncentPlant" sheetId="30" r:id="rId18"/>
    <sheet name="P5-ADIT" sheetId="37" r:id="rId19"/>
    <sheet name="Schedule 1" sheetId="31" r:id="rId20"/>
  </sheets>
  <externalReferences>
    <externalReference r:id="rId21"/>
    <externalReference r:id="rId22"/>
  </externalReferences>
  <definedNames>
    <definedName name="__123Graph_A" localSheetId="11" hidden="1">[1]Sheet3!#REF!</definedName>
    <definedName name="__123Graph_A" localSheetId="18" hidden="1">[1]Sheet3!#REF!</definedName>
    <definedName name="__123Graph_A" hidden="1">[1]Sheet3!#REF!</definedName>
    <definedName name="__123Graph_A1991" localSheetId="11" hidden="1">[1]Sheet3!#REF!</definedName>
    <definedName name="__123Graph_A1991" localSheetId="18" hidden="1">[1]Sheet3!#REF!</definedName>
    <definedName name="__123Graph_A1991" hidden="1">[1]Sheet3!#REF!</definedName>
    <definedName name="__123Graph_A1992" localSheetId="11" hidden="1">[1]Sheet3!#REF!</definedName>
    <definedName name="__123Graph_A1992" localSheetId="18" hidden="1">[1]Sheet3!#REF!</definedName>
    <definedName name="__123Graph_A1992" hidden="1">[1]Sheet3!#REF!</definedName>
    <definedName name="__123Graph_A1993" localSheetId="11" hidden="1">[1]Sheet3!#REF!</definedName>
    <definedName name="__123Graph_A1993" localSheetId="18" hidden="1">[1]Sheet3!#REF!</definedName>
    <definedName name="__123Graph_A1993" hidden="1">[1]Sheet3!#REF!</definedName>
    <definedName name="__123Graph_A1994" localSheetId="11" hidden="1">[1]Sheet3!#REF!</definedName>
    <definedName name="__123Graph_A1994" localSheetId="18" hidden="1">[1]Sheet3!#REF!</definedName>
    <definedName name="__123Graph_A1994" hidden="1">[1]Sheet3!#REF!</definedName>
    <definedName name="__123Graph_A1995" localSheetId="11" hidden="1">[1]Sheet3!#REF!</definedName>
    <definedName name="__123Graph_A1995" localSheetId="18" hidden="1">[1]Sheet3!#REF!</definedName>
    <definedName name="__123Graph_A1995" hidden="1">[1]Sheet3!#REF!</definedName>
    <definedName name="__123Graph_A1996" localSheetId="11" hidden="1">[1]Sheet3!#REF!</definedName>
    <definedName name="__123Graph_A1996" localSheetId="18" hidden="1">[1]Sheet3!#REF!</definedName>
    <definedName name="__123Graph_A1996" hidden="1">[1]Sheet3!#REF!</definedName>
    <definedName name="__123Graph_ABAR" localSheetId="11" hidden="1">[1]Sheet3!#REF!</definedName>
    <definedName name="__123Graph_ABAR" localSheetId="18" hidden="1">[1]Sheet3!#REF!</definedName>
    <definedName name="__123Graph_ABAR" hidden="1">[1]Sheet3!#REF!</definedName>
    <definedName name="__123Graph_B" localSheetId="11" hidden="1">[1]Sheet3!#REF!</definedName>
    <definedName name="__123Graph_B" localSheetId="18" hidden="1">[1]Sheet3!#REF!</definedName>
    <definedName name="__123Graph_B" hidden="1">[1]Sheet3!#REF!</definedName>
    <definedName name="__123Graph_B1991" localSheetId="11" hidden="1">[1]Sheet3!#REF!</definedName>
    <definedName name="__123Graph_B1991" localSheetId="18" hidden="1">[1]Sheet3!#REF!</definedName>
    <definedName name="__123Graph_B1991" hidden="1">[1]Sheet3!#REF!</definedName>
    <definedName name="__123Graph_B1992" localSheetId="11" hidden="1">[1]Sheet3!#REF!</definedName>
    <definedName name="__123Graph_B1992" localSheetId="18" hidden="1">[1]Sheet3!#REF!</definedName>
    <definedName name="__123Graph_B1992" hidden="1">[1]Sheet3!#REF!</definedName>
    <definedName name="__123Graph_B1993" localSheetId="11" hidden="1">[1]Sheet3!#REF!</definedName>
    <definedName name="__123Graph_B1993" localSheetId="18" hidden="1">[1]Sheet3!#REF!</definedName>
    <definedName name="__123Graph_B1993" hidden="1">[1]Sheet3!#REF!</definedName>
    <definedName name="__123Graph_B1994" localSheetId="11" hidden="1">[1]Sheet3!#REF!</definedName>
    <definedName name="__123Graph_B1994" localSheetId="18" hidden="1">[1]Sheet3!#REF!</definedName>
    <definedName name="__123Graph_B1994" hidden="1">[1]Sheet3!#REF!</definedName>
    <definedName name="__123Graph_B1995" localSheetId="11" hidden="1">[1]Sheet3!#REF!</definedName>
    <definedName name="__123Graph_B1995" localSheetId="18" hidden="1">[1]Sheet3!#REF!</definedName>
    <definedName name="__123Graph_B1995" hidden="1">[1]Sheet3!#REF!</definedName>
    <definedName name="__123Graph_B1996" localSheetId="11" hidden="1">[1]Sheet3!#REF!</definedName>
    <definedName name="__123Graph_B1996" localSheetId="18" hidden="1">[1]Sheet3!#REF!</definedName>
    <definedName name="__123Graph_B1996" hidden="1">[1]Sheet3!#REF!</definedName>
    <definedName name="__123Graph_BBAR" localSheetId="11" hidden="1">[1]Sheet3!#REF!</definedName>
    <definedName name="__123Graph_BBAR" localSheetId="18" hidden="1">[1]Sheet3!#REF!</definedName>
    <definedName name="__123Graph_BBAR" hidden="1">[1]Sheet3!#REF!</definedName>
    <definedName name="__123Graph_CBAR" localSheetId="11" hidden="1">[1]Sheet3!#REF!</definedName>
    <definedName name="__123Graph_CBAR" localSheetId="18" hidden="1">[1]Sheet3!#REF!</definedName>
    <definedName name="__123Graph_CBAR" hidden="1">[1]Sheet3!#REF!</definedName>
    <definedName name="__123Graph_DBAR" localSheetId="11" hidden="1">[1]Sheet3!#REF!</definedName>
    <definedName name="__123Graph_DBAR" localSheetId="18" hidden="1">[1]Sheet3!#REF!</definedName>
    <definedName name="__123Graph_DBAR" hidden="1">[1]Sheet3!#REF!</definedName>
    <definedName name="__123Graph_EBAR" localSheetId="11" hidden="1">[1]Sheet3!#REF!</definedName>
    <definedName name="__123Graph_EBAR" localSheetId="18" hidden="1">[1]Sheet3!#REF!</definedName>
    <definedName name="__123Graph_EBAR" hidden="1">[1]Sheet3!#REF!</definedName>
    <definedName name="__123Graph_FBAR" localSheetId="11" hidden="1">[1]Sheet3!#REF!</definedName>
    <definedName name="__123Graph_FBAR" localSheetId="18" hidden="1">[1]Sheet3!#REF!</definedName>
    <definedName name="__123Graph_FBAR" hidden="1">[1]Sheet3!#REF!</definedName>
    <definedName name="__123Graph_X" localSheetId="11" hidden="1">[1]Sheet3!#REF!</definedName>
    <definedName name="__123Graph_X" localSheetId="18" hidden="1">[1]Sheet3!#REF!</definedName>
    <definedName name="__123Graph_X" hidden="1">[1]Sheet3!#REF!</definedName>
    <definedName name="__123Graph_X1991" localSheetId="11" hidden="1">[1]Sheet3!#REF!</definedName>
    <definedName name="__123Graph_X1991" localSheetId="18" hidden="1">[1]Sheet3!#REF!</definedName>
    <definedName name="__123Graph_X1991" hidden="1">[1]Sheet3!#REF!</definedName>
    <definedName name="__123Graph_X1992" localSheetId="11" hidden="1">[1]Sheet3!#REF!</definedName>
    <definedName name="__123Graph_X1992" localSheetId="18" hidden="1">[1]Sheet3!#REF!</definedName>
    <definedName name="__123Graph_X1992" hidden="1">[1]Sheet3!#REF!</definedName>
    <definedName name="__123Graph_X1993" localSheetId="11" hidden="1">[1]Sheet3!#REF!</definedName>
    <definedName name="__123Graph_X1993" localSheetId="18" hidden="1">[1]Sheet3!#REF!</definedName>
    <definedName name="__123Graph_X1993" hidden="1">[1]Sheet3!#REF!</definedName>
    <definedName name="__123Graph_X1994" localSheetId="11" hidden="1">[1]Sheet3!#REF!</definedName>
    <definedName name="__123Graph_X1994" localSheetId="18" hidden="1">[1]Sheet3!#REF!</definedName>
    <definedName name="__123Graph_X1994" hidden="1">[1]Sheet3!#REF!</definedName>
    <definedName name="__123Graph_X1995" localSheetId="11" hidden="1">[1]Sheet3!#REF!</definedName>
    <definedName name="__123Graph_X1995" localSheetId="18" hidden="1">[1]Sheet3!#REF!</definedName>
    <definedName name="__123Graph_X1995" hidden="1">[1]Sheet3!#REF!</definedName>
    <definedName name="__123Graph_X1996" localSheetId="11" hidden="1">[1]Sheet3!#REF!</definedName>
    <definedName name="__123Graph_X1996" localSheetId="18" hidden="1">[1]Sheet3!#REF!</definedName>
    <definedName name="__123Graph_X1996" hidden="1">[1]Sheet3!#REF!</definedName>
    <definedName name="__tet12" localSheetId="18" hidden="1">{"assumptions",#N/A,FALSE,"Scenario 1";"valuation",#N/A,FALSE,"Scenario 1"}</definedName>
    <definedName name="__tet12" hidden="1">{"assumptions",#N/A,FALSE,"Scenario 1";"valuation",#N/A,FALSE,"Scenario 1"}</definedName>
    <definedName name="__tet5" localSheetId="18" hidden="1">{"assumptions",#N/A,FALSE,"Scenario 1";"valuation",#N/A,FALSE,"Scenario 1"}</definedName>
    <definedName name="__tet5" hidden="1">{"assumptions",#N/A,FALSE,"Scenario 1";"valuation",#N/A,FALSE,"Scenario 1"}</definedName>
    <definedName name="_FEB01" localSheetId="18" hidden="1">{#N/A,#N/A,FALSE,"EMPPAY"}</definedName>
    <definedName name="_FEB01" hidden="1">{#N/A,#N/A,FALSE,"EMPPAY"}</definedName>
    <definedName name="_Fill" localSheetId="11" hidden="1">'[2]Exp Detail'!#REF!</definedName>
    <definedName name="_Fill" hidden="1">'[2]Exp Detail'!#REF!</definedName>
    <definedName name="_JAN01" localSheetId="18" hidden="1">{#N/A,#N/A,FALSE,"EMPPAY"}</definedName>
    <definedName name="_JAN01" hidden="1">{#N/A,#N/A,FALSE,"EMPPAY"}</definedName>
    <definedName name="_JAN2001" localSheetId="18" hidden="1">{#N/A,#N/A,FALSE,"EMPPAY"}</definedName>
    <definedName name="_JAN2001" hidden="1">{#N/A,#N/A,FALSE,"EMPPAY"}</definedName>
    <definedName name="_Key1" localSheetId="11" hidden="1">'[2]Exp Detail'!#REF!</definedName>
    <definedName name="_Key1" hidden="1">'[2]Exp Detail'!#REF!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8" hidden="1">#REF!</definedName>
    <definedName name="_Sort" localSheetId="13"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7" hidden="1">#REF!</definedName>
    <definedName name="_sort2" localSheetId="18" hidden="1">#REF!</definedName>
    <definedName name="_sort2" localSheetId="13" hidden="1">#REF!</definedName>
    <definedName name="_sort2" hidden="1">#REF!</definedName>
    <definedName name="_tet12" localSheetId="18" hidden="1">{"assumptions",#N/A,FALSE,"Scenario 1";"valuation",#N/A,FALSE,"Scenario 1"}</definedName>
    <definedName name="_tet12" hidden="1">{"assumptions",#N/A,FALSE,"Scenario 1";"valuation",#N/A,FALSE,"Scenario 1"}</definedName>
    <definedName name="_tet5" localSheetId="18" hidden="1">{"assumptions",#N/A,FALSE,"Scenario 1";"valuation",#N/A,FALSE,"Scenario 1"}</definedName>
    <definedName name="_tet5" hidden="1">{"assumptions",#N/A,FALSE,"Scenario 1";"valuation",#N/A,FALSE,"Scenario 1"}</definedName>
    <definedName name="a" localSheetId="18"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8" hidden="1">{#N/A,#N/A,FALSE,"ARREC"}</definedName>
    <definedName name="DEC00" hidden="1">{#N/A,#N/A,FALSE,"ARREC"}</definedName>
    <definedName name="DocumentName" hidden="1">"b1"</definedName>
    <definedName name="DocumentNum" hidden="1">"a1"</definedName>
    <definedName name="FEB00" localSheetId="18" hidden="1">{#N/A,#N/A,FALSE,"ARREC"}</definedName>
    <definedName name="FEB00" hidden="1">{#N/A,#N/A,FALSE,"ARREC"}</definedName>
    <definedName name="GP">'Act Att-H'!$G$50</definedName>
    <definedName name="Library" hidden="1">"a1"</definedName>
    <definedName name="MAY" localSheetId="18" hidden="1">{#N/A,#N/A,FALSE,"EMPPAY"}</definedName>
    <definedName name="MAY" hidden="1">{#N/A,#N/A,FALSE,"EMPPAY"}</definedName>
    <definedName name="NA">0</definedName>
    <definedName name="NP">'Act Att-H'!$G$66</definedName>
    <definedName name="_xlnm.Print_Area" localSheetId="2">'A1-RevCred'!$A$1:$K$64</definedName>
    <definedName name="_xlnm.Print_Area" localSheetId="3">'A2-A&amp;G'!$A$1:$D$38</definedName>
    <definedName name="_xlnm.Print_Area" localSheetId="6">'A3.2-EDIT-DDIT.dtl'!$A$1:$I$58</definedName>
    <definedName name="_xlnm.Print_Area" localSheetId="4">'A3-ADIT'!$A$1:$F$57</definedName>
    <definedName name="_xlnm.Print_Area" localSheetId="10">'A7-IncentPlant'!$A$1:$O$48</definedName>
    <definedName name="_xlnm.Print_Area" localSheetId="11">'A8-Prepmts'!$A$1:$H$23</definedName>
    <definedName name="_xlnm.Print_Area" localSheetId="1">'Act Att-H'!$A$1:$K$254</definedName>
    <definedName name="_xlnm.Print_Area" localSheetId="14">'P1-Trans Plant'!$A$1:$AA$49</definedName>
    <definedName name="_xlnm.Print_Area" localSheetId="18">'P5-ADIT'!$A$1:$J$175</definedName>
    <definedName name="_xlnm.Print_Area" localSheetId="13">'Proj Att-H'!$A$1:$K$245</definedName>
    <definedName name="_xlnm.Print_Area" localSheetId="12">'TU-TrueUp'!$A$1:$I$46</definedName>
    <definedName name="_xlnm.Print_Titles" localSheetId="14">'P1-Trans Plant'!$A:$F</definedName>
    <definedName name="TE">'Act Att-H'!$I$184</definedName>
    <definedName name="test" localSheetId="18" hidden="1">{"LBO Summary",#N/A,FALSE,"Summary"}</definedName>
    <definedName name="test" hidden="1">{"LBO Summary",#N/A,FALSE,"Summary"}</definedName>
    <definedName name="test1" localSheetId="18"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8"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8" hidden="1">{"LBO Summary",#N/A,FALSE,"Summary"}</definedName>
    <definedName name="test11" hidden="1">{"LBO Summary",#N/A,FALSE,"Summary"}</definedName>
    <definedName name="test12" localSheetId="18" hidden="1">{"assumptions",#N/A,FALSE,"Scenario 1";"valuation",#N/A,FALSE,"Scenario 1"}</definedName>
    <definedName name="test12" hidden="1">{"assumptions",#N/A,FALSE,"Scenario 1";"valuation",#N/A,FALSE,"Scenario 1"}</definedName>
    <definedName name="test13" localSheetId="18" hidden="1">{"LBO Summary",#N/A,FALSE,"Summary"}</definedName>
    <definedName name="test13" hidden="1">{"LBO Summary",#N/A,FALSE,"Summary"}</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8" hidden="1">{"LBO Summary",#N/A,FALSE,"Summary"}</definedName>
    <definedName name="test2" hidden="1">{"LBO Summary",#N/A,FALSE,"Summary"}</definedName>
    <definedName name="test4" localSheetId="18" hidden="1">{"assumptions",#N/A,FALSE,"Scenario 1";"valuation",#N/A,FALSE,"Scenario 1"}</definedName>
    <definedName name="test4" hidden="1">{"assumptions",#N/A,FALSE,"Scenario 1";"valuation",#N/A,FALSE,"Scenario 1"}</definedName>
    <definedName name="test6" localSheetId="18" hidden="1">{"LBO Summary",#N/A,FALSE,"Summary"}</definedName>
    <definedName name="test6" hidden="1">{"LBO Summary",#N/A,FALSE,"Summary"}</definedName>
    <definedName name="TextRefCopyRangeCount" hidden="1">1</definedName>
    <definedName name="Time" hidden="1">"b1"</definedName>
    <definedName name="TP">'Act Att-H'!$I$175</definedName>
    <definedName name="Typist" hidden="1">"b1"</definedName>
    <definedName name="Value" localSheetId="18" hidden="1">{"assumptions",#N/A,FALSE,"Scenario 1";"valuation",#N/A,FALSE,"Scenario 1"}</definedName>
    <definedName name="Value" hidden="1">{"assumptions",#N/A,FALSE,"Scenario 1";"valuation",#N/A,FALSE,"Scenario 1"}</definedName>
    <definedName name="Version" hidden="1">"a1"</definedName>
    <definedName name="WCLTD">'Act Att-H'!$I$203</definedName>
    <definedName name="wrn.ARREC." localSheetId="18" hidden="1">{#N/A,#N/A,FALSE,"ARREC"}</definedName>
    <definedName name="wrn.ARREC." hidden="1">{#N/A,#N/A,FALSE,"ARREC"}</definedName>
    <definedName name="wrn.CP._.Demand." localSheetId="18" hidden="1">{"Retail CP pg1",#N/A,FALSE,"FACTOR3";"Retail CP pg2",#N/A,FALSE,"FACTOR3";"Retail CP pg3",#N/A,FALSE,"FACTOR3"}</definedName>
    <definedName name="wrn.CP._.Demand." hidden="1">{"Retail CP pg1",#N/A,FALSE,"FACTOR3";"Retail CP pg2",#N/A,FALSE,"FACTOR3";"Retail CP pg3",#N/A,FALSE,"FACTOR3"}</definedName>
    <definedName name="wrn.CP._.Demand2." localSheetId="18" hidden="1">{"Retail CP pg1",#N/A,FALSE,"FACTOR3";"Retail CP pg2",#N/A,FALSE,"FACTOR3";"Retail CP pg3",#N/A,FALSE,"FACTOR3"}</definedName>
    <definedName name="wrn.CP._.Demand2." hidden="1">{"Retail CP pg1",#N/A,FALSE,"FACTOR3";"Retail CP pg2",#N/A,FALSE,"FACTOR3";"Retail CP pg3",#N/A,FALSE,"FACTOR3"}</definedName>
    <definedName name="wrn.EMPPAY." localSheetId="18" hidden="1">{#N/A,#N/A,FALSE,"EMPPAY"}</definedName>
    <definedName name="wrn.EMPPAY." hidden="1">{#N/A,#N/A,FALSE,"EMPPAY"}</definedName>
    <definedName name="wrn.IPO._.Valuation." localSheetId="18" hidden="1">{"assumptions",#N/A,FALSE,"Scenario 1";"valuation",#N/A,FALSE,"Scenario 1"}</definedName>
    <definedName name="wrn.IPO._.Valuation." hidden="1">{"assumptions",#N/A,FALSE,"Scenario 1";"valuation",#N/A,FALSE,"Scenario 1"}</definedName>
    <definedName name="wrn.LBO._.Summary." localSheetId="18" hidden="1">{"LBO Summary",#N/A,FALSE,"Summary"}</definedName>
    <definedName name="wrn.LBO._.Summary." hidden="1">{"LBO Summary",#N/A,FALSE,"Summary"}</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Att-H'!$I$192</definedName>
    <definedName name="xx" localSheetId="18" hidden="1">{#N/A,#N/A,FALSE,"EMPPAY"}</definedName>
    <definedName name="xx" hidden="1">{#N/A,#N/A,FALSE,"EMPPAY"}</definedName>
    <definedName name="Z_5C332329_7D4E_4C16_8567_CAD656F9D2F1_.wvu.PrintArea" localSheetId="12" hidden="1">'TU-TrueUp'!$A$2:$M$45</definedName>
    <definedName name="Z_5C332329_7D4E_4C16_8567_CAD656F9D2F1_.wvu.PrintTitles" localSheetId="12" hidden="1">'TU-TrueUp'!$2:$4</definedName>
    <definedName name="Z_F04A2B9A_C6FE_4FEB_AD1E_2CF9AC309BE4_.wvu.PrintArea" localSheetId="7" hidden="1">'A4-Rate Base'!$A$1:$L$137</definedName>
    <definedName name="Z_F04A2B9A_C6FE_4FEB_AD1E_2CF9AC309BE4_.wvu.PrintArea" localSheetId="10" hidden="1">'A7-IncentPlant'!$A$1:$L$129</definedName>
    <definedName name="Z_F04A2B9A_C6FE_4FEB_AD1E_2CF9AC309BE4_.wvu.PrintArea" localSheetId="17" hidden="1">'P4-IncentPlant'!$A$1:$L$135</definedName>
    <definedName name="Z_FAA8FFD9_C96B_4A1B_8B9E_B863FD90DDBA_.wvu.PrintArea" localSheetId="14" hidden="1">'P1-Trans Plant'!$A$1:$AN$46</definedName>
    <definedName name="Z_FAA8FFD9_C96B_4A1B_8B9E_B863FD90DDBA_.wvu.PrintArea" localSheetId="16" hidden="1">'P3-Divisor'!$A$1:$O$30</definedName>
    <definedName name="Z_FAA8FFD9_C96B_4A1B_8B9E_B863FD90DDBA_.wvu.PrintTitles" localSheetId="14"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0" l="1"/>
  <c r="D72" i="9"/>
  <c r="L28" i="41" l="1"/>
  <c r="M28" i="41"/>
  <c r="N28" i="41"/>
  <c r="O28" i="41"/>
  <c r="M27" i="41" l="1"/>
  <c r="N27" i="41"/>
  <c r="O27" i="41"/>
  <c r="L27" i="41"/>
  <c r="A27" i="41"/>
  <c r="A28" i="41" s="1"/>
  <c r="A29" i="41" s="1"/>
  <c r="F45" i="15"/>
  <c r="A45" i="15"/>
  <c r="A46" i="15" s="1"/>
  <c r="D9" i="31"/>
  <c r="E19" i="20" l="1"/>
  <c r="E18" i="20"/>
  <c r="E17" i="20"/>
  <c r="E16" i="20"/>
  <c r="E15" i="20"/>
  <c r="E14" i="20"/>
  <c r="E13" i="20"/>
  <c r="E12" i="20"/>
  <c r="E11" i="20"/>
  <c r="E10" i="20"/>
  <c r="E8" i="20"/>
  <c r="D191" i="9" l="1"/>
  <c r="D128" i="9"/>
  <c r="D121" i="9"/>
  <c r="D107" i="9"/>
  <c r="A21" i="31" l="1"/>
  <c r="A22" i="31" s="1"/>
  <c r="A23" i="31" s="1"/>
  <c r="A24" i="31" s="1"/>
  <c r="A25" i="31" s="1"/>
  <c r="A26" i="31" s="1"/>
  <c r="A27" i="31" s="1"/>
  <c r="A28" i="31" s="1"/>
  <c r="A29" i="31" s="1"/>
  <c r="A30" i="31" s="1"/>
  <c r="A31" i="31" s="1"/>
  <c r="A32" i="31" s="1"/>
  <c r="G197" i="25" l="1"/>
  <c r="F47" i="15"/>
  <c r="F46" i="15" l="1"/>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A19" i="15"/>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7" i="15" s="1"/>
  <c r="F48" i="15" l="1"/>
  <c r="D80" i="9" s="1"/>
  <c r="D73" i="25"/>
  <c r="D71" i="25"/>
  <c r="D104" i="23"/>
  <c r="A94" i="23"/>
  <c r="I66" i="23"/>
  <c r="D77" i="9" s="1"/>
  <c r="I77" i="9" s="1"/>
  <c r="E14" i="4"/>
  <c r="G12" i="4"/>
  <c r="G13" i="4"/>
  <c r="D72" i="25" l="1"/>
  <c r="I72" i="25" s="1"/>
  <c r="F25" i="42"/>
  <c r="G25" i="42" s="1"/>
  <c r="H25" i="42" s="1"/>
  <c r="F26" i="42"/>
  <c r="G26" i="42" s="1"/>
  <c r="H26" i="42" s="1"/>
  <c r="F27" i="42"/>
  <c r="G27" i="42" s="1"/>
  <c r="H27" i="42" s="1"/>
  <c r="I26" i="42" l="1"/>
  <c r="I27" i="42"/>
  <c r="I25" i="42"/>
  <c r="F22" i="27" l="1"/>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3" i="25"/>
  <c r="D47" i="25"/>
  <c r="D12" i="37"/>
  <c r="D13" i="37" s="1"/>
  <c r="D14" i="37" s="1"/>
  <c r="D15" i="37" s="1"/>
  <c r="D16" i="37" s="1"/>
  <c r="D17" i="37" s="1"/>
  <c r="D18" i="37" s="1"/>
  <c r="D19" i="37" s="1"/>
  <c r="D20" i="37" s="1"/>
  <c r="D21" i="37" s="1"/>
  <c r="D22" i="37" s="1"/>
  <c r="D59"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7" i="4" l="1"/>
  <c r="J28" i="4"/>
  <c r="J29" i="4"/>
  <c r="J30" i="4"/>
  <c r="J31" i="4"/>
  <c r="J32" i="4"/>
  <c r="J33" i="4"/>
  <c r="J26" i="4"/>
  <c r="D122" i="9" l="1"/>
  <c r="G8" i="39" l="1"/>
  <c r="F11" i="4" l="1"/>
  <c r="F14" i="4" s="1"/>
  <c r="E88" i="23" l="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H23" i="42" s="1"/>
  <c r="F24" i="42"/>
  <c r="G24" i="42" s="1"/>
  <c r="H24" i="42" s="1"/>
  <c r="A28" i="42"/>
  <c r="A29" i="42" s="1"/>
  <c r="A30" i="42" s="1"/>
  <c r="F28" i="42"/>
  <c r="G28" i="42" s="1"/>
  <c r="F29" i="42"/>
  <c r="G29" i="42" s="1"/>
  <c r="H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H19" i="41"/>
  <c r="I19" i="41"/>
  <c r="A24" i="41"/>
  <c r="A25" i="41" s="1"/>
  <c r="A26" i="41" s="1"/>
  <c r="O24" i="41"/>
  <c r="L24" i="41"/>
  <c r="M24" i="41"/>
  <c r="N24" i="41"/>
  <c r="L25" i="41"/>
  <c r="M25" i="41"/>
  <c r="N25" i="41"/>
  <c r="O25" i="41"/>
  <c r="L26" i="41"/>
  <c r="M26" i="41"/>
  <c r="N26" i="41"/>
  <c r="O26" i="41"/>
  <c r="I30" i="41"/>
  <c r="L29" i="41"/>
  <c r="M29" i="41"/>
  <c r="N29" i="41"/>
  <c r="O29" i="41"/>
  <c r="F30" i="41"/>
  <c r="G30" i="41"/>
  <c r="H30" i="41"/>
  <c r="G35" i="41"/>
  <c r="N32" i="41"/>
  <c r="L32" i="41"/>
  <c r="A33" i="41"/>
  <c r="A34" i="41" s="1"/>
  <c r="O33" i="41"/>
  <c r="L33" i="41"/>
  <c r="M33" i="41"/>
  <c r="L34" i="41"/>
  <c r="M34" i="41"/>
  <c r="N34" i="41"/>
  <c r="O34" i="41"/>
  <c r="F35" i="41"/>
  <c r="A36" i="41"/>
  <c r="A37" i="41" s="1"/>
  <c r="A40" i="41"/>
  <c r="A41" i="41" s="1"/>
  <c r="A42" i="41" s="1"/>
  <c r="A43" i="41" s="1"/>
  <c r="A44" i="41" s="1"/>
  <c r="A45" i="41" s="1"/>
  <c r="F111" i="9"/>
  <c r="G21" i="41" l="1"/>
  <c r="H28" i="42"/>
  <c r="I28" i="42" s="1"/>
  <c r="F37" i="41"/>
  <c r="G41" i="41"/>
  <c r="H161" i="37" s="1"/>
  <c r="H21" i="37" s="1"/>
  <c r="I21" i="41"/>
  <c r="H21" i="41"/>
  <c r="F41" i="41"/>
  <c r="F21" i="41"/>
  <c r="H162" i="37"/>
  <c r="H22" i="37" s="1"/>
  <c r="H153" i="37"/>
  <c r="H13" i="37" s="1"/>
  <c r="H160" i="37"/>
  <c r="H20" i="37" s="1"/>
  <c r="H152" i="37"/>
  <c r="H12" i="37" s="1"/>
  <c r="H157" i="37"/>
  <c r="H17" i="37" s="1"/>
  <c r="H41" i="41"/>
  <c r="J167" i="37"/>
  <c r="O19" i="41"/>
  <c r="O15" i="41"/>
  <c r="O21" i="41" s="1"/>
  <c r="N19" i="41"/>
  <c r="N15" i="41"/>
  <c r="M19" i="41"/>
  <c r="M21" i="41" s="1"/>
  <c r="L19" i="41"/>
  <c r="E33" i="42"/>
  <c r="E54" i="42" s="1"/>
  <c r="N30" i="41"/>
  <c r="H35" i="41"/>
  <c r="H42" i="41" s="1"/>
  <c r="L30" i="41"/>
  <c r="N33" i="41"/>
  <c r="N35" i="41" s="1"/>
  <c r="M32" i="41"/>
  <c r="M35" i="41" s="1"/>
  <c r="L35" i="41"/>
  <c r="M30"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H45" i="42"/>
  <c r="I45" i="42" s="1"/>
  <c r="H50" i="42"/>
  <c r="I50" i="42" s="1"/>
  <c r="H37" i="42"/>
  <c r="I37" i="42" s="1"/>
  <c r="I41" i="41"/>
  <c r="J166" i="37" s="1"/>
  <c r="H41" i="42"/>
  <c r="I41" i="42" s="1"/>
  <c r="G37" i="41"/>
  <c r="G42" i="41"/>
  <c r="G43" i="41" s="1"/>
  <c r="H47" i="42"/>
  <c r="I47" i="42" s="1"/>
  <c r="H43" i="42"/>
  <c r="I43" i="42" s="1"/>
  <c r="H39" i="42"/>
  <c r="I39" i="42" s="1"/>
  <c r="I29" i="42"/>
  <c r="O30" i="41"/>
  <c r="G52" i="42"/>
  <c r="G31" i="42"/>
  <c r="F42" i="41"/>
  <c r="I22" i="42"/>
  <c r="N21" i="41" l="1"/>
  <c r="H158" i="37"/>
  <c r="H18" i="37" s="1"/>
  <c r="H163" i="37"/>
  <c r="H23" i="37" s="1"/>
  <c r="H159" i="37"/>
  <c r="H19" i="37" s="1"/>
  <c r="H156" i="37"/>
  <c r="H16" i="37" s="1"/>
  <c r="F43" i="41"/>
  <c r="H155" i="37"/>
  <c r="H15" i="37" s="1"/>
  <c r="H154" i="37"/>
  <c r="H14" i="37" s="1"/>
  <c r="M37" i="41"/>
  <c r="N41" i="41"/>
  <c r="L42" i="41"/>
  <c r="M42" i="41"/>
  <c r="H43" i="41"/>
  <c r="H37" i="41"/>
  <c r="J168" i="37"/>
  <c r="J27" i="37"/>
  <c r="L21" i="41"/>
  <c r="N42" i="41"/>
  <c r="I15" i="42"/>
  <c r="I19" i="42" s="1"/>
  <c r="F33" i="42"/>
  <c r="F54" i="42" s="1"/>
  <c r="G19" i="42"/>
  <c r="G33" i="42" s="1"/>
  <c r="G54" i="42" s="1"/>
  <c r="L37" i="41"/>
  <c r="N37" i="41"/>
  <c r="M41" i="41"/>
  <c r="L41" i="41"/>
  <c r="H19" i="42"/>
  <c r="H52" i="42"/>
  <c r="H31" i="42"/>
  <c r="I52" i="42"/>
  <c r="O32" i="41"/>
  <c r="O35" i="41" s="1"/>
  <c r="O42" i="41" s="1"/>
  <c r="I35" i="41"/>
  <c r="I23" i="42"/>
  <c r="I31" i="42" s="1"/>
  <c r="I44" i="41"/>
  <c r="D81" i="9" s="1"/>
  <c r="O41" i="41"/>
  <c r="N43" i="41" l="1"/>
  <c r="M43" i="41"/>
  <c r="D144" i="9" s="1"/>
  <c r="L43" i="41"/>
  <c r="I33" i="42"/>
  <c r="I54" i="42" s="1"/>
  <c r="O37" i="41"/>
  <c r="H33" i="42"/>
  <c r="H54" i="42" s="1"/>
  <c r="I42" i="41"/>
  <c r="I43" i="41" s="1"/>
  <c r="I37" i="41"/>
  <c r="O44" i="41"/>
  <c r="I81" i="9" s="1"/>
  <c r="O43" i="41"/>
  <c r="E16" i="39"/>
  <c r="O45" i="41" l="1"/>
  <c r="J174" i="37" s="1"/>
  <c r="J34" i="37" l="1"/>
  <c r="D14" i="16"/>
  <c r="D23" i="16"/>
  <c r="J19" i="29" l="1"/>
  <c r="N19" i="29" l="1"/>
  <c r="I89" i="23" l="1"/>
  <c r="E17" i="39" s="1"/>
  <c r="E18" i="39" s="1"/>
  <c r="D191" i="25"/>
  <c r="D190" i="25"/>
  <c r="A3" i="39" l="1"/>
  <c r="A44" i="37" l="1"/>
  <c r="J135" i="37" l="1"/>
  <c r="J26" i="37"/>
  <c r="J98" i="37"/>
  <c r="J28" i="37" l="1"/>
  <c r="D139" i="25"/>
  <c r="J29" i="37"/>
  <c r="J31" i="37" s="1"/>
  <c r="D68" i="25" l="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5" i="25" s="1"/>
  <c r="J140" i="37"/>
  <c r="D67"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4" i="23" l="1"/>
  <c r="F115" i="23"/>
  <c r="F116" i="23"/>
  <c r="F117" i="23"/>
  <c r="F118" i="23"/>
  <c r="F119" i="23"/>
  <c r="F120" i="23"/>
  <c r="F121" i="23"/>
  <c r="F122" i="23"/>
  <c r="F123" i="23"/>
  <c r="F124" i="23"/>
  <c r="F125" i="23"/>
  <c r="F113" i="23"/>
  <c r="F126" i="23" l="1"/>
  <c r="D126" i="23"/>
  <c r="E126" i="23"/>
  <c r="E106" i="23"/>
  <c r="E105" i="23"/>
  <c r="C126" i="23"/>
  <c r="G10" i="4"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3" i="4" l="1"/>
  <c r="F52" i="4"/>
  <c r="F51" i="4"/>
  <c r="F50" i="4"/>
  <c r="D14" i="9" s="1"/>
  <c r="F54" i="4" l="1"/>
  <c r="A9" i="31"/>
  <c r="A10" i="31" s="1"/>
  <c r="A11" i="31" s="1"/>
  <c r="A12" i="31" s="1"/>
  <c r="A13" i="31" s="1"/>
  <c r="A14" i="31" s="1"/>
  <c r="A15" i="31" s="1"/>
  <c r="A16" i="31" s="1"/>
  <c r="A17" i="31" s="1"/>
  <c r="A18" i="31" s="1"/>
  <c r="A19" i="31" s="1"/>
  <c r="A20" i="31" s="1"/>
  <c r="D15" i="31"/>
  <c r="H23" i="21" l="1"/>
  <c r="H37" i="21" l="1"/>
  <c r="D79" i="25"/>
  <c r="D52" i="25"/>
  <c r="D46"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198" i="25" l="1"/>
  <c r="D75" i="25"/>
  <c r="I174" i="25"/>
  <c r="I167" i="25"/>
  <c r="I166" i="25"/>
  <c r="D184" i="25"/>
  <c r="D185" i="25"/>
  <c r="D186" i="25"/>
  <c r="D183" i="25"/>
  <c r="D138" i="25"/>
  <c r="D33" i="27"/>
  <c r="D35" i="27"/>
  <c r="D36" i="27"/>
  <c r="D37" i="27"/>
  <c r="D32" i="27"/>
  <c r="D17" i="27"/>
  <c r="D18" i="27"/>
  <c r="D19" i="27"/>
  <c r="D23" i="27"/>
  <c r="F23" i="27" s="1"/>
  <c r="D25" i="27"/>
  <c r="D26" i="27"/>
  <c r="D16" i="27"/>
  <c r="D118" i="25"/>
  <c r="D117" i="25"/>
  <c r="D116" i="25"/>
  <c r="F15" i="20"/>
  <c r="F14" i="20"/>
  <c r="F13" i="20"/>
  <c r="F12" i="20"/>
  <c r="F11" i="20"/>
  <c r="F10" i="20"/>
  <c r="F9" i="20"/>
  <c r="F8" i="20"/>
  <c r="F22" i="20" l="1"/>
  <c r="G16" i="20" s="1"/>
  <c r="C19" i="28" s="1"/>
  <c r="D39" i="27"/>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4" i="9"/>
  <c r="E70" i="23" l="1"/>
  <c r="E107" i="23"/>
  <c r="G23" i="28"/>
  <c r="G24" i="28" s="1"/>
  <c r="D23" i="31" s="1"/>
  <c r="A3" i="28"/>
  <c r="I22" i="25" l="1"/>
  <c r="C210" i="25"/>
  <c r="K207" i="25"/>
  <c r="I204" i="25"/>
  <c r="D193" i="25"/>
  <c r="G191" i="25" s="1"/>
  <c r="I189" i="25"/>
  <c r="D187" i="25"/>
  <c r="G186" i="25"/>
  <c r="G185" i="25"/>
  <c r="G183" i="25"/>
  <c r="C160" i="25"/>
  <c r="G157" i="25"/>
  <c r="I154" i="25"/>
  <c r="D133" i="25"/>
  <c r="F124" i="25"/>
  <c r="I118" i="25"/>
  <c r="B117" i="25"/>
  <c r="B115" i="25"/>
  <c r="F109" i="25"/>
  <c r="F107" i="25"/>
  <c r="C95" i="25"/>
  <c r="K92" i="25"/>
  <c r="I89" i="25"/>
  <c r="F52" i="25"/>
  <c r="B52" i="25"/>
  <c r="B58" i="25" s="1"/>
  <c r="F51" i="25"/>
  <c r="F79" i="25" s="1"/>
  <c r="B51" i="25"/>
  <c r="B57" i="25" s="1"/>
  <c r="C38" i="25"/>
  <c r="K35" i="25"/>
  <c r="I32"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I123" i="9" l="1"/>
  <c r="D74" i="9"/>
  <c r="D73" i="9"/>
  <c r="A71" i="9"/>
  <c r="A72" i="9" s="1"/>
  <c r="A73" i="9" s="1"/>
  <c r="A74" i="9" s="1"/>
  <c r="A75" i="9" s="1"/>
  <c r="C65" i="9"/>
  <c r="C64" i="9"/>
  <c r="C63" i="9"/>
  <c r="C62" i="9"/>
  <c r="C61" i="9"/>
  <c r="C38" i="9"/>
  <c r="K35" i="9"/>
  <c r="I32" i="9"/>
  <c r="D71" i="9" l="1"/>
  <c r="D89" i="23"/>
  <c r="D78" i="9" s="1"/>
  <c r="C89" i="23"/>
  <c r="D76" i="9" s="1"/>
  <c r="I46" i="23"/>
  <c r="D57" i="9" s="1"/>
  <c r="H46" i="23"/>
  <c r="D56" i="9" s="1"/>
  <c r="G46" i="23"/>
  <c r="D55" i="9" s="1"/>
  <c r="F46" i="23"/>
  <c r="D54" i="9" s="1"/>
  <c r="E46" i="23"/>
  <c r="D53" i="9" s="1"/>
  <c r="I23" i="23"/>
  <c r="D84" i="9" s="1"/>
  <c r="H23" i="23"/>
  <c r="G23" i="23"/>
  <c r="D49" i="9" s="1"/>
  <c r="D221" i="25" s="1"/>
  <c r="F23" i="23"/>
  <c r="D48" i="9" s="1"/>
  <c r="E23" i="23"/>
  <c r="D47" i="9" s="1"/>
  <c r="D219" i="25" s="1"/>
  <c r="D23" i="23"/>
  <c r="D46" i="9" s="1"/>
  <c r="C23" i="23"/>
  <c r="D45" i="9" s="1"/>
  <c r="D217" i="25" s="1"/>
  <c r="H20" i="26" l="1"/>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58" i="25"/>
  <c r="D220" i="25"/>
  <c r="I12" i="26"/>
  <c r="D62" i="25"/>
  <c r="D68" i="9"/>
  <c r="I68" i="9" s="1"/>
  <c r="H44" i="26" l="1"/>
  <c r="I18" i="26"/>
  <c r="E18" i="26" s="1"/>
  <c r="S18" i="26" s="1"/>
  <c r="I29" i="26"/>
  <c r="I19" i="26"/>
  <c r="E19" i="26" s="1"/>
  <c r="S19" i="26" s="1"/>
  <c r="I20" i="26"/>
  <c r="E20" i="26" s="1"/>
  <c r="S20" i="26" s="1"/>
  <c r="D20" i="26"/>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S42" i="26" l="1"/>
  <c r="J27" i="26"/>
  <c r="F27" i="26" s="1"/>
  <c r="D30" i="26"/>
  <c r="I30" i="26"/>
  <c r="E30" i="26" s="1"/>
  <c r="X30" i="26" s="1"/>
  <c r="E20" i="20"/>
  <c r="E21" i="20" s="1"/>
  <c r="A3" i="20"/>
  <c r="A3" i="3"/>
  <c r="A3" i="15"/>
  <c r="A3" i="16"/>
  <c r="A3" i="4"/>
  <c r="H51" i="4"/>
  <c r="I51" i="4"/>
  <c r="J51" i="4"/>
  <c r="H52" i="4"/>
  <c r="I52" i="4"/>
  <c r="J52" i="4"/>
  <c r="H53" i="4"/>
  <c r="I53" i="4"/>
  <c r="J53" i="4"/>
  <c r="I50" i="4"/>
  <c r="J50" i="4"/>
  <c r="H50" i="4"/>
  <c r="G51" i="4"/>
  <c r="G52" i="4"/>
  <c r="G53" i="4"/>
  <c r="G50" i="4"/>
  <c r="A8" i="4"/>
  <c r="A9" i="4" s="1"/>
  <c r="A10" i="4" s="1"/>
  <c r="A11"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J47" i="4"/>
  <c r="I47" i="4"/>
  <c r="H47" i="4"/>
  <c r="G47" i="4"/>
  <c r="F47" i="4"/>
  <c r="G11" i="4"/>
  <c r="G14" i="4" s="1"/>
  <c r="D31" i="16"/>
  <c r="D114" i="9" s="1"/>
  <c r="D24" i="27" s="1"/>
  <c r="D111" i="9"/>
  <c r="D25" i="16" l="1"/>
  <c r="D112" i="9"/>
  <c r="D117" i="9" s="1"/>
  <c r="D19" i="31"/>
  <c r="D26" i="31" s="1"/>
  <c r="J28" i="26"/>
  <c r="F28" i="26" s="1"/>
  <c r="D31" i="26"/>
  <c r="I31" i="26"/>
  <c r="E31" i="26" s="1"/>
  <c r="X31" i="26" s="1"/>
  <c r="D21" i="27"/>
  <c r="I22" i="9"/>
  <c r="D14" i="25"/>
  <c r="I14" i="25" s="1"/>
  <c r="J54" i="4"/>
  <c r="G54" i="4"/>
  <c r="H54" i="4"/>
  <c r="I54" i="4"/>
  <c r="D27" i="27" l="1"/>
  <c r="D28" i="31"/>
  <c r="D27" i="31"/>
  <c r="J29" i="26"/>
  <c r="F29" i="26" s="1"/>
  <c r="D32" i="26"/>
  <c r="I32" i="26"/>
  <c r="E32" i="26" s="1"/>
  <c r="X32" i="26" s="1"/>
  <c r="D29" i="31" l="1"/>
  <c r="D31" i="31" s="1"/>
  <c r="D30" i="31"/>
  <c r="D32"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5" i="25"/>
  <c r="F114" i="9"/>
  <c r="I210" i="9"/>
  <c r="I159" i="9"/>
  <c r="I94" i="9"/>
  <c r="K213" i="9"/>
  <c r="D216" i="9"/>
  <c r="G162" i="9"/>
  <c r="C165" i="9"/>
  <c r="C100" i="9"/>
  <c r="K97" i="9"/>
  <c r="D218" i="25" l="1"/>
  <c r="D222" i="25" s="1"/>
  <c r="D48" i="25"/>
  <c r="J40" i="26"/>
  <c r="F40" i="26" s="1"/>
  <c r="D198" i="9"/>
  <c r="G196" i="9" s="1"/>
  <c r="I194" i="9"/>
  <c r="D192" i="9"/>
  <c r="G191" i="9"/>
  <c r="G190" i="9"/>
  <c r="G188" i="9"/>
  <c r="I178" i="9"/>
  <c r="I170" i="9"/>
  <c r="D138" i="9"/>
  <c r="D135" i="9"/>
  <c r="F129" i="9"/>
  <c r="B122" i="9"/>
  <c r="B120" i="9"/>
  <c r="D87" i="9"/>
  <c r="I116" i="9"/>
  <c r="F112" i="9"/>
  <c r="D65" i="9"/>
  <c r="D229" i="25" s="1"/>
  <c r="D64" i="9"/>
  <c r="D228" i="25" s="1"/>
  <c r="D63" i="9"/>
  <c r="D227" i="25" s="1"/>
  <c r="D62" i="9"/>
  <c r="D61" i="9"/>
  <c r="D225" i="25" s="1"/>
  <c r="D58" i="9"/>
  <c r="F57" i="9"/>
  <c r="B57" i="9"/>
  <c r="B65" i="9" s="1"/>
  <c r="F56" i="9"/>
  <c r="B56" i="9"/>
  <c r="B64" i="9" s="1"/>
  <c r="F55" i="9"/>
  <c r="B55" i="9"/>
  <c r="B63" i="9" s="1"/>
  <c r="F54" i="9"/>
  <c r="F84" i="9" s="1"/>
  <c r="B54" i="9"/>
  <c r="B62" i="9" s="1"/>
  <c r="F53" i="9"/>
  <c r="B53" i="9"/>
  <c r="B61" i="9" s="1"/>
  <c r="D50" i="9"/>
  <c r="J41" i="26" l="1"/>
  <c r="F41" i="26" s="1"/>
  <c r="F44" i="26" s="1"/>
  <c r="D142" i="9"/>
  <c r="D149" i="9" s="1"/>
  <c r="I149" i="9" s="1"/>
  <c r="I165" i="25"/>
  <c r="I180" i="9"/>
  <c r="I182" i="9" s="1"/>
  <c r="D66" i="9"/>
  <c r="I173" i="9"/>
  <c r="I175" i="9" s="1"/>
  <c r="G84" i="9" l="1"/>
  <c r="G120" i="9"/>
  <c r="G54" i="9"/>
  <c r="G46" i="9"/>
  <c r="I78" i="9"/>
  <c r="I76" i="9"/>
  <c r="G9" i="39"/>
  <c r="H9" i="39" s="1"/>
  <c r="H8" i="39"/>
  <c r="I10" i="4"/>
  <c r="J10" i="4" s="1"/>
  <c r="C128" i="23"/>
  <c r="C129" i="23" s="1"/>
  <c r="D148" i="9"/>
  <c r="I183" i="9"/>
  <c r="I184" i="9" s="1"/>
  <c r="E189" i="9"/>
  <c r="G189" i="9" s="1"/>
  <c r="G192" i="9" s="1"/>
  <c r="I192" i="9" s="1"/>
  <c r="J44" i="26"/>
  <c r="D51" i="25" s="1"/>
  <c r="D54" i="25" s="1"/>
  <c r="M11" i="30"/>
  <c r="O47" i="30" s="1"/>
  <c r="I203" i="9"/>
  <c r="G10" i="39" l="1"/>
  <c r="G107" i="9"/>
  <c r="G106" i="9"/>
  <c r="G88" i="9"/>
  <c r="G112" i="9"/>
  <c r="G108" i="9"/>
  <c r="G121" i="9"/>
  <c r="G56" i="9"/>
  <c r="G48" i="9"/>
  <c r="G109" i="9"/>
  <c r="G114" i="9"/>
  <c r="G113" i="9"/>
  <c r="G129" i="9"/>
  <c r="G111" i="9"/>
  <c r="G128" i="9"/>
  <c r="I197" i="25"/>
  <c r="G12" i="39"/>
  <c r="H12" i="39" s="1"/>
  <c r="H15" i="39"/>
  <c r="H10" i="39"/>
  <c r="E129" i="23"/>
  <c r="D128" i="23"/>
  <c r="D129" i="23" s="1"/>
  <c r="D57" i="25"/>
  <c r="D60" i="25" s="1"/>
  <c r="I198" i="25"/>
  <c r="M11" i="29"/>
  <c r="O20" i="29" s="1"/>
  <c r="I11" i="30"/>
  <c r="K47" i="30" s="1"/>
  <c r="F47" i="30" s="1"/>
  <c r="I202" i="25" s="1"/>
  <c r="I204" i="9"/>
  <c r="I205" i="9" s="1"/>
  <c r="I11" i="29"/>
  <c r="I14" i="9"/>
  <c r="I196" i="9"/>
  <c r="K196" i="9" s="1"/>
  <c r="I46" i="9"/>
  <c r="G122" i="9" l="1"/>
  <c r="G57" i="9"/>
  <c r="G115" i="9"/>
  <c r="G49" i="9"/>
  <c r="I12" i="4"/>
  <c r="J12" i="4" s="1"/>
  <c r="E95" i="23"/>
  <c r="J11" i="4"/>
  <c r="G11" i="39"/>
  <c r="H11" i="39" s="1"/>
  <c r="K20" i="29"/>
  <c r="F20" i="29" s="1"/>
  <c r="K19" i="29"/>
  <c r="O37" i="29"/>
  <c r="F129" i="23"/>
  <c r="O38" i="29"/>
  <c r="O24" i="29"/>
  <c r="I199" i="25"/>
  <c r="D134" i="25" s="1"/>
  <c r="O31" i="29"/>
  <c r="O34" i="29"/>
  <c r="O29" i="29"/>
  <c r="O42" i="29"/>
  <c r="O33" i="29"/>
  <c r="O21" i="29"/>
  <c r="K34" i="29"/>
  <c r="D226" i="25"/>
  <c r="D230" i="25" s="1"/>
  <c r="K42" i="29"/>
  <c r="K26" i="29"/>
  <c r="O41" i="29"/>
  <c r="O35" i="29"/>
  <c r="O26" i="29"/>
  <c r="O30" i="29"/>
  <c r="O19" i="29"/>
  <c r="O39" i="29"/>
  <c r="O27" i="29"/>
  <c r="O25" i="29"/>
  <c r="O22" i="29"/>
  <c r="D139" i="9"/>
  <c r="K39" i="29"/>
  <c r="K31" i="29"/>
  <c r="K23" i="29"/>
  <c r="O40" i="29"/>
  <c r="O36" i="29"/>
  <c r="O28" i="29"/>
  <c r="O32" i="29"/>
  <c r="O23" i="29"/>
  <c r="K38" i="29"/>
  <c r="K30" i="29"/>
  <c r="K22" i="29"/>
  <c r="K35" i="29"/>
  <c r="K27" i="29"/>
  <c r="F27" i="29" s="1"/>
  <c r="K41" i="29"/>
  <c r="K37" i="29"/>
  <c r="K33" i="29"/>
  <c r="K29" i="29"/>
  <c r="K25" i="29"/>
  <c r="K21" i="29"/>
  <c r="K40" i="29"/>
  <c r="K36" i="29"/>
  <c r="K32" i="29"/>
  <c r="K28" i="29"/>
  <c r="K24" i="29"/>
  <c r="I48" i="9"/>
  <c r="I54" i="9"/>
  <c r="I62" i="9" s="1"/>
  <c r="I106" i="9"/>
  <c r="E96" i="23" l="1"/>
  <c r="F95" i="23"/>
  <c r="I49" i="9"/>
  <c r="I50" i="9" s="1"/>
  <c r="G50" i="9" s="1"/>
  <c r="I13" i="4"/>
  <c r="J13" i="4" s="1"/>
  <c r="J14" i="4" s="1"/>
  <c r="D13" i="9" s="1"/>
  <c r="F22" i="29"/>
  <c r="F32" i="29"/>
  <c r="F41" i="29"/>
  <c r="F37" i="29"/>
  <c r="D83" i="25"/>
  <c r="I83" i="25" s="1"/>
  <c r="F35" i="29"/>
  <c r="F30" i="29"/>
  <c r="F38" i="29"/>
  <c r="F26" i="29"/>
  <c r="F28" i="29"/>
  <c r="F21" i="29"/>
  <c r="F19" i="29"/>
  <c r="F34" i="29"/>
  <c r="F29" i="29"/>
  <c r="D88" i="9"/>
  <c r="F23" i="29"/>
  <c r="F24" i="29"/>
  <c r="F33" i="29"/>
  <c r="F31" i="29"/>
  <c r="F25" i="29"/>
  <c r="F42" i="29"/>
  <c r="F36" i="29"/>
  <c r="F39" i="29"/>
  <c r="F40" i="29"/>
  <c r="I112" i="9"/>
  <c r="I107" i="9"/>
  <c r="I108" i="9"/>
  <c r="I57" i="9"/>
  <c r="I56" i="9"/>
  <c r="I64" i="9" s="1"/>
  <c r="I120" i="9"/>
  <c r="I84" i="9"/>
  <c r="G148" i="9" l="1"/>
  <c r="G73" i="9"/>
  <c r="G131" i="9"/>
  <c r="G71" i="9"/>
  <c r="G80" i="9"/>
  <c r="G74" i="9"/>
  <c r="G72" i="9"/>
  <c r="I65" i="9"/>
  <c r="E97" i="23"/>
  <c r="F96" i="23"/>
  <c r="D13" i="25"/>
  <c r="I13" i="25" s="1"/>
  <c r="I17" i="25" s="1"/>
  <c r="I13" i="9"/>
  <c r="I17" i="9" s="1"/>
  <c r="G13" i="39"/>
  <c r="H13" i="39" s="1"/>
  <c r="P13" i="26"/>
  <c r="P14" i="26" s="1"/>
  <c r="I88" i="9"/>
  <c r="I131" i="9"/>
  <c r="I113" i="9"/>
  <c r="I114" i="9"/>
  <c r="I66" i="9"/>
  <c r="I58" i="9"/>
  <c r="I122" i="9"/>
  <c r="I115" i="9"/>
  <c r="I133" i="9"/>
  <c r="I109" i="9"/>
  <c r="G66" i="9" l="1"/>
  <c r="G14" i="39" s="1"/>
  <c r="H14" i="39" s="1"/>
  <c r="H16" i="39" s="1"/>
  <c r="E98" i="23"/>
  <c r="F97" i="23"/>
  <c r="I71" i="9"/>
  <c r="D12" i="27"/>
  <c r="I121" i="9"/>
  <c r="I124" i="9" s="1"/>
  <c r="I111" i="9"/>
  <c r="I117" i="9" s="1"/>
  <c r="D89" i="9" l="1"/>
  <c r="D84" i="25"/>
  <c r="I84" i="25" s="1"/>
  <c r="F98" i="23"/>
  <c r="E99" i="23"/>
  <c r="I89" i="9"/>
  <c r="D90" i="9"/>
  <c r="I87" i="9"/>
  <c r="I80" i="9"/>
  <c r="I148" i="9"/>
  <c r="E24" i="27"/>
  <c r="E19" i="27"/>
  <c r="E25" i="27"/>
  <c r="E26" i="27"/>
  <c r="E21" i="27"/>
  <c r="E17" i="27"/>
  <c r="E18" i="27"/>
  <c r="E33" i="27"/>
  <c r="E16" i="27"/>
  <c r="E37" i="27"/>
  <c r="E35" i="27"/>
  <c r="E32" i="27"/>
  <c r="E36" i="27"/>
  <c r="I129" i="9"/>
  <c r="I128" i="9"/>
  <c r="E100" i="23" l="1"/>
  <c r="F99" i="23"/>
  <c r="I90" i="9"/>
  <c r="D140" i="25"/>
  <c r="D146" i="9"/>
  <c r="I72" i="9"/>
  <c r="I75" i="9"/>
  <c r="I74" i="9"/>
  <c r="I73" i="9"/>
  <c r="I135" i="9"/>
  <c r="E101" i="23" l="1"/>
  <c r="F100" i="23"/>
  <c r="D141" i="25"/>
  <c r="D145" i="25" s="1"/>
  <c r="I145" i="25" s="1"/>
  <c r="D150" i="9"/>
  <c r="F101" i="23" l="1"/>
  <c r="E102" i="23"/>
  <c r="I150" i="9"/>
  <c r="F102" i="23" l="1"/>
  <c r="E103" i="23"/>
  <c r="I168" i="25"/>
  <c r="I170" i="25" s="1"/>
  <c r="F103" i="23" l="1"/>
  <c r="F104" i="23" s="1"/>
  <c r="D79" i="9" s="1"/>
  <c r="E104" i="23"/>
  <c r="I73" i="25"/>
  <c r="I62" i="25"/>
  <c r="I71" i="25"/>
  <c r="G66" i="25"/>
  <c r="G218" i="25"/>
  <c r="I218" i="25" s="1"/>
  <c r="G115" i="25"/>
  <c r="G51" i="25"/>
  <c r="G45" i="25"/>
  <c r="G79" i="25"/>
  <c r="I178" i="25"/>
  <c r="E184" i="25"/>
  <c r="G184" i="25" s="1"/>
  <c r="G187" i="25" s="1"/>
  <c r="I187" i="25" s="1"/>
  <c r="G106" i="25" l="1"/>
  <c r="G108" i="25"/>
  <c r="G109" i="25"/>
  <c r="G104" i="25"/>
  <c r="D82" i="9"/>
  <c r="D92" i="9" s="1"/>
  <c r="D154" i="9" s="1"/>
  <c r="D147" i="9" s="1"/>
  <c r="D151" i="9" s="1"/>
  <c r="D156" i="9" s="1"/>
  <c r="D74" i="25"/>
  <c r="I74" i="25" s="1"/>
  <c r="I79" i="9"/>
  <c r="I82" i="9" s="1"/>
  <c r="I92" i="9" s="1"/>
  <c r="I154" i="9" s="1"/>
  <c r="I147" i="9" s="1"/>
  <c r="I151" i="9" s="1"/>
  <c r="I156" i="9" s="1"/>
  <c r="I10" i="9" s="1"/>
  <c r="I19" i="9" s="1"/>
  <c r="D25" i="9" s="1"/>
  <c r="D27" i="9" s="1"/>
  <c r="D28" i="9" s="1"/>
  <c r="D30" i="9" s="1"/>
  <c r="G226" i="25"/>
  <c r="I226" i="25" s="1"/>
  <c r="G220" i="25"/>
  <c r="I220" i="25" s="1"/>
  <c r="G52" i="25"/>
  <c r="G46" i="25"/>
  <c r="I51" i="25"/>
  <c r="I45" i="25"/>
  <c r="I191" i="25"/>
  <c r="K191" i="25" s="1"/>
  <c r="G110" i="25" s="1"/>
  <c r="I115" i="25"/>
  <c r="I79" i="25"/>
  <c r="D26" i="9" l="1"/>
  <c r="D29" i="9"/>
  <c r="D31" i="9" s="1"/>
  <c r="G47" i="25"/>
  <c r="I47" i="25" s="1"/>
  <c r="G53" i="25"/>
  <c r="I53" i="25" s="1"/>
  <c r="G228" i="25"/>
  <c r="I228" i="25" s="1"/>
  <c r="G221" i="25"/>
  <c r="I57" i="25"/>
  <c r="I46" i="25"/>
  <c r="I48" i="25" l="1"/>
  <c r="I59" i="25"/>
  <c r="G229" i="25"/>
  <c r="I221" i="25"/>
  <c r="I222" i="25" s="1"/>
  <c r="G222" i="25" s="1"/>
  <c r="Q13" i="26" s="1"/>
  <c r="Q14" i="26" s="1"/>
  <c r="Q30" i="26" s="1"/>
  <c r="W30" i="26" s="1"/>
  <c r="I52" i="25"/>
  <c r="I58" i="25" l="1"/>
  <c r="I60" i="25" s="1"/>
  <c r="I54" i="25"/>
  <c r="G143" i="25"/>
  <c r="G75" i="25"/>
  <c r="G68" i="25"/>
  <c r="G67" i="25"/>
  <c r="G65" i="25"/>
  <c r="I65" i="25" s="1"/>
  <c r="J99" i="37"/>
  <c r="J100" i="37" s="1"/>
  <c r="I229" i="25"/>
  <c r="I230" i="25" s="1"/>
  <c r="G230" i="25" s="1"/>
  <c r="G60" i="25" s="1"/>
  <c r="G126" i="25"/>
  <c r="G48"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21" i="27"/>
  <c r="D106" i="25" s="1"/>
  <c r="I106" i="25" s="1"/>
  <c r="D107" i="25"/>
  <c r="I143" i="25"/>
  <c r="G124" i="25"/>
  <c r="F27" i="27" l="1"/>
  <c r="V18" i="26"/>
  <c r="T42" i="26"/>
  <c r="V42" i="26" s="1"/>
  <c r="W42" i="26"/>
  <c r="Y30" i="26"/>
  <c r="R42" i="26"/>
  <c r="P42" i="26"/>
  <c r="Q42" i="26"/>
  <c r="I124" i="25"/>
  <c r="D101" i="25"/>
  <c r="F39" i="27"/>
  <c r="D130" i="25"/>
  <c r="I123" i="25"/>
  <c r="I70" i="25"/>
  <c r="I67" i="25"/>
  <c r="I173" i="25" l="1"/>
  <c r="I175" i="25" s="1"/>
  <c r="I177" i="25" s="1"/>
  <c r="I179" i="25" s="1"/>
  <c r="D112" i="25"/>
  <c r="D82" i="25" s="1"/>
  <c r="D85" i="25" s="1"/>
  <c r="J101" i="37"/>
  <c r="J102" i="37" s="1"/>
  <c r="AA30" i="26"/>
  <c r="H84" i="37" s="1"/>
  <c r="Y42" i="26"/>
  <c r="I130" i="25"/>
  <c r="G102" i="25" l="1"/>
  <c r="G107" i="25"/>
  <c r="G103" i="25"/>
  <c r="G101" i="25"/>
  <c r="I101" i="25" s="1"/>
  <c r="H96" i="37"/>
  <c r="I84" i="37"/>
  <c r="AA42" i="26"/>
  <c r="J84" i="37" l="1"/>
  <c r="J85" i="37" s="1"/>
  <c r="J86" i="37" s="1"/>
  <c r="J87" i="37" s="1"/>
  <c r="J88" i="37" s="1"/>
  <c r="J89" i="37" s="1"/>
  <c r="J90" i="37" s="1"/>
  <c r="J91" i="37" s="1"/>
  <c r="J92" i="37" s="1"/>
  <c r="J93" i="37" s="1"/>
  <c r="J94" i="37" s="1"/>
  <c r="J95" i="37" s="1"/>
  <c r="J103" i="37" s="1"/>
  <c r="J104" i="37" s="1"/>
  <c r="I96" i="37"/>
  <c r="I102" i="25"/>
  <c r="I103" i="25"/>
  <c r="I107" i="25"/>
  <c r="J106" i="37" l="1"/>
  <c r="D66" i="25" s="1"/>
  <c r="I109" i="25"/>
  <c r="I108" i="25"/>
  <c r="I112" i="25" l="1"/>
  <c r="I82" i="25" s="1"/>
  <c r="I85" i="25" s="1"/>
  <c r="I66" i="25" l="1"/>
  <c r="D144" i="25" l="1"/>
  <c r="I144" i="25" s="1"/>
  <c r="I152" i="37" l="1"/>
  <c r="J152" i="37" s="1"/>
  <c r="I13" i="37"/>
  <c r="I153" i="37" l="1"/>
  <c r="J153" i="37" s="1"/>
  <c r="I14" i="37"/>
  <c r="I12" i="37"/>
  <c r="I15" i="37" l="1"/>
  <c r="I154" i="37"/>
  <c r="J154" i="37" s="1"/>
  <c r="J12" i="37"/>
  <c r="J13" i="37" s="1"/>
  <c r="J14" i="37" s="1"/>
  <c r="J15" i="37" l="1"/>
  <c r="I155" i="37"/>
  <c r="J155" i="37" s="1"/>
  <c r="I16" i="37"/>
  <c r="J16" i="37" l="1"/>
  <c r="I156" i="37"/>
  <c r="J156" i="37" s="1"/>
  <c r="I17" i="37"/>
  <c r="J17" i="37" l="1"/>
  <c r="I18" i="37"/>
  <c r="I157" i="37"/>
  <c r="J157" i="37" s="1"/>
  <c r="I19" i="37"/>
  <c r="I158" i="37" l="1"/>
  <c r="J158" i="37" s="1"/>
  <c r="J18" i="37"/>
  <c r="J19" i="37" s="1"/>
  <c r="I159" i="37"/>
  <c r="I20" i="37"/>
  <c r="J20" i="37" l="1"/>
  <c r="J159" i="37"/>
  <c r="I160" i="37"/>
  <c r="I21" i="37"/>
  <c r="J21" i="37" l="1"/>
  <c r="J160" i="37"/>
  <c r="I22" i="37"/>
  <c r="I161" i="37"/>
  <c r="J161" i="37" l="1"/>
  <c r="J22" i="37"/>
  <c r="I162" i="37"/>
  <c r="J162" i="37" l="1"/>
  <c r="I23" i="37"/>
  <c r="H24" i="37"/>
  <c r="I163" i="37"/>
  <c r="J163" i="37" s="1"/>
  <c r="H164" i="37"/>
  <c r="I24" i="37" l="1"/>
  <c r="J23" i="37"/>
  <c r="J32" i="37" s="1"/>
  <c r="J33" i="37" s="1"/>
  <c r="I164" i="37"/>
  <c r="J170" i="37"/>
  <c r="J171" i="37" s="1"/>
  <c r="J173" i="37" s="1"/>
  <c r="I68" i="25" l="1"/>
  <c r="J35" i="37"/>
  <c r="D69" i="25" s="1"/>
  <c r="J175" i="37"/>
  <c r="I69" i="25" l="1"/>
  <c r="D76" i="25"/>
  <c r="D77" i="25" s="1"/>
  <c r="I76" i="25" l="1"/>
  <c r="I77" i="25" s="1"/>
  <c r="I87" i="25" s="1"/>
  <c r="D87" i="25"/>
  <c r="D149" i="25" s="1"/>
  <c r="D142" i="25" s="1"/>
  <c r="D146" i="25" s="1"/>
  <c r="D151" i="25" s="1"/>
  <c r="I149" i="25" l="1"/>
  <c r="I142" i="25" s="1"/>
  <c r="I146" i="25" l="1"/>
  <c r="I151" i="25" s="1"/>
  <c r="I10" i="25" s="1"/>
  <c r="I19" i="25" l="1"/>
  <c r="D25" i="25" s="1"/>
  <c r="D26" i="25" l="1"/>
  <c r="D27" i="25"/>
  <c r="D29" i="25" s="1"/>
  <c r="D31" i="25" s="1"/>
  <c r="D28" i="25" l="1"/>
  <c r="D30" i="25" s="1"/>
</calcChain>
</file>

<file path=xl/sharedStrings.xml><?xml version="1.0" encoding="utf-8"?>
<sst xmlns="http://schemas.openxmlformats.org/spreadsheetml/2006/main" count="2594" uniqueCount="1271">
  <si>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</si>
  <si>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</si>
  <si>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</si>
  <si>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</si>
  <si>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</si>
  <si>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</si>
  <si>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</si>
  <si>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</si>
  <si>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</si>
  <si>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</si>
  <si>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</si>
  <si>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</si>
  <si>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</si>
  <si>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</si>
  <si>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</si>
  <si>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</si>
  <si>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</si>
  <si>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</si>
  <si>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</si>
  <si>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</si>
  <si>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</si>
  <si>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</si>
  <si>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</si>
  <si>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</si>
  <si>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</si>
  <si>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</si>
  <si>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</si>
  <si>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</si>
  <si>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</si>
  <si>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</si>
  <si>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</si>
  <si>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</si>
  <si>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</si>
  <si>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</si>
  <si>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</si>
  <si>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</si>
  <si>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</si>
  <si>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</si>
  <si>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</si>
  <si>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</si>
  <si>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</si>
  <si>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</si>
  <si>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</si>
  <si>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</si>
  <si>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</si>
  <si>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</si>
  <si>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</si>
  <si>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</si>
  <si>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</si>
  <si>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</si>
  <si>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</si>
  <si>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</si>
  <si>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</si>
  <si>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</si>
  <si>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</si>
  <si>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</si>
  <si>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</si>
  <si>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</si>
  <si>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</si>
  <si>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</si>
  <si>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</si>
  <si>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</si>
  <si>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</si>
  <si>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</si>
  <si>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</si>
  <si>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</si>
  <si>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 xml:space="preserve">  Gas</t>
  </si>
  <si>
    <t>*</t>
  </si>
  <si>
    <t>RETURN (R)</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</si>
  <si>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</si>
  <si>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</si>
  <si>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</si>
  <si>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</si>
  <si>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</si>
  <si>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</si>
  <si>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</si>
  <si>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</si>
  <si>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</si>
  <si>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</si>
  <si>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</si>
  <si>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</si>
  <si>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</si>
  <si>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</si>
  <si>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</si>
  <si>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</si>
  <si>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</si>
  <si>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</si>
  <si>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</si>
  <si>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</si>
  <si>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</si>
  <si>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</si>
  <si>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</si>
  <si>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</si>
  <si>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</si>
  <si>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</si>
  <si>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</si>
  <si>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</si>
  <si>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</si>
  <si>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</si>
  <si>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</si>
  <si>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</si>
  <si>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</si>
  <si>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</si>
  <si>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</si>
  <si>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</si>
  <si>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</si>
  <si>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</si>
  <si>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</si>
  <si>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</si>
  <si>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</si>
  <si>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</si>
  <si>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</si>
  <si>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</si>
  <si>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</si>
  <si>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</si>
  <si>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</si>
  <si>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</si>
  <si>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</si>
  <si>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</si>
  <si>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</si>
  <si>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</si>
  <si>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</si>
  <si>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</si>
  <si>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</si>
  <si>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</si>
  <si>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</si>
  <si>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</si>
  <si>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</si>
  <si>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</si>
  <si>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</si>
  <si>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</si>
  <si>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</si>
  <si>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</si>
  <si>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</si>
  <si>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</si>
  <si>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</si>
  <si>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</si>
  <si>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Line #</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</si>
  <si>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</si>
  <si>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</si>
  <si>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</si>
  <si>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</si>
  <si>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</si>
  <si>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</si>
  <si>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</si>
  <si>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</si>
  <si>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</si>
  <si>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</si>
  <si>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</si>
  <si>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</si>
  <si>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</si>
  <si>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</si>
  <si>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</si>
  <si>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</si>
  <si>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</si>
  <si>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</si>
  <si>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</si>
  <si>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</si>
  <si>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</si>
  <si>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</si>
  <si>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</si>
  <si>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</si>
  <si>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</si>
  <si>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</si>
  <si>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</si>
  <si>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</si>
  <si>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</si>
  <si>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</si>
  <si>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</si>
  <si>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</si>
  <si>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</si>
  <si>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</si>
  <si>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</si>
  <si>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</si>
  <si>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</si>
  <si>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</si>
  <si>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</si>
  <si>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</si>
  <si>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</si>
  <si>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</si>
  <si>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</si>
  <si>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</si>
  <si>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</si>
  <si>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</si>
  <si>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</si>
  <si>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</si>
  <si>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</si>
  <si>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</si>
  <si>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</si>
  <si>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</si>
  <si>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</si>
  <si>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</si>
  <si>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</si>
  <si>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</si>
  <si>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</si>
  <si>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</si>
  <si>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</si>
  <si>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</si>
  <si>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</si>
  <si>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</si>
  <si>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</si>
  <si>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</si>
  <si>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</si>
  <si>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</si>
  <si>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</si>
  <si>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</si>
  <si>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</si>
  <si>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</si>
  <si>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</si>
  <si>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</si>
  <si>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</si>
  <si>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</si>
  <si>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</si>
  <si>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</si>
  <si>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</si>
  <si>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</si>
  <si>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</si>
  <si>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</si>
  <si>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</si>
  <si>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</si>
  <si>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</si>
  <si>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</si>
  <si>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</si>
  <si>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</si>
  <si>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</si>
  <si>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</si>
  <si>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</si>
  <si>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</si>
  <si>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</si>
  <si>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</si>
  <si>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</si>
  <si>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</si>
  <si>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</si>
  <si>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</si>
  <si>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</si>
  <si>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</si>
  <si>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</si>
  <si>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</si>
  <si>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</si>
  <si>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</si>
  <si>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</si>
  <si>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</si>
  <si>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</si>
  <si>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</si>
  <si>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</si>
  <si>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</si>
  <si>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</si>
  <si>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</si>
  <si>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</si>
  <si>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</si>
  <si>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</si>
  <si>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</si>
  <si>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</si>
  <si>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</si>
  <si>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</si>
  <si>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</si>
  <si>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CWIP (Note C)</t>
  </si>
  <si>
    <t>Land Held for Future Use</t>
  </si>
  <si>
    <t xml:space="preserve">  Materials &amp; Supplies</t>
  </si>
  <si>
    <t>FN1 Reference for Dec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</si>
  <si>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</si>
  <si>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</si>
  <si>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</si>
  <si>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</si>
  <si>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</si>
  <si>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</si>
  <si>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</si>
  <si>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</si>
  <si>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</si>
  <si>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</si>
  <si>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</si>
  <si>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</si>
  <si>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</si>
  <si>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</si>
  <si>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</si>
  <si>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</si>
  <si>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</si>
  <si>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</si>
  <si>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</si>
  <si>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</si>
  <si>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</si>
  <si>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</si>
  <si>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</si>
  <si>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</si>
  <si>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</si>
  <si>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</si>
  <si>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</si>
  <si>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</si>
  <si>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</si>
  <si>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</si>
  <si>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</si>
  <si>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</si>
  <si>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</si>
  <si>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</si>
  <si>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</si>
  <si>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</si>
  <si>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</si>
  <si>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</si>
  <si>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</si>
  <si>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</si>
  <si>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</si>
  <si>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</si>
  <si>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</si>
  <si>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</si>
  <si>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</si>
  <si>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</si>
  <si>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</si>
  <si>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</si>
  <si>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</si>
  <si>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</si>
  <si>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</si>
  <si>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</si>
  <si>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</si>
  <si>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</si>
  <si>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</si>
  <si>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</si>
  <si>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</si>
  <si>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</si>
  <si>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</si>
  <si>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</si>
  <si>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</si>
  <si>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</si>
  <si>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</si>
  <si>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</si>
  <si>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</si>
  <si>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</si>
  <si>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</si>
  <si>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</si>
  <si>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</si>
  <si>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</si>
  <si>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</si>
  <si>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</si>
  <si>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</si>
  <si>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</si>
  <si>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</si>
  <si>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</si>
  <si>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</si>
  <si>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</si>
  <si>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</si>
  <si>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</si>
  <si>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</si>
  <si>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 xml:space="preserve">  Long Term Debt</t>
  </si>
  <si>
    <t xml:space="preserve">  Common Stock </t>
  </si>
  <si>
    <t>H</t>
  </si>
  <si>
    <t xml:space="preserve">         Inputs Required:</t>
  </si>
  <si>
    <t xml:space="preserve">  (Federal Income Tax Rate)</t>
  </si>
  <si>
    <t>L</t>
  </si>
  <si>
    <t>N</t>
  </si>
  <si>
    <t>O</t>
  </si>
  <si>
    <t>P</t>
  </si>
  <si>
    <t>Q</t>
  </si>
  <si>
    <t>S</t>
  </si>
  <si>
    <t>T</t>
  </si>
  <si>
    <t>U</t>
  </si>
  <si>
    <t>V</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</si>
  <si>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</si>
  <si>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</si>
  <si>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</si>
  <si>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</si>
  <si>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</si>
  <si>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</si>
  <si>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</si>
  <si>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</si>
  <si>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</si>
  <si>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</si>
  <si>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</si>
  <si>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</si>
  <si>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</si>
  <si>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</si>
  <si>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</si>
  <si>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</si>
  <si>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</si>
  <si>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</si>
  <si>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</si>
  <si>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</si>
  <si>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</si>
  <si>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</si>
  <si>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</si>
  <si>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</si>
  <si>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</si>
  <si>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</si>
  <si>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</si>
  <si>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</si>
  <si>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</si>
  <si>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</si>
  <si>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</si>
  <si>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</si>
  <si>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</si>
  <si>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</si>
  <si>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</si>
  <si>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</si>
  <si>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</si>
  <si>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</si>
  <si>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</si>
  <si>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</si>
  <si>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</si>
  <si>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</si>
  <si>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March</t>
  </si>
  <si>
    <t>August</t>
  </si>
  <si>
    <t>December</t>
  </si>
  <si>
    <t xml:space="preserve">Note: </t>
  </si>
  <si>
    <t>Act Att-H</t>
  </si>
  <si>
    <t>A1-RevCred</t>
  </si>
  <si>
    <t>A2-A&amp;G</t>
  </si>
  <si>
    <t>A3-ADIT</t>
  </si>
  <si>
    <t>A4-Rate Base</t>
  </si>
  <si>
    <t>A5-Depr</t>
  </si>
  <si>
    <t>A6-Divisor</t>
  </si>
  <si>
    <t>Proj Att-H</t>
  </si>
  <si>
    <t>P1-Trans Plant</t>
  </si>
  <si>
    <t>P2-Exp. &amp; Rev. Credits</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</si>
  <si>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</si>
  <si>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</si>
  <si>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</si>
  <si>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</si>
  <si>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</si>
  <si>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</si>
  <si>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</si>
  <si>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</si>
  <si>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</si>
  <si>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</si>
  <si>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</si>
  <si>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</si>
  <si>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</si>
  <si>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</si>
  <si>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</si>
  <si>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</si>
  <si>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</si>
  <si>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</si>
  <si>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</si>
  <si>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</si>
  <si>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</si>
  <si>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</si>
  <si>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Revenue Types:</t>
  </si>
  <si>
    <t>KW</t>
  </si>
  <si>
    <t>Projected Transmission Plant</t>
  </si>
  <si>
    <t>Projected Expenses and Revenue Credits</t>
  </si>
  <si>
    <t xml:space="preserve">Worksheet P3 </t>
  </si>
  <si>
    <t>Average</t>
  </si>
  <si>
    <t>Actual Load  for Jan-Aug</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</si>
  <si>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</si>
  <si>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</si>
  <si>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</si>
  <si>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</si>
  <si>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</si>
  <si>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</si>
  <si>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</si>
  <si>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</si>
  <si>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</si>
  <si>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</si>
  <si>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3, Line 10</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</si>
  <si>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</si>
  <si>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</si>
  <si>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</si>
  <si>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</si>
  <si>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</si>
  <si>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</si>
  <si>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</si>
  <si>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</si>
  <si>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</si>
  <si>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</si>
  <si>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</si>
  <si>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</si>
  <si>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</si>
  <si>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</si>
  <si>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</si>
  <si>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</si>
  <si>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</si>
  <si>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</si>
  <si>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</si>
  <si>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</si>
  <si>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</si>
  <si>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</si>
  <si>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</si>
  <si>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</si>
  <si>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</si>
  <si>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</si>
  <si>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</si>
  <si>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</si>
  <si>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</si>
  <si>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</si>
  <si>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</si>
  <si>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</si>
  <si>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</si>
  <si>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</si>
  <si>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</si>
  <si>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</si>
  <si>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</si>
  <si>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</si>
  <si>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</si>
  <si>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</si>
  <si>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</si>
  <si>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</si>
  <si>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</si>
  <si>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</si>
  <si>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</si>
  <si>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</si>
  <si>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</si>
  <si>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</si>
  <si>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</si>
  <si>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</si>
  <si>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</si>
  <si>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</si>
  <si>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</si>
  <si>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</si>
  <si>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</si>
  <si>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</si>
  <si>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</si>
  <si>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</si>
  <si>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</si>
  <si>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</si>
  <si>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</si>
  <si>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</si>
  <si>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</si>
  <si>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</si>
  <si>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</si>
  <si>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</si>
  <si>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</si>
  <si>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</si>
  <si>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</si>
  <si>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</si>
  <si>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</si>
  <si>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</si>
  <si>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</si>
  <si>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</si>
  <si>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</si>
  <si>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</si>
  <si>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</si>
  <si>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</si>
  <si>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</si>
  <si>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</si>
  <si>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</si>
  <si>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</si>
  <si>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</si>
  <si>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</si>
  <si>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</si>
  <si>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</si>
  <si>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</si>
  <si>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</si>
  <si>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</si>
  <si>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</si>
  <si>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</si>
  <si>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</si>
  <si>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</si>
  <si>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</si>
  <si>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</si>
  <si>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</si>
  <si>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</si>
  <si>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</si>
  <si>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</si>
  <si>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</si>
  <si>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</si>
  <si>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</si>
  <si>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</si>
  <si>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</si>
  <si>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</si>
  <si>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</si>
  <si>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</si>
  <si>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</si>
  <si>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</si>
  <si>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</si>
  <si>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</si>
  <si>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</si>
  <si>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</si>
  <si>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</si>
  <si>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</si>
  <si>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</si>
  <si>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</si>
  <si>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</si>
  <si>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</si>
  <si>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</si>
  <si>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</si>
  <si>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</si>
  <si>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</si>
  <si>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</si>
  <si>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</si>
  <si>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</si>
  <si>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</si>
  <si>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</si>
  <si>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</si>
  <si>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</si>
  <si>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</si>
  <si>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</si>
  <si>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</si>
  <si>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</si>
  <si>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</si>
  <si>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</si>
  <si>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</si>
  <si>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</si>
  <si>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</si>
  <si>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</si>
  <si>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</si>
  <si>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</si>
  <si>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</si>
  <si>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</si>
  <si>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</si>
  <si>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</si>
  <si>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</si>
  <si>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(line 13 - line 14)</t>
  </si>
  <si>
    <t>Total 561 Costs for Schedule 1 Annual Rev Req</t>
  </si>
  <si>
    <t xml:space="preserve">     Less Account 561.1-561.3</t>
  </si>
  <si>
    <t>321.85-87.b</t>
  </si>
  <si>
    <t>Revenue Requirement</t>
  </si>
  <si>
    <t>12 months/year</t>
  </si>
  <si>
    <t>52 weeks/year</t>
  </si>
  <si>
    <t>Less:  Schedule 1 Point to Point Revenues</t>
  </si>
  <si>
    <t>Actual Schedule 1 Annual Rev Req (before True Up)</t>
  </si>
  <si>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</si>
  <si>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</si>
  <si>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</si>
  <si>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</si>
  <si>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</si>
  <si>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</si>
  <si>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</si>
  <si>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</si>
  <si>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</si>
  <si>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</si>
  <si>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 1 minus line 6)</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</si>
  <si>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</si>
  <si>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</si>
  <si>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</si>
  <si>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</si>
  <si>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</si>
  <si>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</si>
  <si>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</si>
  <si>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</si>
  <si>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</si>
  <si>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</si>
  <si>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</si>
  <si>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</si>
  <si>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</si>
  <si>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</si>
  <si>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</si>
  <si>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</si>
  <si>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</si>
  <si>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</si>
  <si>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</si>
  <si>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</si>
  <si>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</si>
  <si>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</si>
  <si>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</si>
  <si>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</si>
  <si>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</si>
  <si>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</si>
  <si>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</si>
  <si>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</si>
  <si>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</si>
  <si>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</si>
  <si>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</si>
  <si>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</si>
  <si>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</si>
  <si>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</si>
  <si>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</si>
  <si>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</si>
  <si>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</si>
  <si>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</si>
  <si>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</si>
  <si>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</si>
  <si>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</si>
  <si>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</si>
  <si>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</si>
  <si>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</si>
  <si>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</si>
  <si>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</si>
  <si>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</si>
  <si>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</si>
  <si>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</si>
  <si>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</si>
  <si>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</si>
  <si>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</si>
  <si>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</si>
  <si>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</si>
  <si>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</si>
  <si>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</si>
  <si>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</si>
  <si>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</si>
  <si>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</si>
  <si>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</si>
  <si>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</si>
  <si>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</si>
  <si>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</si>
  <si>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</si>
  <si>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</si>
  <si>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</si>
  <si>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</si>
  <si>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</si>
  <si>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</si>
  <si>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</si>
  <si>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</si>
  <si>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</si>
  <si>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</si>
  <si>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</si>
  <si>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</si>
  <si>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</si>
  <si>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</si>
  <si>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</si>
  <si>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</si>
  <si>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 xml:space="preserve">Gross Plant In Service </t>
  </si>
  <si>
    <t xml:space="preserve">Accumulated Depreciation </t>
  </si>
  <si>
    <t>Adjustments to Rate Base</t>
  </si>
  <si>
    <t xml:space="preserve">Carried forward for use in Worksheet P3, Column b. </t>
  </si>
  <si>
    <t>Amortized Investment Tax Credit (266.8f)</t>
  </si>
  <si>
    <t>(Sum of Lines 25 and 26b less lines 26, 26a )</t>
  </si>
  <si>
    <t xml:space="preserve">     CIT=(T/(1-T)) * (1-(WCLTD/R)) =</t>
  </si>
  <si>
    <t>Note C</t>
  </si>
  <si>
    <t>(Line 21 times Line 24aa) (Notes T, Y)</t>
  </si>
  <si>
    <t>(Line 5) Weighted ROE Adder times (Line 34) 13 Month Average Net Plant</t>
  </si>
  <si>
    <t>Difference in Volume</t>
  </si>
  <si>
    <t>True-up Amount including Volume Revenue Adjustment (before interest)</t>
  </si>
  <si>
    <t>GROSS REVENUE REQUIREMENT  (page 3, line 29)</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</si>
  <si>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</si>
  <si>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</si>
  <si>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</si>
  <si>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</si>
  <si>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</si>
  <si>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</si>
  <si>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</si>
  <si>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</si>
  <si>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</si>
  <si>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</si>
  <si>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</si>
  <si>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</si>
  <si>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</si>
  <si>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</si>
  <si>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</si>
  <si>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</si>
  <si>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</si>
  <si>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</si>
  <si>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</si>
  <si>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</si>
  <si>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</si>
  <si>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</si>
  <si>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</si>
  <si>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</si>
  <si>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</si>
  <si>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</si>
  <si>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</si>
  <si>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</si>
  <si>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</si>
  <si>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</si>
  <si>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</si>
  <si>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</si>
  <si>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</si>
  <si>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</si>
  <si>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</si>
  <si>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</si>
  <si>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</si>
  <si>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</si>
  <si>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</si>
  <si>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</si>
  <si>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</si>
  <si>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</si>
  <si>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</si>
  <si>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</si>
  <si>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</si>
  <si>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</si>
  <si>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</si>
  <si>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</si>
  <si>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A8-Prepmts</t>
  </si>
  <si>
    <t>Allocation Factor</t>
  </si>
  <si>
    <t>Allocated Amount</t>
  </si>
  <si>
    <t>To Actual Attachment H, page 2, line 30</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</si>
  <si>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</si>
  <si>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</si>
  <si>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</si>
  <si>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</si>
  <si>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</si>
  <si>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</si>
  <si>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</si>
  <si>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</si>
  <si>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</si>
  <si>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</si>
  <si>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</si>
  <si>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</si>
  <si>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</si>
  <si>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</si>
  <si>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</si>
  <si>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</si>
  <si>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</si>
  <si>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</si>
  <si>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</si>
  <si>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</si>
  <si>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</si>
  <si>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</si>
  <si>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</si>
  <si>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</si>
  <si>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</si>
  <si>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</si>
  <si>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</si>
  <si>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</si>
  <si>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</si>
  <si>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</si>
  <si>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</si>
  <si>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</si>
  <si>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</si>
  <si>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</si>
  <si>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</si>
  <si>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</si>
  <si>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</si>
  <si>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</si>
  <si>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</si>
  <si>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</si>
  <si>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</si>
  <si>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</si>
  <si>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</si>
  <si>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</si>
  <si>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</si>
  <si>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</si>
  <si>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</si>
  <si>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</si>
  <si>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</si>
  <si>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</si>
  <si>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</si>
  <si>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</si>
  <si>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</si>
  <si>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</si>
  <si>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</si>
  <si>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</si>
  <si>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</si>
  <si>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</si>
  <si>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</si>
  <si>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</si>
  <si>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</si>
  <si>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</si>
  <si>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</si>
  <si>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Worksheet P1, Line 29, Column (f)</t>
  </si>
  <si>
    <t>Worksheet P1, Line 29, Column (h)</t>
  </si>
  <si>
    <t>Worksheet P1, Line 28, Column (c)</t>
  </si>
  <si>
    <t>Worksheet P1, Page 3, Column t, Line 27a</t>
  </si>
  <si>
    <t>Projected Attachment H, Page 5, Line 6</t>
  </si>
  <si>
    <t>Line 2 less Lines 3 through 7</t>
  </si>
  <si>
    <t>Line 8 less Line 10</t>
  </si>
  <si>
    <t xml:space="preserve">     Adjustments to A&amp;G</t>
  </si>
  <si>
    <t>TOTAL O&amp;M  (sum lines 1, 3, 5a, 5b, 6, 7 less lines 2, 2a, 5, 5c)</t>
  </si>
  <si>
    <t>(Sum lines 3,6,9,10,12,13 less lines 4,5,8,11)</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</si>
  <si>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</si>
  <si>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</si>
  <si>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</si>
  <si>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</si>
  <si>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</si>
  <si>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</si>
  <si>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</si>
  <si>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</si>
  <si>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</si>
  <si>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</si>
  <si>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</si>
  <si>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</si>
  <si>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</si>
  <si>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</si>
  <si>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</si>
  <si>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</si>
  <si>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</si>
  <si>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</si>
  <si>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ARAM</t>
  </si>
  <si>
    <t>Total Protected Property - DDIT-NOL</t>
  </si>
  <si>
    <t>PLANT DDIT/(EDIT)</t>
  </si>
  <si>
    <t>Total Deferred Tax Offset Non Plant</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</si>
  <si>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</si>
  <si>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</si>
  <si>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</si>
  <si>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</si>
  <si>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</si>
  <si>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</si>
  <si>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</si>
  <si>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</si>
  <si>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</si>
  <si>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</si>
  <si>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</si>
  <si>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</si>
  <si>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</si>
  <si>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</si>
  <si>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</si>
  <si>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</si>
  <si>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</si>
  <si>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</si>
  <si>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</si>
  <si>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</si>
  <si>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</si>
  <si>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</si>
  <si>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</si>
  <si>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</si>
  <si>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</si>
  <si>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</si>
  <si>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</si>
  <si>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</si>
  <si>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</si>
  <si>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</si>
  <si>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</si>
  <si>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</si>
  <si>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</si>
  <si>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</si>
  <si>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</si>
  <si>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</si>
  <si>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</si>
  <si>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</si>
  <si>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</si>
  <si>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</si>
  <si>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</si>
  <si>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</si>
  <si>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</si>
  <si>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</si>
  <si>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</si>
  <si>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</si>
  <si>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</si>
  <si>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</si>
  <si>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</si>
  <si>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</si>
  <si>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</si>
  <si>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</si>
  <si>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</si>
  <si>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</si>
  <si>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</si>
  <si>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</si>
  <si>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</si>
  <si>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</si>
  <si>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</si>
  <si>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</si>
  <si>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</si>
  <si>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</si>
  <si>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</si>
  <si>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</si>
  <si>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</si>
  <si>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</si>
  <si>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</si>
  <si>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</si>
  <si>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</si>
  <si>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</si>
  <si>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</si>
  <si>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</si>
  <si>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</si>
  <si>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</si>
  <si>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</si>
  <si>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</si>
  <si>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</si>
  <si>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</si>
  <si>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</si>
  <si>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</si>
  <si>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</si>
  <si>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</si>
  <si>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</si>
  <si>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</si>
  <si>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</si>
  <si>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</si>
  <si>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</si>
  <si>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</si>
  <si>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</si>
  <si>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</si>
  <si>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</si>
  <si>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</si>
  <si>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</si>
  <si>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</si>
  <si>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</si>
  <si>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</si>
  <si>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</si>
  <si>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</si>
  <si>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</si>
  <si>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</si>
  <si>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</si>
  <si>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</si>
  <si>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</si>
  <si>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</si>
  <si>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</si>
  <si>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</si>
  <si>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</si>
  <si>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</si>
  <si>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</si>
  <si>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Line 22 + Line 23</t>
  </si>
  <si>
    <t>(Sum of Lines 12-15)</t>
  </si>
  <si>
    <t>Worksheet A4, Page 1, Line 13, Column (f)</t>
  </si>
  <si>
    <t>Worksheet A4, Page 1, Line 13, Column (e)</t>
  </si>
  <si>
    <t>Worksheet A4, Page 1, Line 27, Column (g)</t>
  </si>
  <si>
    <t>8a</t>
  </si>
  <si>
    <t>(Line 2a - Line 5a)</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</si>
  <si>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</si>
  <si>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</si>
  <si>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</si>
  <si>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</si>
  <si>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</si>
  <si>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</si>
  <si>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</si>
  <si>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</si>
  <si>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</si>
  <si>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</si>
  <si>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</si>
  <si>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</si>
  <si>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</si>
  <si>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</si>
  <si>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</si>
  <si>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</si>
  <si>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</si>
  <si>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</si>
  <si>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</si>
  <si>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</si>
  <si>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</si>
  <si>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</si>
  <si>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</si>
  <si>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</si>
  <si>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</si>
  <si>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</si>
  <si>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</si>
  <si>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</si>
  <si>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</si>
  <si>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</si>
  <si>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</si>
  <si>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</si>
  <si>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</si>
  <si>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</si>
  <si>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</si>
  <si>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</si>
  <si>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</si>
  <si>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</si>
  <si>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</si>
  <si>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</si>
  <si>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</si>
  <si>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</si>
  <si>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</si>
  <si>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</si>
  <si>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</si>
  <si>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</si>
  <si>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</si>
  <si>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</si>
  <si>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</si>
  <si>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</si>
  <si>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</si>
  <si>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</si>
  <si>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</si>
  <si>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</si>
  <si>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</si>
  <si>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</si>
  <si>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</si>
  <si>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</si>
  <si>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</si>
  <si>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</si>
  <si>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</si>
  <si>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</si>
  <si>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</si>
  <si>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</si>
  <si>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</si>
  <si>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</si>
  <si>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</si>
  <si>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</si>
  <si>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</si>
  <si>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</si>
  <si>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</si>
  <si>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</si>
  <si>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</si>
  <si>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</si>
  <si>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</si>
  <si>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</si>
  <si>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</si>
  <si>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</si>
  <si>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</si>
  <si>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</si>
  <si>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</si>
  <si>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</si>
  <si>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</si>
  <si>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</si>
  <si>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</si>
  <si>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</si>
  <si>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</si>
  <si>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</si>
  <si>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</si>
  <si>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The true up for the 2022 partial rate year will be prorated for a partial year and supported in a workpaper published according to the Protocols.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</si>
  <si>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</si>
  <si>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</si>
  <si>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</si>
  <si>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</si>
  <si>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</si>
  <si>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</si>
  <si>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</si>
  <si>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</si>
  <si>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</si>
  <si>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</si>
  <si>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</si>
  <si>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</si>
  <si>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</si>
  <si>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</si>
  <si>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</si>
  <si>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</si>
  <si>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</si>
  <si>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</si>
  <si>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</si>
  <si>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</si>
  <si>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</si>
  <si>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</si>
  <si>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</si>
  <si>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</si>
  <si>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</si>
  <si>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</si>
  <si>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</si>
  <si>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</si>
  <si>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</si>
  <si>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</si>
  <si>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</si>
  <si>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</si>
  <si>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</si>
  <si>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</si>
  <si>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</si>
  <si>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</si>
  <si>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</si>
  <si>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</si>
  <si>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</si>
  <si>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</si>
  <si>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</si>
  <si>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</si>
  <si>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</si>
  <si>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</si>
  <si>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</si>
  <si>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</si>
  <si>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</si>
  <si>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</si>
  <si>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</si>
  <si>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</si>
  <si>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</si>
  <si>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</si>
  <si>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</si>
  <si>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</si>
  <si>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</si>
  <si>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</si>
  <si>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</si>
  <si>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</si>
  <si>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</si>
  <si>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</si>
  <si>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</si>
  <si>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Rental Income - General</t>
  </si>
  <si>
    <t xml:space="preserve">  Unamortized Regulatory Liability</t>
  </si>
  <si>
    <t>23aa</t>
  </si>
  <si>
    <t>Unamortized Regulatory Liability</t>
  </si>
  <si>
    <t>(Note F)</t>
  </si>
  <si>
    <t>Worksheet A4, Page 1, Line 42, Col. (h) (Note O)</t>
  </si>
  <si>
    <t>228202 RESERVE WORKERS' COMPENSATION</t>
  </si>
  <si>
    <t>228204 RESERVE MEDICAL</t>
  </si>
  <si>
    <t>228300 BENEFITS ACCURAL RETIREE HEALTHCARE</t>
  </si>
  <si>
    <t>228302 BENEFITS ACCRUED PENSION</t>
  </si>
  <si>
    <t>242003 ACCRUED BENEFITS COMP ABSENSCES</t>
  </si>
  <si>
    <t>242009 ACCRUED BENEFITS RETIREE HC CURRENT</t>
  </si>
  <si>
    <t>242014 ACCRUED BONUS OTHER</t>
  </si>
  <si>
    <t>242041 ACCRUED INCENTIVE</t>
  </si>
  <si>
    <t>242052 ACCRUED LT PERFORMANCE PLAN</t>
  </si>
  <si>
    <t>Amount (13 Month Average Balance)</t>
  </si>
  <si>
    <t xml:space="preserve">Allocation (Labor Allocator W/S) </t>
  </si>
  <si>
    <t>Amount Allocated, col. (c) x col. (d)</t>
  </si>
  <si>
    <t>Worksheet A4, Page 2, Line 25, Col. (e)  (Note R)</t>
  </si>
  <si>
    <t>Includes the annual income tax cost due to the Equity AFUDC permanent difference for the amount of book depreciation expense recognized in one period for ratemaking purposes and the amounts recognized for income tax purposes which do not reverse in one or more other periods. T multiplied by the amount of the Equity AFUDC permanent differences and book depreciation expense associated with Allowance for Other Funds Used During Construction will increase or decrease tax expense by the amount of the expense or benefit included on line 24b multiplied by (1/(1-T)).  Source of input data is Company Records.  The permanent difference input is restricted to the Equity AFUDC permanent difference for book depreciation expense and no other income tax adjustments for permanent differences may be included in the formula rate inputs without prior approval by FERC pursuant to FPA section 205 or FPA section 206.</t>
  </si>
  <si>
    <t>16a</t>
  </si>
  <si>
    <t>Worksheet A4, Page 1, Line 42, Column (e) (Note B)</t>
  </si>
  <si>
    <t>The listed Black Hills Colorado plant depreciation rates were approved in Docket ER22-2185 and the BHSC depreciation rates were approved in Docket ER19-697.</t>
  </si>
  <si>
    <t>Reserved. Will not be populated absent approval by FERC.</t>
  </si>
  <si>
    <t>Company Records (Note J)</t>
  </si>
  <si>
    <t>Worksheet A4, Page 1, Line 14, Column (g) (Note B)</t>
  </si>
  <si>
    <t>(Sum lines 1, 3, 5a, 5b, 6, 7 less lines 2, 2a,  5, 5c)</t>
  </si>
  <si>
    <t>TOTAL O&amp;M</t>
  </si>
  <si>
    <t>(Sum of Lines 9, 21, 22, 26.)</t>
  </si>
  <si>
    <t>(i) x (j)</t>
  </si>
  <si>
    <t>(i) x (k)</t>
  </si>
  <si>
    <t>Pg 2 Line 27a Col (l) / 12 + (n)</t>
  </si>
  <si>
    <t>(c )</t>
  </si>
  <si>
    <t>(q) - (p)</t>
  </si>
  <si>
    <t>Proj Att H pg 3, line 21, Col 3</t>
  </si>
  <si>
    <t>(r ) x (s)</t>
  </si>
  <si>
    <t>Pg 2 Line 27a Col M / 12 + (o)</t>
  </si>
  <si>
    <t>(u) - (v)</t>
  </si>
  <si>
    <t>(w) x (x)</t>
  </si>
  <si>
    <t>Actual Attachment H, Page 2 Line 18 Col 5</t>
  </si>
  <si>
    <t>Projected Attachment H, Page 2, Line 9 Col 5</t>
  </si>
  <si>
    <t>Actual Attachment H, Page 3, Line 1, Col 3</t>
  </si>
  <si>
    <t>Actual Attachment H, Page 3, Line 2, Col 3</t>
  </si>
  <si>
    <t>Actual Attachment H, Page 3, Line 2a, Col 3</t>
  </si>
  <si>
    <t>Actual Attachment H, Page 3, Line 3, Col 3</t>
  </si>
  <si>
    <t>Actual Attachment H, Page 3, Line 5, Col 3</t>
  </si>
  <si>
    <t>Actual Attachment H, Page 3, Line 5b, Col 3</t>
  </si>
  <si>
    <t>Actual Attachment H, Page 3, Line 5c, Col 3</t>
  </si>
  <si>
    <t>Actual Attachment H, Page 3, Line 6, Col 3</t>
  </si>
  <si>
    <t>Actual Attachment H, Page 3, Line 7, Col 3</t>
  </si>
  <si>
    <t>Actual Attachment H, Page 3, Line 13, Col 3</t>
  </si>
  <si>
    <t>Actual Attachment H, Page 3, Line 14, Col 3</t>
  </si>
  <si>
    <t>Actual Attachment H, Page 3, Line 16, Col 3</t>
  </si>
  <si>
    <t>Actual Attachment H, Page 3, Line 17, Col 3</t>
  </si>
  <si>
    <t>Actual Attachment H, Page 3, Line 18, Col 3</t>
  </si>
  <si>
    <t>(f) x Line 3 Col (g)</t>
  </si>
  <si>
    <t>(g) + Prev Line, Col (g)</t>
  </si>
  <si>
    <t>(f) - (h)</t>
  </si>
  <si>
    <t>(j) x Line 3, Col (k)</t>
  </si>
  <si>
    <t>(k) + Prev Line, Col (k)</t>
  </si>
  <si>
    <t>(j) - (l)</t>
  </si>
  <si>
    <t>A3.1-EDIT-DDIT, Line 355 Col (c )</t>
  </si>
  <si>
    <t>A3-ADIT, Line 4, Col L</t>
  </si>
  <si>
    <t>P1-Trans Plant, Pg 4 Col (y)</t>
  </si>
  <si>
    <t>Line 115-126 x Proj Att-H, Note A, FIT</t>
  </si>
  <si>
    <t>An FPA Section 205 filing is required to populate this line and identify an appropriate allocator. To the extent applicable, initial input values and workpapers related to Company Records information will be included in the filing.  The details of the amounts are shown in the workpapers required pursuant to the Projected Net Revenue Requirement and Annual True-up Procedures.</t>
  </si>
  <si>
    <t>Recovery of project-specific regulatory assets requires authorization from the Commission.   An FPA Section 205 filing is required to populate this line and identify an appropriate allocator. To the extent applicable, initial input values and workpapers related to Company Records information will be included in the filing.</t>
  </si>
  <si>
    <t>AFUDC ceases when CWIP is recovered in rate base.  No CWIP will be included in rate base on line 18a absent FERC authorization.  An FPA Section 205 filing is required to populate this line and identify an appropriate allocator. To the extent applicable, initial input values and workpapers related to Company Records information will be included in the filing.</t>
  </si>
  <si>
    <t>Permanent Differences - AFUDC Equity</t>
  </si>
  <si>
    <t>Company Records  (Notes T, Y)</t>
  </si>
  <si>
    <t>The effect of the FAS 109 Adjustment to ADIT is to remove deferred taxes included in accounts 190, 282 and 283 that are non-ratemaking in nature.</t>
  </si>
  <si>
    <t>Alternative Fuel Vehicle Tax Credit</t>
  </si>
  <si>
    <t>Asset Retirement Obligation</t>
  </si>
  <si>
    <t>Deferred Regulatory</t>
  </si>
  <si>
    <t>Deferred Tax Asset - Other</t>
  </si>
  <si>
    <t>Deferred Tax Liability Other</t>
  </si>
  <si>
    <t>EDIT Exclude</t>
  </si>
  <si>
    <t>Energy Cost Adjusment</t>
  </si>
  <si>
    <t>Equity AFUDC</t>
  </si>
  <si>
    <t>Federal Research and Development Tax Credits</t>
  </si>
  <si>
    <t>Goodwill</t>
  </si>
  <si>
    <t>Like Kind Exchange</t>
  </si>
  <si>
    <t>Line Extension Deposit</t>
  </si>
  <si>
    <t>Operating Leases</t>
  </si>
  <si>
    <t xml:space="preserve">Production Tax Credits </t>
  </si>
  <si>
    <t>Rate Case Expenses</t>
  </si>
  <si>
    <t>Rate Refund</t>
  </si>
  <si>
    <t>Regulatory Asset</t>
  </si>
  <si>
    <t>Renewable Energy Standard Rider</t>
  </si>
  <si>
    <t>State ADIT Exclude</t>
  </si>
  <si>
    <t>State Investment Tax Credits</t>
  </si>
  <si>
    <t>State Research and Development Tax Credits</t>
  </si>
  <si>
    <t>Winter Storm Uri</t>
  </si>
  <si>
    <t>Worksheet A3, Page 1, Line 200</t>
  </si>
  <si>
    <t>350.1b</t>
  </si>
  <si>
    <t>263.5l, 263.6l, &amp; 263.7l</t>
  </si>
  <si>
    <t>263.3l</t>
  </si>
  <si>
    <t>263.4l</t>
  </si>
  <si>
    <t>Transmission System Monthly Loads (kW) (Note A)</t>
  </si>
  <si>
    <t>Transmission System Load for Jan-Aug (kW)</t>
  </si>
  <si>
    <t>Monthly Transmission Loads as Percentage of the Average Total Loads of Jan-Aug (Worksheet A6)</t>
  </si>
  <si>
    <t>Avg Monthly Transmission Load for Jan-Aug (Col e, line 2-9)</t>
  </si>
  <si>
    <t>Estimated Monthly Transmission Load for Sep-Dec ( Col. b  * c)</t>
  </si>
  <si>
    <t>Projected Transmission Load</t>
  </si>
  <si>
    <r>
      <t>Column b</t>
    </r>
    <r>
      <rPr>
        <sz val="10"/>
        <rFont val="Times New Roman"/>
        <family val="1"/>
      </rPr>
      <t xml:space="preserve"> is the monthly transmission load for September, October, November and December as a percentage of the average of the monthly transmission load values for January through August, based on monthly load values in Worksheet A6.</t>
    </r>
  </si>
  <si>
    <r>
      <t>Column c</t>
    </r>
    <r>
      <rPr>
        <sz val="10"/>
        <rFont val="Times New Roman"/>
        <family val="1"/>
      </rPr>
      <t xml:space="preserve"> is average (January through August) of monthly transmission load in column e.</t>
    </r>
  </si>
  <si>
    <t xml:space="preserve">Projected Divisor </t>
  </si>
  <si>
    <t>P3-Divisor</t>
  </si>
  <si>
    <t xml:space="preserve">Actual Divisor </t>
  </si>
  <si>
    <t xml:space="preserve">This placeholder can only be populated upon an order by the Commission pursuant to a FPA Section 205 or 206 filing. If a transmission customer makes a FPA Section 206 filing seeking a Commission order requiring Black Hills Colorado to populate this line, Black Hills Colorado will bear the burden of proof to demonstrate why inclusion is not appropriate.  The applicable burden will be commensurate with that otherwise applicable in a FPA Section 205 filing. </t>
  </si>
  <si>
    <t>Lines 20 and 21 of column (b) identify revenues from Short-Term Firm Point to Point Transmission Service (“SFP”) and Non-Firm Transmission Service (“NF”) as those services are defined within, and required to be reported in, the FERC Form 1 at pages 328-330 (or as those page identifiers may be revised by the Commission from time to time). The revenues identified in this Worksheet A1, Lines 20 and 21 column (b) and aggregated at line 42 of column (b) of this Worksheet A1 are credited against the gross ATRR on Actual Attachment H, page 1, line 3.  To the extent, SFP or NF on the Black Hills Colorado transmission system was required in association with  Sales for Resale (as defined on the FERC Form 1 at pages 310-311 or as those page identifiers may be revised by the Commission from time to time), the SFP or NF revenue would be reported on the operative pages of the FERC Form 1, included in Lines 20 and 21 of this Worksheet A1 at column (b) and would be included in the revenue credit on Actual Attachment H, page 1, line 3.</t>
  </si>
  <si>
    <t>This placeholder can only be populated upon an order by the Commission pursuant to a FPA Section 205 or 206 filing. If a transmission customer makes a FPA Section 206 filing seeking a Commission order requiring Black Hills Colorado to populate this placeholder, Black Hills Colorado will bear the burden of proof to demonstrate why inclusion is not appropriate.  The applicable burden will be commensurate with that otherwise applicable in a FPA Section 205 filing</t>
  </si>
  <si>
    <t>Company populates the formula rate using projected costs for Year 3</t>
  </si>
  <si>
    <t xml:space="preserve">The TU (True-up) tab uses the revenue requirement from the Actual Attachment H tab and compares it to the revenue requirement from the Projected Attachment H tab that customers were billed for the same period. </t>
  </si>
  <si>
    <t xml:space="preserve">True-up Adjustment </t>
  </si>
  <si>
    <t>208.8.e, 205.5.g &amp; 207.99.g (Note K) Excluding ARO</t>
  </si>
  <si>
    <t>The list of accounts to be included as unfunded reserves is fixed and cannot be changed absent an FPA Section 205 or FPA 206 application and an accompanying FERC Order.  Input 100% of the 13 Month Average Balance in the Column entitled "Amount (12 Month Average Balance)" and use the wages and salaries allocator to determine the allocated amount to be used as an Unfunded Reserve Credit.</t>
  </si>
  <si>
    <t>Line 3 Col (f) + Col (e )</t>
  </si>
  <si>
    <t>Line 3 Col (h) + Col (g)</t>
  </si>
  <si>
    <t>(r )</t>
  </si>
  <si>
    <t>216.x.b</t>
  </si>
  <si>
    <t>216.x.d</t>
  </si>
  <si>
    <t>201.14.e, 219.28.c &amp; 200.21.c Excluding ARO</t>
  </si>
  <si>
    <t>Reserved for future use; will not be populated absent approval by FERC.</t>
  </si>
  <si>
    <t>Enter the Projected Revenue Requirement for the Actual period.</t>
  </si>
  <si>
    <t xml:space="preserve">Prior Period Adjustment, if any, is calculated to the same timing basis as balance of true up.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</si>
  <si>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2022</t>
  </si>
  <si>
    <t>182.3</t>
  </si>
  <si>
    <t>254</t>
  </si>
  <si>
    <t xml:space="preserve">2017
</t>
  </si>
  <si>
    <t xml:space="preserve">OTHER PLANT ALLOCATOR  (OE) </t>
  </si>
  <si>
    <t>OE</t>
  </si>
  <si>
    <t>Rental Income - Other</t>
  </si>
  <si>
    <t>201.8. e,f,g,h (Note K) Excluding ARO</t>
  </si>
  <si>
    <t>201.14.e,f,g,h (Note K) Excluding ARO</t>
  </si>
  <si>
    <t>The Tax Effect of a Permanent Difference captures the differences in the income taxes due under the Federal and State calculations and the income taxes calculated in Attachment H that are not the result of timing differences. Only equity AFUDC is includable as a permanent difference.</t>
  </si>
  <si>
    <t>Other Plant-Related Prepaid Items</t>
  </si>
  <si>
    <t>A credit will be provided only if the rent revenue received is associated with other or general plant otherwise included in the formula rate.</t>
  </si>
  <si>
    <t>Prepaid Items (allocated by Other Plant Allocator)</t>
  </si>
  <si>
    <t>Estimated - For the 12 months ended 12/31/2024</t>
  </si>
  <si>
    <t>Plant Balances as of Dec 31, 2022 &gt;</t>
  </si>
  <si>
    <t>Applies only to projects authorized by the Commission.  The source of the information is the Company Records. To the extent applicable, Black Hills Colorado will include initial input values and workpapers tied to Company Records in any Commission filing.</t>
  </si>
  <si>
    <t>Following the termination of the 3-year Moratorium set out in the Commission approved Settlement Agreement in Docket No. ER22-2185-000, the ROE input and the capital structure cannot be changed without an order by FERC pursuant to a FPA Section 205 or 206 filing.  The cost rate for the long-term debt will be derived with reference to the weighted average cost of Black Hills Colorado's long-term bond portfolio excluding two components: first mortgage bonds (indentures) held in the name of affiliate Black Hills Power, Inc. and first mortgage bonds (indentures) held in the name of affiliate Cheyenne Light, Fuel and Power Company.  Black Hills Colorado will not exclude any other component of Black Hills Corporation's long-term bond portfolio from its cost rate of long-term debt calculation without making a FPA Section 205 filing. The cost rate for long-term debt will be sourced from a workpaper.</t>
  </si>
  <si>
    <t>Actuals - For the 12 months ended 12/31/2024</t>
  </si>
  <si>
    <t>Severance</t>
  </si>
  <si>
    <t>Total Cost of Removal - DDIT</t>
  </si>
  <si>
    <t>Total Non-Protected Property - BHSC 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</si>
</sst>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8">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10">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
      <sz val="8"/>
      <name val="Arial MT"/>
    </font>
    <font>
      <sz val="11"/>
      <color theme="1"/>
      <name val="Calibri"/>
      <family val="2"/>
    </font>
    <font>
      <sz val="10"/>
      <name val="Arial Unicode MS"/>
      <family val="2"/>
    </font>
    <font>
      <b/>
      <sz val="10"/>
      <name val="Arial Unicode MS"/>
      <family val="2"/>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5200">
    <xf numFmtId="172" fontId="0" fillId="0" borderId="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0" fontId="10"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2" fillId="44"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38" fontId="34" fillId="0" borderId="0" applyBorder="0" applyAlignment="0"/>
    <xf numFmtId="175" fontId="30" fillId="53" borderId="16">
      <alignment horizontal="center" vertical="center"/>
    </xf>
    <xf numFmtId="176" fontId="10" fillId="0" borderId="17">
      <alignment horizontal="left"/>
    </xf>
    <xf numFmtId="0" fontId="35" fillId="0" borderId="0"/>
    <xf numFmtId="0" fontId="36" fillId="36" borderId="0" applyNumberFormat="0" applyBorder="0" applyAlignment="0" applyProtection="0"/>
    <xf numFmtId="0" fontId="37" fillId="0" borderId="0" applyNumberFormat="0" applyFill="0" applyBorder="0" applyAlignment="0" applyProtection="0"/>
    <xf numFmtId="177" fontId="38" fillId="0" borderId="1" applyNumberFormat="0" applyFill="0" applyAlignment="0" applyProtection="0">
      <alignment horizontal="center"/>
    </xf>
    <xf numFmtId="178" fontId="38" fillId="0" borderId="3" applyFill="0" applyAlignment="0" applyProtection="0">
      <alignment horizontal="center"/>
    </xf>
    <xf numFmtId="38" fontId="10" fillId="0" borderId="0">
      <alignment horizontal="right"/>
    </xf>
    <xf numFmtId="37" fontId="39" fillId="0" borderId="0" applyFill="0">
      <alignment horizontal="right"/>
    </xf>
    <xf numFmtId="37" fontId="39" fillId="0" borderId="0">
      <alignment horizontal="right"/>
    </xf>
    <xf numFmtId="0" fontId="39" fillId="0" borderId="0" applyFill="0">
      <alignment horizontal="center"/>
    </xf>
    <xf numFmtId="37" fontId="39" fillId="0" borderId="18" applyFill="0">
      <alignment horizontal="right"/>
    </xf>
    <xf numFmtId="37" fontId="39" fillId="0" borderId="0">
      <alignment horizontal="right"/>
    </xf>
    <xf numFmtId="0" fontId="40" fillId="0" borderId="0" applyFill="0">
      <alignment vertical="top"/>
    </xf>
    <xf numFmtId="0" fontId="41" fillId="0" borderId="0" applyFill="0">
      <alignment horizontal="left" vertical="top"/>
    </xf>
    <xf numFmtId="37" fontId="39" fillId="0" borderId="4" applyFill="0">
      <alignment horizontal="right"/>
    </xf>
    <xf numFmtId="0" fontId="10" fillId="0" borderId="0" applyNumberFormat="0" applyFont="0" applyAlignment="0"/>
    <xf numFmtId="0" fontId="40" fillId="0" borderId="0" applyFill="0">
      <alignment wrapText="1"/>
    </xf>
    <xf numFmtId="0" fontId="41"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3" fillId="0" borderId="0" applyFill="0">
      <alignment vertical="top" wrapText="1"/>
    </xf>
    <xf numFmtId="0" fontId="29"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4" fillId="0" borderId="0" applyFill="0">
      <alignment vertical="center" wrapText="1"/>
    </xf>
    <xf numFmtId="0" fontId="28" fillId="0" borderId="0">
      <alignment horizontal="left" vertical="center" wrapText="1"/>
    </xf>
    <xf numFmtId="37" fontId="39" fillId="0" borderId="0" applyFill="0">
      <alignment horizontal="right"/>
    </xf>
    <xf numFmtId="0" fontId="42" fillId="0" borderId="0" applyNumberFormat="0" applyFont="0" applyAlignment="0">
      <alignment horizontal="center"/>
    </xf>
    <xf numFmtId="0" fontId="45" fillId="0" borderId="0" applyFill="0">
      <alignment horizontal="center" vertical="center" wrapText="1"/>
    </xf>
    <xf numFmtId="0" fontId="10"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9" fillId="0" borderId="0">
      <alignment horizontal="center" wrapText="1"/>
    </xf>
    <xf numFmtId="0" fontId="50" fillId="0" borderId="0" applyFill="0">
      <alignment horizontal="center" wrapText="1"/>
    </xf>
    <xf numFmtId="0" fontId="51" fillId="54" borderId="19" applyNumberFormat="0" applyAlignment="0" applyProtection="0"/>
    <xf numFmtId="0" fontId="52" fillId="55" borderId="20" applyNumberFormat="0" applyAlignment="0" applyProtection="0"/>
    <xf numFmtId="179" fontId="31"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0" fontId="54" fillId="0" borderId="0"/>
    <xf numFmtId="44" fontId="10" fillId="0" borderId="0" applyFont="0" applyFill="0" applyBorder="0" applyAlignment="0" applyProtection="0"/>
    <xf numFmtId="180" fontId="10" fillId="0" borderId="17">
      <alignment horizontal="center"/>
    </xf>
    <xf numFmtId="181" fontId="55" fillId="0" borderId="0" applyFont="0" applyFill="0" applyBorder="0" applyAlignment="0" applyProtection="0"/>
    <xf numFmtId="0" fontId="56" fillId="0" borderId="0" applyNumberFormat="0" applyFill="0" applyBorder="0" applyAlignment="0" applyProtection="0"/>
    <xf numFmtId="182" fontId="10" fillId="0" borderId="0">
      <protection locked="0"/>
    </xf>
    <xf numFmtId="0" fontId="57" fillId="0" borderId="0"/>
    <xf numFmtId="0" fontId="58" fillId="0" borderId="0"/>
    <xf numFmtId="0" fontId="59" fillId="0" borderId="0"/>
    <xf numFmtId="0" fontId="60" fillId="37" borderId="0" applyNumberFormat="0" applyBorder="0" applyAlignment="0" applyProtection="0"/>
    <xf numFmtId="38" fontId="39" fillId="56" borderId="0" applyNumberFormat="0" applyBorder="0" applyAlignment="0" applyProtection="0"/>
    <xf numFmtId="0" fontId="61" fillId="0" borderId="0" applyNumberFormat="0" applyFill="0" applyBorder="0" applyAlignment="0" applyProtection="0"/>
    <xf numFmtId="0" fontId="29" fillId="0" borderId="21" applyNumberFormat="0" applyAlignment="0" applyProtection="0">
      <alignment horizontal="left" vertical="center"/>
    </xf>
    <xf numFmtId="0" fontId="29" fillId="0" borderId="15">
      <alignment horizontal="left" vertical="center"/>
    </xf>
    <xf numFmtId="0" fontId="62" fillId="0" borderId="0">
      <alignment horizontal="center"/>
    </xf>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183" fontId="10" fillId="0" borderId="0">
      <protection locked="0"/>
    </xf>
    <xf numFmtId="183" fontId="10" fillId="0" borderId="0">
      <protection locked="0"/>
    </xf>
    <xf numFmtId="0" fontId="66" fillId="0" borderId="25" applyNumberFormat="0" applyFill="0" applyAlignment="0" applyProtection="0"/>
    <xf numFmtId="10" fontId="39" fillId="57" borderId="17" applyNumberFormat="0" applyBorder="0" applyAlignment="0" applyProtection="0"/>
    <xf numFmtId="0" fontId="67" fillId="40" borderId="19" applyNumberFormat="0" applyAlignment="0" applyProtection="0"/>
    <xf numFmtId="0" fontId="39" fillId="56" borderId="0"/>
    <xf numFmtId="0" fontId="68" fillId="0" borderId="26" applyNumberFormat="0" applyFill="0" applyAlignment="0" applyProtection="0"/>
    <xf numFmtId="184" fontId="10" fillId="0" borderId="17">
      <alignment horizontal="center"/>
    </xf>
    <xf numFmtId="185" fontId="69" fillId="0" borderId="0"/>
    <xf numFmtId="17" fontId="70" fillId="0" borderId="0">
      <alignment horizontal="center"/>
    </xf>
    <xf numFmtId="186" fontId="10" fillId="0" borderId="0" applyFont="0" applyFill="0" applyBorder="0" applyAlignment="0" applyProtection="0"/>
    <xf numFmtId="187" fontId="10" fillId="0" borderId="0" applyFont="0" applyFill="0" applyBorder="0" applyAlignment="0" applyProtection="0"/>
    <xf numFmtId="0" fontId="71" fillId="58" borderId="0" applyNumberFormat="0" applyBorder="0" applyAlignment="0" applyProtection="0"/>
    <xf numFmtId="43" fontId="72" fillId="0" borderId="0" applyNumberFormat="0" applyFill="0" applyBorder="0" applyAlignment="0" applyProtection="0"/>
    <xf numFmtId="0" fontId="38" fillId="0" borderId="0" applyNumberFormat="0" applyFill="0" applyAlignment="0" applyProtection="0"/>
    <xf numFmtId="37" fontId="73" fillId="0" borderId="0"/>
    <xf numFmtId="188" fontId="74" fillId="0" borderId="0"/>
    <xf numFmtId="172" fontId="11" fillId="0" borderId="0" applyProtection="0"/>
    <xf numFmtId="0" fontId="10" fillId="0" borderId="0"/>
    <xf numFmtId="0" fontId="8" fillId="0" borderId="0"/>
    <xf numFmtId="0" fontId="53" fillId="0" borderId="0"/>
    <xf numFmtId="0" fontId="10" fillId="0" borderId="17">
      <alignment horizontal="center" wrapText="1"/>
    </xf>
    <xf numFmtId="2" fontId="10" fillId="0" borderId="17">
      <alignment horizontal="center"/>
    </xf>
    <xf numFmtId="189" fontId="75" fillId="0" borderId="17" applyFont="0">
      <alignment horizontal="center"/>
    </xf>
    <xf numFmtId="0" fontId="10" fillId="59" borderId="27" applyNumberFormat="0" applyFont="0" applyAlignment="0" applyProtection="0"/>
    <xf numFmtId="1" fontId="10" fillId="0" borderId="17">
      <alignment horizontal="center"/>
    </xf>
    <xf numFmtId="0" fontId="76" fillId="54" borderId="28" applyNumberFormat="0" applyAlignment="0" applyProtection="0"/>
    <xf numFmtId="10" fontId="10"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77" fillId="0" borderId="1">
      <alignment horizontal="center"/>
    </xf>
    <xf numFmtId="3" fontId="31" fillId="0" borderId="0" applyFont="0" applyFill="0" applyBorder="0" applyAlignment="0" applyProtection="0"/>
    <xf numFmtId="0" fontId="31" fillId="60" borderId="0" applyNumberFormat="0" applyFont="0" applyBorder="0" applyAlignment="0" applyProtection="0"/>
    <xf numFmtId="37" fontId="39" fillId="56" borderId="0" applyFill="0">
      <alignment horizontal="right"/>
    </xf>
    <xf numFmtId="0" fontId="46" fillId="0" borderId="0">
      <alignment horizontal="left"/>
    </xf>
    <xf numFmtId="0" fontId="39" fillId="0" borderId="0" applyFill="0">
      <alignment horizontal="left"/>
    </xf>
    <xf numFmtId="37" fontId="39" fillId="0" borderId="3" applyFill="0">
      <alignment horizontal="right"/>
    </xf>
    <xf numFmtId="0" fontId="75" fillId="0" borderId="17" applyNumberFormat="0" applyFont="0" applyBorder="0">
      <alignment horizontal="right"/>
    </xf>
    <xf numFmtId="0" fontId="78" fillId="0" borderId="0" applyFill="0"/>
    <xf numFmtId="0" fontId="39" fillId="0" borderId="0" applyFill="0">
      <alignment horizontal="left"/>
    </xf>
    <xf numFmtId="190" fontId="39" fillId="0" borderId="3" applyFill="0">
      <alignment horizontal="right"/>
    </xf>
    <xf numFmtId="0" fontId="10" fillId="0" borderId="0" applyNumberFormat="0" applyFont="0" applyBorder="0" applyAlignment="0"/>
    <xf numFmtId="0" fontId="43" fillId="0" borderId="0" applyFill="0">
      <alignment horizontal="left" indent="1"/>
    </xf>
    <xf numFmtId="0" fontId="46" fillId="0" borderId="0" applyFill="0">
      <alignment horizontal="left"/>
    </xf>
    <xf numFmtId="37" fontId="39" fillId="0" borderId="0" applyFill="0">
      <alignment horizontal="right"/>
    </xf>
    <xf numFmtId="0" fontId="10" fillId="0" borderId="0" applyNumberFormat="0" applyFont="0" applyFill="0" applyBorder="0" applyAlignment="0"/>
    <xf numFmtId="0" fontId="43" fillId="0" borderId="0" applyFill="0">
      <alignment horizontal="left" indent="2"/>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79" fillId="0" borderId="0">
      <alignment horizontal="left" indent="3"/>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45" fillId="0" borderId="0">
      <alignment horizontal="left" indent="4"/>
    </xf>
    <xf numFmtId="0" fontId="39" fillId="0" borderId="0" applyFill="0">
      <alignment horizontal="left"/>
    </xf>
    <xf numFmtId="37" fontId="46" fillId="0" borderId="0" applyFill="0">
      <alignment horizontal="right"/>
    </xf>
    <xf numFmtId="0" fontId="10" fillId="0" borderId="0" applyNumberFormat="0" applyFont="0" applyBorder="0" applyAlignment="0"/>
    <xf numFmtId="0" fontId="47" fillId="0" borderId="0">
      <alignment horizontal="left" indent="5"/>
    </xf>
    <xf numFmtId="0" fontId="46" fillId="0" borderId="0" applyFill="0">
      <alignment horizontal="left"/>
    </xf>
    <xf numFmtId="37" fontId="46" fillId="0" borderId="0" applyFill="0">
      <alignment horizontal="right"/>
    </xf>
    <xf numFmtId="0" fontId="10" fillId="0" borderId="0" applyNumberFormat="0" applyFont="0" applyFill="0" applyBorder="0" applyAlignment="0"/>
    <xf numFmtId="0" fontId="49" fillId="0" borderId="0" applyFill="0">
      <alignment horizontal="left" indent="6"/>
    </xf>
    <xf numFmtId="0" fontId="46" fillId="0" borderId="0" applyFill="0">
      <alignment horizontal="left"/>
    </xf>
    <xf numFmtId="38" fontId="80" fillId="2" borderId="3">
      <alignment horizontal="right"/>
    </xf>
    <xf numFmtId="38" fontId="10" fillId="61" borderId="0" applyNumberFormat="0" applyFont="0" applyBorder="0" applyAlignment="0" applyProtection="0"/>
    <xf numFmtId="0" fontId="81" fillId="0" borderId="0" applyNumberFormat="0" applyAlignment="0">
      <alignment horizontal="centerContinuous"/>
    </xf>
    <xf numFmtId="0" fontId="38" fillId="0" borderId="3" applyNumberFormat="0" applyFill="0" applyAlignment="0" applyProtection="0"/>
    <xf numFmtId="37" fontId="82" fillId="0" borderId="0" applyNumberFormat="0">
      <alignment horizontal="left"/>
    </xf>
    <xf numFmtId="191" fontId="10" fillId="0" borderId="17">
      <alignment horizontal="center" wrapText="1"/>
    </xf>
    <xf numFmtId="38" fontId="31" fillId="0" borderId="0" applyFont="0" applyFill="0" applyBorder="0" applyAlignment="0" applyProtection="0"/>
    <xf numFmtId="38" fontId="31" fillId="0" borderId="0" applyFont="0" applyFill="0" applyBorder="0" applyAlignment="0" applyProtection="0"/>
    <xf numFmtId="0" fontId="10" fillId="0" borderId="0" applyNumberFormat="0" applyFill="0" applyBorder="0" applyProtection="0">
      <alignment horizontal="right" wrapText="1"/>
    </xf>
    <xf numFmtId="192" fontId="10" fillId="0" borderId="0" applyFill="0" applyBorder="0" applyAlignment="0" applyProtection="0">
      <alignment wrapText="1"/>
    </xf>
    <xf numFmtId="37" fontId="83" fillId="0" borderId="0" applyNumberFormat="0">
      <alignment horizontal="left"/>
    </xf>
    <xf numFmtId="37" fontId="84" fillId="0" borderId="0" applyNumberFormat="0">
      <alignment horizontal="left"/>
    </xf>
    <xf numFmtId="37" fontId="85" fillId="0" borderId="0" applyNumberFormat="0">
      <alignment horizontal="left"/>
    </xf>
    <xf numFmtId="185" fontId="86" fillId="0" borderId="0"/>
    <xf numFmtId="40" fontId="87" fillId="0" borderId="0"/>
    <xf numFmtId="0" fontId="88" fillId="0" borderId="0" applyNumberFormat="0" applyFill="0" applyBorder="0" applyAlignment="0" applyProtection="0"/>
    <xf numFmtId="0" fontId="89" fillId="0" borderId="29" applyNumberFormat="0" applyFill="0" applyAlignment="0" applyProtection="0"/>
    <xf numFmtId="37" fontId="39" fillId="2" borderId="0" applyNumberFormat="0" applyBorder="0" applyAlignment="0" applyProtection="0"/>
    <xf numFmtId="37" fontId="39" fillId="0" borderId="0"/>
    <xf numFmtId="3" fontId="90" fillId="0" borderId="25" applyProtection="0"/>
    <xf numFmtId="0" fontId="91"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2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92"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3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1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92" fillId="2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93"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93"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93"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93"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94"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95" fillId="8"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96"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9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99"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1"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6"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5" fillId="0" borderId="7"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6" fillId="0" borderId="0" applyNumberFormat="0" applyFill="0" applyBorder="0" applyAlignment="0" applyProtection="0">
      <alignment vertical="top"/>
      <protection locked="0"/>
    </xf>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107" fillId="7"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108"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9"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8" fillId="0" borderId="0"/>
    <xf numFmtId="0" fontId="8" fillId="0" borderId="0"/>
    <xf numFmtId="0" fontId="8" fillId="0" borderId="0"/>
    <xf numFmtId="0" fontId="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92" fillId="10" borderId="12"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111" fillId="8"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113"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1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11" fillId="0" borderId="0" applyProtection="0"/>
    <xf numFmtId="0" fontId="30" fillId="0" borderId="0"/>
    <xf numFmtId="0" fontId="10" fillId="0" borderId="0"/>
    <xf numFmtId="194" fontId="10" fillId="65" borderId="0" applyNumberFormat="0" applyFill="0" applyBorder="0" applyAlignment="0" applyProtection="0">
      <alignment horizontal="right" vertical="center"/>
    </xf>
    <xf numFmtId="194" fontId="66" fillId="0" borderId="0" applyNumberFormat="0" applyFill="0" applyBorder="0" applyAlignment="0" applyProtection="0"/>
    <xf numFmtId="0" fontId="10" fillId="0" borderId="3" applyNumberFormat="0" applyFont="0" applyFill="0" applyAlignment="0" applyProtection="0"/>
    <xf numFmtId="195" fontId="9" fillId="0" borderId="0" applyFont="0" applyFill="0" applyBorder="0" applyAlignment="0" applyProtection="0"/>
    <xf numFmtId="37" fontId="115" fillId="0" borderId="0" applyFont="0" applyFill="0" applyBorder="0" applyAlignment="0" applyProtection="0">
      <alignment vertical="center"/>
      <protection locked="0"/>
    </xf>
    <xf numFmtId="196" fontId="30" fillId="0" borderId="0" applyFont="0" applyFill="0" applyBorder="0" applyAlignment="0" applyProtection="0"/>
    <xf numFmtId="0" fontId="116" fillId="0" borderId="0"/>
    <xf numFmtId="0" fontId="10" fillId="0" borderId="0" applyFill="0">
      <alignment horizontal="center" vertical="center" wrapText="1"/>
    </xf>
    <xf numFmtId="185" fontId="117" fillId="0" borderId="0" applyFont="0" applyFill="0" applyBorder="0" applyAlignment="0" applyProtection="0">
      <protection locked="0"/>
    </xf>
    <xf numFmtId="197" fontId="117" fillId="0" borderId="0" applyFont="0" applyFill="0" applyBorder="0" applyAlignment="0" applyProtection="0">
      <protection locked="0"/>
    </xf>
    <xf numFmtId="39" fontId="10" fillId="0" borderId="0" applyFont="0" applyFill="0" applyBorder="0" applyAlignment="0" applyProtection="0"/>
    <xf numFmtId="198" fontId="118" fillId="0" borderId="0" applyFont="0" applyFill="0" applyBorder="0" applyAlignment="0" applyProtection="0"/>
    <xf numFmtId="199" fontId="30" fillId="0" borderId="0" applyFont="0" applyFill="0" applyBorder="0" applyAlignment="0" applyProtection="0"/>
    <xf numFmtId="0" fontId="10" fillId="0" borderId="3" applyNumberFormat="0" applyFont="0" applyFill="0" applyBorder="0" applyProtection="0">
      <alignment horizontal="centerContinuous" vertical="center"/>
    </xf>
    <xf numFmtId="0" fontId="119" fillId="0" borderId="0" applyFill="0" applyBorder="0" applyProtection="0">
      <alignment horizontal="center"/>
      <protection locked="0"/>
    </xf>
    <xf numFmtId="41" fontId="92" fillId="0" borderId="0" applyFont="0" applyFill="0" applyBorder="0" applyAlignment="0" applyProtection="0"/>
    <xf numFmtId="41" fontId="8" fillId="0" borderId="0" applyFont="0" applyFill="0" applyBorder="0" applyAlignment="0" applyProtection="0"/>
    <xf numFmtId="200" fontId="38" fillId="0" borderId="0" applyFont="0" applyFill="0" applyBorder="0" applyAlignment="0" applyProtection="0"/>
    <xf numFmtId="201" fontId="120" fillId="0" borderId="0" applyFont="0" applyFill="0" applyBorder="0" applyAlignment="0" applyProtection="0"/>
    <xf numFmtId="202" fontId="120" fillId="0" borderId="0" applyFont="0" applyFill="0" applyBorder="0" applyAlignment="0" applyProtection="0"/>
    <xf numFmtId="203" fontId="121" fillId="0" borderId="0" applyFont="0" applyFill="0" applyBorder="0" applyAlignment="0" applyProtection="0">
      <protection locked="0"/>
    </xf>
    <xf numFmtId="3" fontId="10" fillId="0" borderId="0" applyFont="0" applyFill="0" applyBorder="0" applyAlignment="0" applyProtection="0"/>
    <xf numFmtId="0" fontId="41" fillId="0" borderId="0" applyFill="0" applyBorder="0" applyAlignment="0" applyProtection="0">
      <protection locked="0"/>
    </xf>
    <xf numFmtId="0" fontId="10" fillId="0" borderId="35"/>
    <xf numFmtId="204" fontId="120" fillId="0" borderId="0" applyFont="0" applyFill="0" applyBorder="0" applyAlignment="0" applyProtection="0"/>
    <xf numFmtId="205" fontId="120" fillId="0" borderId="0" applyFont="0" applyFill="0" applyBorder="0" applyAlignment="0" applyProtection="0"/>
    <xf numFmtId="206" fontId="120" fillId="0" borderId="0" applyFont="0" applyFill="0" applyBorder="0" applyAlignment="0" applyProtection="0"/>
    <xf numFmtId="207" fontId="121" fillId="0" borderId="0" applyFont="0" applyFill="0" applyBorder="0" applyAlignment="0" applyProtection="0">
      <protection locked="0"/>
    </xf>
    <xf numFmtId="5" fontId="10" fillId="0" borderId="0" applyFont="0" applyFill="0" applyBorder="0" applyAlignment="0" applyProtection="0"/>
    <xf numFmtId="5" fontId="10" fillId="0" borderId="0" applyFont="0" applyFill="0" applyBorder="0" applyAlignment="0" applyProtection="0"/>
    <xf numFmtId="208" fontId="30" fillId="0" borderId="0" applyFont="0" applyFill="0" applyBorder="0" applyAlignment="0" applyProtection="0"/>
    <xf numFmtId="209" fontId="10" fillId="0" borderId="0" applyFont="0" applyFill="0" applyBorder="0" applyAlignment="0" applyProtection="0"/>
    <xf numFmtId="210" fontId="117" fillId="0" borderId="0" applyFont="0" applyFill="0" applyBorder="0" applyAlignment="0" applyProtection="0">
      <protection locked="0"/>
    </xf>
    <xf numFmtId="7" fontId="39" fillId="0" borderId="0" applyFont="0" applyFill="0" applyBorder="0" applyAlignment="0" applyProtection="0"/>
    <xf numFmtId="211" fontId="118" fillId="0" borderId="0" applyFont="0" applyFill="0" applyBorder="0" applyAlignment="0" applyProtection="0"/>
    <xf numFmtId="212" fontId="122" fillId="0" borderId="0" applyFont="0" applyFill="0" applyBorder="0" applyAlignment="0" applyProtection="0"/>
    <xf numFmtId="0" fontId="123" fillId="66" borderId="36" applyNumberFormat="0" applyFont="0" applyFill="0" applyAlignment="0" applyProtection="0">
      <alignment horizontal="left" indent="1"/>
    </xf>
    <xf numFmtId="5" fontId="124" fillId="0" borderId="0" applyBorder="0"/>
    <xf numFmtId="209" fontId="124" fillId="0" borderId="0" applyBorder="0"/>
    <xf numFmtId="7" fontId="124" fillId="0" borderId="0" applyBorder="0"/>
    <xf numFmtId="37" fontId="124" fillId="0" borderId="0" applyBorder="0"/>
    <xf numFmtId="185" fontId="124" fillId="0" borderId="0" applyBorder="0"/>
    <xf numFmtId="213" fontId="124" fillId="0" borderId="0" applyBorder="0"/>
    <xf numFmtId="39" fontId="124" fillId="0" borderId="0" applyBorder="0"/>
    <xf numFmtId="214" fontId="124" fillId="0" borderId="0" applyBorder="0"/>
    <xf numFmtId="7" fontId="10" fillId="0" borderId="0" applyFont="0" applyFill="0" applyBorder="0" applyAlignment="0" applyProtection="0"/>
    <xf numFmtId="215" fontId="30" fillId="0" borderId="0" applyFont="0" applyFill="0" applyBorder="0" applyAlignment="0" applyProtection="0"/>
    <xf numFmtId="216" fontId="30" fillId="0" borderId="0" applyFont="0" applyFill="0" applyAlignment="0" applyProtection="0"/>
    <xf numFmtId="215" fontId="30" fillId="0" borderId="0" applyFont="0" applyFill="0" applyBorder="0" applyAlignment="0" applyProtection="0"/>
    <xf numFmtId="185" fontId="125" fillId="0" borderId="0" applyNumberFormat="0" applyFill="0" applyBorder="0" applyAlignment="0" applyProtection="0"/>
    <xf numFmtId="0" fontId="39" fillId="0" borderId="0" applyFont="0" applyFill="0" applyBorder="0" applyAlignment="0" applyProtection="0"/>
    <xf numFmtId="0" fontId="125" fillId="0" borderId="0" applyNumberFormat="0" applyFill="0" applyBorder="0" applyAlignment="0" applyProtection="0"/>
    <xf numFmtId="0" fontId="119" fillId="0" borderId="0" applyFill="0" applyAlignment="0" applyProtection="0">
      <protection locked="0"/>
    </xf>
    <xf numFmtId="0" fontId="119" fillId="0" borderId="3" applyFill="0" applyAlignment="0" applyProtection="0">
      <protection locked="0"/>
    </xf>
    <xf numFmtId="0" fontId="126" fillId="0" borderId="3" applyNumberFormat="0" applyFill="0" applyAlignment="0" applyProtection="0"/>
    <xf numFmtId="0" fontId="127" fillId="62" borderId="17" applyNumberFormat="0" applyAlignment="0" applyProtection="0"/>
    <xf numFmtId="5" fontId="128" fillId="0" borderId="0" applyBorder="0"/>
    <xf numFmtId="209" fontId="128" fillId="0" borderId="0" applyBorder="0"/>
    <xf numFmtId="7" fontId="128" fillId="0" borderId="0" applyBorder="0"/>
    <xf numFmtId="37" fontId="128" fillId="0" borderId="0" applyBorder="0"/>
    <xf numFmtId="185" fontId="128" fillId="0" borderId="0" applyBorder="0"/>
    <xf numFmtId="213" fontId="128" fillId="0" borderId="0" applyBorder="0"/>
    <xf numFmtId="39" fontId="128" fillId="0" borderId="0" applyBorder="0"/>
    <xf numFmtId="214" fontId="128" fillId="0" borderId="0" applyBorder="0"/>
    <xf numFmtId="0" fontId="129" fillId="0" borderId="37" applyNumberFormat="0" applyFont="0" applyFill="0" applyAlignment="0" applyProtection="0"/>
    <xf numFmtId="217" fontId="10" fillId="0" borderId="0" applyFont="0" applyFill="0" applyBorder="0" applyAlignment="0" applyProtection="0"/>
    <xf numFmtId="218"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0" fontId="10" fillId="0" borderId="0"/>
    <xf numFmtId="222" fontId="10" fillId="0" borderId="0" applyFont="0" applyFill="0" applyBorder="0" applyAlignment="0" applyProtection="0"/>
    <xf numFmtId="223" fontId="97" fillId="67" borderId="0" applyFont="0" applyFill="0" applyBorder="0" applyAlignment="0" applyProtection="0"/>
    <xf numFmtId="224" fontId="97" fillId="67" borderId="0" applyFont="0" applyFill="0" applyBorder="0" applyAlignment="0" applyProtection="0"/>
    <xf numFmtId="225" fontId="10" fillId="0" borderId="0" applyFont="0" applyFill="0" applyBorder="0" applyAlignment="0" applyProtection="0"/>
    <xf numFmtId="226" fontId="120" fillId="0" borderId="0" applyFont="0" applyFill="0" applyBorder="0" applyAlignment="0" applyProtection="0"/>
    <xf numFmtId="227" fontId="38" fillId="0" borderId="0" applyFont="0" applyFill="0" applyBorder="0" applyAlignment="0" applyProtection="0"/>
    <xf numFmtId="228" fontId="10" fillId="0" borderId="0" applyFont="0" applyFill="0" applyBorder="0" applyAlignment="0" applyProtection="0"/>
    <xf numFmtId="229" fontId="120" fillId="0" borderId="0" applyFont="0" applyFill="0" applyBorder="0" applyAlignment="0" applyProtection="0"/>
    <xf numFmtId="230" fontId="38" fillId="0" borderId="0" applyFont="0" applyFill="0" applyBorder="0" applyAlignment="0" applyProtection="0"/>
    <xf numFmtId="231" fontId="120" fillId="0" borderId="0" applyFont="0" applyFill="0" applyBorder="0" applyAlignment="0" applyProtection="0"/>
    <xf numFmtId="232" fontId="38" fillId="0" borderId="0" applyFont="0" applyFill="0" applyBorder="0" applyAlignment="0" applyProtection="0"/>
    <xf numFmtId="233" fontId="120" fillId="0" borderId="0" applyFont="0" applyFill="0" applyBorder="0" applyAlignment="0" applyProtection="0"/>
    <xf numFmtId="234" fontId="38" fillId="0" borderId="0" applyFont="0" applyFill="0" applyBorder="0" applyAlignment="0" applyProtection="0"/>
    <xf numFmtId="235" fontId="121" fillId="0" borderId="0" applyFont="0" applyFill="0" applyBorder="0" applyAlignment="0" applyProtection="0">
      <protection locked="0"/>
    </xf>
    <xf numFmtId="236" fontId="38"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92" fillId="0" borderId="0" applyFont="0" applyFill="0" applyBorder="0" applyAlignment="0" applyProtection="0"/>
    <xf numFmtId="9" fontId="8" fillId="0" borderId="0" applyFont="0" applyFill="0" applyBorder="0" applyAlignment="0" applyProtection="0"/>
    <xf numFmtId="9" fontId="124" fillId="0" borderId="0" applyBorder="0"/>
    <xf numFmtId="237" fontId="124" fillId="0" borderId="0" applyBorder="0"/>
    <xf numFmtId="10" fontId="124" fillId="0" borderId="0" applyBorder="0"/>
    <xf numFmtId="3" fontId="10" fillId="0" borderId="0">
      <alignment horizontal="left" vertical="top"/>
    </xf>
    <xf numFmtId="3" fontId="10" fillId="0" borderId="0">
      <alignment horizontal="right" vertical="top"/>
    </xf>
    <xf numFmtId="0" fontId="10" fillId="0" borderId="0" applyFill="0">
      <alignment horizontal="left" indent="4"/>
    </xf>
    <xf numFmtId="0" fontId="129" fillId="0" borderId="38" applyNumberFormat="0" applyFont="0" applyFill="0" applyAlignment="0" applyProtection="0"/>
    <xf numFmtId="0" fontId="130" fillId="0" borderId="0" applyNumberFormat="0" applyFill="0" applyBorder="0" applyAlignment="0" applyProtection="0"/>
    <xf numFmtId="0" fontId="131" fillId="0" borderId="0"/>
    <xf numFmtId="0" fontId="41" fillId="68" borderId="0"/>
    <xf numFmtId="0" fontId="10" fillId="56" borderId="35" applyNumberFormat="0" applyFont="0" applyAlignment="0"/>
    <xf numFmtId="0" fontId="129" fillId="66" borderId="0" applyNumberFormat="0" applyFont="0" applyBorder="0" applyAlignment="0" applyProtection="0"/>
    <xf numFmtId="223" fontId="132" fillId="0" borderId="15" applyNumberFormat="0" applyFont="0" applyFill="0" applyAlignment="0" applyProtection="0"/>
    <xf numFmtId="0" fontId="133" fillId="0" borderId="0" applyFill="0" applyBorder="0" applyProtection="0">
      <alignment horizontal="left" vertical="top"/>
    </xf>
    <xf numFmtId="0" fontId="10" fillId="0" borderId="4" applyNumberFormat="0" applyFont="0" applyFill="0" applyAlignment="0" applyProtection="0"/>
    <xf numFmtId="0" fontId="134" fillId="0" borderId="0" applyNumberFormat="0" applyFill="0" applyBorder="0" applyAlignment="0" applyProtection="0"/>
    <xf numFmtId="238" fontId="38" fillId="0" borderId="0" applyFont="0" applyFill="0" applyBorder="0" applyAlignment="0" applyProtection="0"/>
    <xf numFmtId="239" fontId="38" fillId="0" borderId="0" applyFont="0" applyFill="0" applyBorder="0" applyAlignment="0" applyProtection="0"/>
    <xf numFmtId="240" fontId="38" fillId="0" borderId="0" applyFont="0" applyFill="0" applyBorder="0" applyAlignment="0" applyProtection="0"/>
    <xf numFmtId="241" fontId="38" fillId="0" borderId="0" applyFont="0" applyFill="0" applyBorder="0" applyAlignment="0" applyProtection="0"/>
    <xf numFmtId="242" fontId="38" fillId="0" borderId="0" applyFont="0" applyFill="0" applyBorder="0" applyAlignment="0" applyProtection="0"/>
    <xf numFmtId="243" fontId="38" fillId="0" borderId="0" applyFont="0" applyFill="0" applyBorder="0" applyAlignment="0" applyProtection="0"/>
    <xf numFmtId="244" fontId="38" fillId="0" borderId="0" applyFont="0" applyFill="0" applyBorder="0" applyAlignment="0" applyProtection="0"/>
    <xf numFmtId="245" fontId="38" fillId="0" borderId="0" applyFont="0" applyFill="0" applyBorder="0" applyAlignment="0" applyProtection="0"/>
    <xf numFmtId="246" fontId="135" fillId="66" borderId="39" applyFont="0" applyFill="0" applyBorder="0" applyAlignment="0" applyProtection="0"/>
    <xf numFmtId="246" fontId="30" fillId="0" borderId="0" applyFont="0" applyFill="0" applyBorder="0" applyAlignment="0" applyProtection="0"/>
    <xf numFmtId="247" fontId="118" fillId="0" borderId="0" applyFont="0" applyFill="0" applyBorder="0" applyAlignment="0" applyProtection="0"/>
    <xf numFmtId="248" fontId="122" fillId="0" borderId="15" applyFont="0" applyFill="0" applyBorder="0" applyAlignment="0" applyProtection="0">
      <alignment horizontal="right"/>
      <protection locked="0"/>
    </xf>
    <xf numFmtId="0" fontId="55" fillId="0" borderId="0">
      <alignment vertical="top"/>
    </xf>
    <xf numFmtId="0" fontId="136" fillId="0" borderId="0"/>
    <xf numFmtId="0" fontId="10" fillId="0" borderId="0" applyNumberFormat="0" applyFill="0" applyBorder="0" applyAlignment="0" applyProtection="0"/>
    <xf numFmtId="0" fontId="10" fillId="0" borderId="0" applyNumberFormat="0" applyFill="0" applyBorder="0" applyAlignment="0" applyProtection="0"/>
    <xf numFmtId="175" fontId="30" fillId="53" borderId="16">
      <alignment horizontal="center" vertical="center"/>
    </xf>
    <xf numFmtId="0" fontId="137" fillId="0" borderId="0" applyNumberFormat="0" applyFont="0" applyFill="0" applyBorder="0" applyProtection="0">
      <alignment vertical="top" wrapText="1"/>
    </xf>
    <xf numFmtId="0" fontId="75" fillId="2" borderId="0" applyNumberFormat="0" applyFont="0" applyAlignment="0">
      <alignment vertical="top"/>
    </xf>
    <xf numFmtId="0" fontId="10" fillId="2" borderId="0" applyNumberFormat="0" applyFont="0" applyAlignment="0">
      <alignment vertical="top" wrapText="1"/>
    </xf>
    <xf numFmtId="249" fontId="133" fillId="0" borderId="37" applyNumberFormat="0" applyFill="0" applyBorder="0" applyAlignment="0" applyProtection="0">
      <alignment horizontal="center"/>
    </xf>
    <xf numFmtId="0" fontId="138" fillId="0" borderId="0"/>
    <xf numFmtId="250" fontId="139" fillId="0" borderId="0">
      <alignment horizontal="center" wrapText="1"/>
    </xf>
    <xf numFmtId="251" fontId="140" fillId="0" borderId="0" applyFont="0" applyFill="0" applyBorder="0" applyAlignment="0" applyProtection="0">
      <alignment vertical="center"/>
    </xf>
    <xf numFmtId="4" fontId="141" fillId="0" borderId="4" applyFont="0" applyFill="0" applyBorder="0" applyAlignment="0">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8" fontId="39" fillId="0" borderId="0">
      <alignment horizontal="right"/>
    </xf>
    <xf numFmtId="252" fontId="137" fillId="0" borderId="0" applyFont="0" applyFill="0" applyBorder="0" applyAlignment="0" applyProtection="0"/>
    <xf numFmtId="0" fontId="142" fillId="0" borderId="0"/>
    <xf numFmtId="253" fontId="143" fillId="0" borderId="0">
      <protection locked="0"/>
    </xf>
    <xf numFmtId="171" fontId="30" fillId="0" borderId="0" applyFont="0" applyFill="0" applyBorder="0" applyAlignment="0" applyProtection="0"/>
    <xf numFmtId="171" fontId="30" fillId="0" borderId="0" applyFont="0" applyFill="0" applyBorder="0" applyAlignment="0" applyProtection="0"/>
    <xf numFmtId="4" fontId="30" fillId="0" borderId="0" applyFont="0" applyFill="0" applyBorder="0" applyAlignment="0" applyProtection="0"/>
    <xf numFmtId="4" fontId="30" fillId="0" borderId="0" applyFont="0" applyFill="0" applyBorder="0" applyAlignment="0" applyProtection="0"/>
    <xf numFmtId="4" fontId="135" fillId="0" borderId="0"/>
    <xf numFmtId="254" fontId="28" fillId="0" borderId="0">
      <protection locked="0"/>
    </xf>
    <xf numFmtId="44" fontId="140" fillId="0" borderId="0" applyFont="0" applyFill="0" applyBorder="0" applyAlignment="0" applyProtection="0"/>
    <xf numFmtId="255" fontId="14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256" fontId="10" fillId="0" borderId="0" applyFont="0" applyFill="0" applyBorder="0" applyAlignment="0" applyProtection="0">
      <alignment wrapText="1"/>
    </xf>
    <xf numFmtId="256" fontId="10" fillId="0" borderId="0" applyFont="0" applyFill="0" applyBorder="0" applyAlignment="0" applyProtection="0">
      <alignment wrapText="1"/>
    </xf>
    <xf numFmtId="16" fontId="39" fillId="0" borderId="0">
      <alignment horizontal="right"/>
    </xf>
    <xf numFmtId="15" fontId="39" fillId="0" borderId="0">
      <alignment horizontal="right"/>
    </xf>
    <xf numFmtId="257" fontId="9" fillId="0" borderId="0"/>
    <xf numFmtId="182" fontId="10" fillId="0" borderId="0">
      <protection locked="0"/>
    </xf>
    <xf numFmtId="182" fontId="10" fillId="0" borderId="0">
      <protection locked="0"/>
    </xf>
    <xf numFmtId="0" fontId="144" fillId="0" borderId="0" applyNumberFormat="0" applyFill="0" applyBorder="0" applyAlignment="0" applyProtection="0"/>
    <xf numFmtId="38" fontId="39" fillId="56" borderId="0" applyNumberFormat="0" applyBorder="0" applyAlignment="0" applyProtection="0"/>
    <xf numFmtId="183" fontId="10" fillId="0" borderId="0">
      <protection locked="0"/>
    </xf>
    <xf numFmtId="183" fontId="10" fillId="0" borderId="0">
      <protection locked="0"/>
    </xf>
    <xf numFmtId="183" fontId="10" fillId="0" borderId="0">
      <protection locked="0"/>
    </xf>
    <xf numFmtId="183" fontId="10" fillId="0" borderId="0">
      <protection locked="0"/>
    </xf>
    <xf numFmtId="10" fontId="39" fillId="57" borderId="17" applyNumberFormat="0" applyBorder="0" applyAlignment="0" applyProtection="0"/>
    <xf numFmtId="258" fontId="28" fillId="0" borderId="0">
      <alignment horizontal="center"/>
      <protection locked="0"/>
    </xf>
    <xf numFmtId="259" fontId="10" fillId="0" borderId="0" applyFont="0" applyFill="0" applyBorder="0" applyAlignment="0" applyProtection="0"/>
    <xf numFmtId="260" fontId="10" fillId="0" borderId="0" applyFont="0" applyFill="0" applyBorder="0" applyAlignment="0" applyProtection="0"/>
    <xf numFmtId="261" fontId="30" fillId="0" borderId="0"/>
    <xf numFmtId="37" fontId="145"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5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262" fontId="10" fillId="0" borderId="0"/>
    <xf numFmtId="262" fontId="10" fillId="0" borderId="0"/>
    <xf numFmtId="263" fontId="14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7" fillId="0" borderId="40"/>
    <xf numFmtId="174" fontId="135" fillId="0" borderId="0"/>
    <xf numFmtId="3" fontId="46" fillId="0" borderId="41" applyBorder="0">
      <alignment horizontal="right" wrapText="1"/>
    </xf>
    <xf numFmtId="4" fontId="46" fillId="0" borderId="42" applyBorder="0">
      <alignment horizontal="right" wrapText="1"/>
    </xf>
    <xf numFmtId="0" fontId="10" fillId="69" borderId="28" applyNumberFormat="0" applyProtection="0">
      <alignment horizontal="left" vertical="center" indent="1"/>
    </xf>
    <xf numFmtId="4" fontId="55" fillId="70" borderId="28" applyNumberFormat="0" applyProtection="0">
      <alignment horizontal="right" vertical="center"/>
    </xf>
    <xf numFmtId="0" fontId="10" fillId="69" borderId="28" applyNumberFormat="0" applyProtection="0">
      <alignment horizontal="left" vertical="center" indent="1"/>
    </xf>
    <xf numFmtId="0" fontId="10" fillId="69" borderId="28" applyNumberFormat="0" applyProtection="0">
      <alignment horizontal="left" vertical="center" indent="1"/>
    </xf>
    <xf numFmtId="0" fontId="137" fillId="71" borderId="0" applyNumberFormat="0" applyFont="0" applyBorder="0" applyAlignment="0" applyProtection="0"/>
    <xf numFmtId="0" fontId="137" fillId="61" borderId="0" applyNumberFormat="0" applyFont="0" applyBorder="0" applyAlignment="0" applyProtection="0"/>
    <xf numFmtId="0" fontId="137" fillId="1" borderId="0" applyNumberFormat="0" applyFont="0" applyBorder="0" applyAlignment="0" applyProtection="0"/>
    <xf numFmtId="264" fontId="137" fillId="0" borderId="0" applyFont="0" applyFill="0" applyBorder="0" applyAlignment="0" applyProtection="0"/>
    <xf numFmtId="265" fontId="137" fillId="0" borderId="0" applyFont="0" applyFill="0" applyBorder="0" applyAlignment="0" applyProtection="0"/>
    <xf numFmtId="266" fontId="137" fillId="0" borderId="0" applyFont="0" applyFill="0" applyBorder="0" applyAlignment="0" applyProtection="0"/>
    <xf numFmtId="0" fontId="75" fillId="72" borderId="43" applyNumberFormat="0" applyProtection="0">
      <alignment horizontal="center" wrapText="1"/>
    </xf>
    <xf numFmtId="0" fontId="75" fillId="72" borderId="43" applyNumberFormat="0" applyProtection="0">
      <alignment horizontal="center" wrapText="1"/>
    </xf>
    <xf numFmtId="0" fontId="75" fillId="72" borderId="44" applyNumberFormat="0" applyAlignment="0" applyProtection="0">
      <alignment wrapText="1"/>
    </xf>
    <xf numFmtId="0" fontId="75" fillId="72" borderId="44" applyNumberFormat="0" applyAlignment="0" applyProtection="0">
      <alignment wrapText="1"/>
    </xf>
    <xf numFmtId="0" fontId="10" fillId="73" borderId="0" applyNumberFormat="0" applyBorder="0">
      <alignment horizontal="center" wrapText="1"/>
    </xf>
    <xf numFmtId="0" fontId="10" fillId="73" borderId="0" applyNumberFormat="0" applyBorder="0">
      <alignment horizontal="center" wrapText="1"/>
    </xf>
    <xf numFmtId="0" fontId="10" fillId="73" borderId="0" applyNumberFormat="0" applyBorder="0">
      <alignment wrapText="1"/>
    </xf>
    <xf numFmtId="0" fontId="10" fillId="73" borderId="0" applyNumberFormat="0" applyBorder="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267" fontId="10" fillId="0" borderId="0" applyFill="0" applyBorder="0" applyAlignment="0" applyProtection="0">
      <alignment wrapText="1"/>
    </xf>
    <xf numFmtId="267" fontId="10" fillId="0" borderId="0" applyFill="0" applyBorder="0" applyAlignment="0" applyProtection="0">
      <alignment wrapText="1"/>
    </xf>
    <xf numFmtId="192" fontId="10" fillId="0" borderId="0" applyFill="0" applyBorder="0" applyAlignment="0" applyProtection="0">
      <alignment wrapText="1"/>
    </xf>
    <xf numFmtId="268" fontId="10" fillId="0" borderId="0" applyFill="0" applyBorder="0" applyAlignment="0" applyProtection="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0" fontId="10" fillId="0" borderId="0" applyNumberFormat="0" applyFill="0" applyBorder="0">
      <alignment horizontal="right" wrapText="1"/>
    </xf>
    <xf numFmtId="0" fontId="10" fillId="0" borderId="0" applyNumberFormat="0" applyFill="0" applyBorder="0">
      <alignment horizontal="right" wrapText="1"/>
    </xf>
    <xf numFmtId="17" fontId="10" fillId="0" borderId="0" applyFill="0" applyBorder="0">
      <alignment horizontal="right" wrapText="1"/>
    </xf>
    <xf numFmtId="17" fontId="10" fillId="0" borderId="0" applyFill="0" applyBorder="0">
      <alignment horizontal="right" wrapText="1"/>
    </xf>
    <xf numFmtId="8" fontId="10" fillId="0" borderId="0" applyFill="0" applyBorder="0" applyAlignment="0" applyProtection="0">
      <alignment wrapText="1"/>
    </xf>
    <xf numFmtId="8" fontId="10" fillId="0" borderId="0" applyFill="0" applyBorder="0" applyAlignment="0" applyProtection="0">
      <alignment wrapText="1"/>
    </xf>
    <xf numFmtId="0" fontId="29" fillId="0" borderId="0" applyNumberFormat="0" applyFill="0" applyBorder="0">
      <alignment horizontal="left" wrapText="1"/>
    </xf>
    <xf numFmtId="0" fontId="29" fillId="0" borderId="0" applyNumberFormat="0" applyFill="0" applyBorder="0">
      <alignment horizontal="left"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148" fillId="0" borderId="45"/>
    <xf numFmtId="0" fontId="149" fillId="0" borderId="0">
      <alignment horizontal="centerContinuous" vertical="center" wrapText="1"/>
    </xf>
    <xf numFmtId="0" fontId="137" fillId="0" borderId="0" applyNumberFormat="0" applyFont="0" applyFill="0" applyBorder="0" applyProtection="0">
      <alignment horizontal="center" wrapText="1"/>
    </xf>
    <xf numFmtId="0" fontId="137" fillId="0" borderId="0" applyNumberFormat="0" applyFont="0" applyFill="0" applyBorder="0" applyProtection="0">
      <alignment horizontal="centerContinuous" vertical="center" wrapText="1"/>
    </xf>
    <xf numFmtId="0" fontId="10" fillId="0" borderId="0"/>
    <xf numFmtId="0" fontId="10" fillId="0" borderId="0"/>
    <xf numFmtId="269" fontId="10" fillId="0" borderId="0">
      <alignment wrapText="1"/>
    </xf>
    <xf numFmtId="269" fontId="10" fillId="0" borderId="0">
      <alignment wrapText="1"/>
    </xf>
    <xf numFmtId="270" fontId="10" fillId="0" borderId="0">
      <alignment wrapText="1"/>
    </xf>
    <xf numFmtId="270" fontId="10" fillId="0" borderId="0">
      <alignment wrapText="1"/>
    </xf>
    <xf numFmtId="37" fontId="39" fillId="2" borderId="0" applyNumberFormat="0" applyBorder="0" applyAlignment="0" applyProtection="0"/>
    <xf numFmtId="37" fontId="39" fillId="0" borderId="0"/>
    <xf numFmtId="0" fontId="150" fillId="0" borderId="0"/>
    <xf numFmtId="0" fontId="137" fillId="0" borderId="0" applyNumberFormat="0" applyFont="0" applyFill="0" applyBorder="0" applyProtection="0"/>
    <xf numFmtId="0" fontId="137" fillId="0" borderId="0" applyNumberFormat="0" applyFont="0" applyFill="0" applyBorder="0" applyProtection="0">
      <alignment vertical="center"/>
    </xf>
    <xf numFmtId="0" fontId="137" fillId="0" borderId="0" applyNumberFormat="0" applyFont="0" applyFill="0" applyBorder="0" applyProtection="0">
      <alignment vertical="top"/>
    </xf>
    <xf numFmtId="0" fontId="137" fillId="0" borderId="0" applyNumberFormat="0" applyFont="0" applyFill="0" applyBorder="0" applyProtection="0">
      <alignment wrapText="1"/>
    </xf>
    <xf numFmtId="0" fontId="151" fillId="0" borderId="0"/>
    <xf numFmtId="0" fontId="151" fillId="0" borderId="0"/>
    <xf numFmtId="43" fontId="151" fillId="0" borderId="0" applyFont="0" applyFill="0" applyBorder="0" applyAlignment="0" applyProtection="0"/>
    <xf numFmtId="0" fontId="146" fillId="0" borderId="0"/>
    <xf numFmtId="172" fontId="152" fillId="0" borderId="0" applyNumberForma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272" fontId="153" fillId="0" borderId="0" applyFont="0" applyFill="0" applyBorder="0" applyAlignment="0" applyProtection="0"/>
    <xf numFmtId="273" fontId="153" fillId="0" borderId="0" applyFont="0" applyFill="0" applyBorder="0" applyAlignment="0" applyProtection="0"/>
    <xf numFmtId="274" fontId="153" fillId="0" borderId="0" applyFont="0" applyFill="0" applyBorder="0" applyAlignment="0" applyProtection="0"/>
    <xf numFmtId="275" fontId="153" fillId="0" borderId="0" applyFont="0" applyFill="0" applyBorder="0" applyAlignment="0" applyProtection="0"/>
    <xf numFmtId="276" fontId="153" fillId="0" borderId="0" applyFont="0" applyFill="0" applyBorder="0" applyAlignment="0" applyProtection="0"/>
    <xf numFmtId="277" fontId="153" fillId="0" borderId="0" applyFont="0" applyFill="0" applyBorder="0" applyAlignment="0" applyProtection="0"/>
    <xf numFmtId="0" fontId="97" fillId="0" borderId="0"/>
    <xf numFmtId="278" fontId="153" fillId="0" borderId="0" applyFont="0" applyFill="0" applyBorder="0" applyProtection="0">
      <alignment horizontal="left"/>
    </xf>
    <xf numFmtId="279" fontId="153" fillId="0" borderId="0" applyFont="0" applyFill="0" applyBorder="0" applyProtection="0">
      <alignment horizontal="left"/>
    </xf>
    <xf numFmtId="280" fontId="153" fillId="0" borderId="0" applyFont="0" applyFill="0" applyBorder="0" applyProtection="0">
      <alignment horizontal="left"/>
    </xf>
    <xf numFmtId="0" fontId="116" fillId="0" borderId="0"/>
    <xf numFmtId="0" fontId="1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81" fontId="15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37" fontId="72" fillId="0" borderId="0" applyFill="0" applyBorder="0" applyAlignment="0" applyProtection="0"/>
    <xf numFmtId="282" fontId="153" fillId="0" borderId="0" applyFont="0" applyFill="0" applyBorder="0" applyAlignment="0" applyProtection="0"/>
    <xf numFmtId="283" fontId="153" fillId="0" borderId="0" applyFont="0" applyFill="0" applyBorder="0" applyAlignment="0" applyProtection="0"/>
    <xf numFmtId="5" fontId="72" fillId="0" borderId="0" applyFill="0" applyBorder="0" applyAlignment="0" applyProtection="0"/>
    <xf numFmtId="284" fontId="153" fillId="0" borderId="0" applyFont="0" applyFill="0" applyBorder="0" applyProtection="0"/>
    <xf numFmtId="285" fontId="153" fillId="0" borderId="0" applyFont="0" applyFill="0" applyBorder="0" applyProtection="0"/>
    <xf numFmtId="286" fontId="153" fillId="0" borderId="0" applyFont="0" applyFill="0" applyBorder="0" applyAlignment="0" applyProtection="0"/>
    <xf numFmtId="287" fontId="153" fillId="0" borderId="0" applyFont="0" applyFill="0" applyBorder="0" applyAlignment="0" applyProtection="0"/>
    <xf numFmtId="288" fontId="153" fillId="0" borderId="0" applyFont="0" applyFill="0" applyBorder="0" applyAlignment="0" applyProtection="0"/>
    <xf numFmtId="289" fontId="129" fillId="0" borderId="0" applyFont="0" applyFill="0" applyBorder="0" applyAlignment="0" applyProtection="0"/>
    <xf numFmtId="0" fontId="154" fillId="0" borderId="0"/>
    <xf numFmtId="0" fontId="153" fillId="0" borderId="0" applyFont="0" applyFill="0" applyBorder="0" applyProtection="0">
      <alignment horizontal="center" wrapText="1"/>
    </xf>
    <xf numFmtId="290" fontId="153" fillId="0" borderId="0" applyFont="0" applyFill="0" applyBorder="0" applyProtection="0">
      <alignment horizontal="right"/>
    </xf>
    <xf numFmtId="291" fontId="153" fillId="0" borderId="0" applyFont="0" applyFill="0" applyBorder="0" applyProtection="0">
      <alignment horizontal="left"/>
    </xf>
    <xf numFmtId="292" fontId="153" fillId="0" borderId="0" applyFont="0" applyFill="0" applyBorder="0" applyProtection="0">
      <alignment horizontal="left"/>
    </xf>
    <xf numFmtId="293" fontId="153" fillId="0" borderId="0" applyFont="0" applyFill="0" applyBorder="0" applyProtection="0">
      <alignment horizontal="left"/>
    </xf>
    <xf numFmtId="294" fontId="153" fillId="0" borderId="0" applyFont="0" applyFill="0" applyBorder="0" applyProtection="0">
      <alignment horizontal="left"/>
    </xf>
    <xf numFmtId="0" fontId="155" fillId="0" borderId="0"/>
    <xf numFmtId="0" fontId="10" fillId="0" borderId="0" applyFont="0" applyFill="0" applyBorder="0" applyAlignment="0" applyProtection="0">
      <alignment horizontal="right"/>
    </xf>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Protection="0"/>
    <xf numFmtId="172" fontId="11" fillId="0" borderId="0" applyProtection="0"/>
    <xf numFmtId="172" fontId="11" fillId="0" borderId="0" applyProtection="0"/>
    <xf numFmtId="0" fontId="10" fillId="0" borderId="0"/>
    <xf numFmtId="0" fontId="9" fillId="76" borderId="0" applyNumberFormat="0" applyFont="0" applyBorder="0" applyAlignment="0"/>
    <xf numFmtId="295" fontId="156"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6" fontId="10" fillId="0" borderId="0"/>
    <xf numFmtId="297" fontId="30" fillId="0" borderId="0"/>
    <xf numFmtId="297" fontId="30" fillId="0" borderId="0"/>
    <xf numFmtId="295" fontId="156" fillId="0" borderId="0"/>
    <xf numFmtId="0" fontId="30" fillId="0" borderId="0"/>
    <xf numFmtId="295" fontId="72" fillId="0" borderId="0"/>
    <xf numFmtId="296" fontId="10" fillId="0" borderId="0"/>
    <xf numFmtId="297" fontId="30" fillId="0" borderId="0"/>
    <xf numFmtId="297" fontId="30" fillId="0" borderId="0"/>
    <xf numFmtId="0" fontId="30" fillId="0" borderId="0"/>
    <xf numFmtId="0" fontId="30"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0" fontId="30"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5" fontId="156" fillId="0" borderId="0"/>
    <xf numFmtId="295" fontId="156" fillId="0" borderId="0"/>
    <xf numFmtId="222" fontId="10" fillId="0" borderId="0" applyFont="0" applyFill="0" applyBorder="0" applyAlignment="0" applyProtection="0"/>
    <xf numFmtId="295" fontId="156" fillId="0" borderId="0"/>
    <xf numFmtId="295" fontId="156"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301" fontId="153" fillId="0" borderId="0" applyFont="0" applyFill="0" applyBorder="0" applyAlignment="0" applyProtection="0"/>
    <xf numFmtId="302" fontId="153"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194" fontId="72" fillId="0" borderId="0" applyFill="0" applyBorder="0" applyAlignment="0" applyProtection="0"/>
    <xf numFmtId="0" fontId="131" fillId="0" borderId="0"/>
    <xf numFmtId="0" fontId="157" fillId="0" borderId="1">
      <alignment horizontal="right"/>
    </xf>
    <xf numFmtId="303" fontId="122" fillId="0" borderId="0">
      <alignment horizontal="center"/>
    </xf>
    <xf numFmtId="304" fontId="158" fillId="0" borderId="0">
      <alignment horizontal="center"/>
    </xf>
    <xf numFmtId="0" fontId="55" fillId="0" borderId="0" applyNumberFormat="0" applyBorder="0" applyAlignment="0"/>
    <xf numFmtId="0" fontId="159" fillId="0" borderId="0" applyNumberFormat="0" applyBorder="0" applyAlignment="0"/>
    <xf numFmtId="0" fontId="160" fillId="0" borderId="0" applyAlignment="0">
      <alignment horizontal="centerContinuous"/>
    </xf>
    <xf numFmtId="0" fontId="161" fillId="0" borderId="0" applyNumberFormat="0" applyFill="0" applyBorder="0" applyAlignment="0" applyProtection="0">
      <alignment vertical="top"/>
      <protection locked="0"/>
    </xf>
    <xf numFmtId="172" fontId="11" fillId="0" borderId="0" applyProtection="0"/>
    <xf numFmtId="43" fontId="11" fillId="0" borderId="0" applyFont="0" applyFill="0" applyBorder="0" applyAlignment="0" applyProtection="0"/>
    <xf numFmtId="9" fontId="11" fillId="0" borderId="0" applyFont="0" applyFill="0" applyBorder="0" applyAlignment="0" applyProtection="0"/>
    <xf numFmtId="37" fontId="11" fillId="0" borderId="0" applyFont="0" applyFill="0" applyBorder="0" applyAlignment="0" applyProtection="0"/>
    <xf numFmtId="172" fontId="11" fillId="0" borderId="0" applyProtection="0"/>
    <xf numFmtId="172" fontId="11" fillId="0" borderId="0" applyProtection="0"/>
    <xf numFmtId="0" fontId="10" fillId="0" borderId="0"/>
    <xf numFmtId="0" fontId="183" fillId="0" borderId="0"/>
    <xf numFmtId="44" fontId="10" fillId="0" borderId="0" applyFont="0" applyFill="0" applyBorder="0" applyAlignment="0" applyProtection="0"/>
    <xf numFmtId="0" fontId="5" fillId="0" borderId="0"/>
    <xf numFmtId="0" fontId="28" fillId="0" borderId="0">
      <alignment vertical="top"/>
    </xf>
    <xf numFmtId="0" fontId="4" fillId="0" borderId="0"/>
    <xf numFmtId="172" fontId="11" fillId="0" borderId="0" applyProtection="0"/>
    <xf numFmtId="9" fontId="4" fillId="0" borderId="0" applyFont="0" applyFill="0" applyBorder="0" applyAlignment="0" applyProtection="0"/>
    <xf numFmtId="43" fontId="4"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8"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0" fillId="0" borderId="0"/>
    <xf numFmtId="43" fontId="1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1" fillId="0" borderId="0" applyProtection="0"/>
    <xf numFmtId="0" fontId="207" fillId="0" borderId="0"/>
    <xf numFmtId="43" fontId="11" fillId="0" borderId="0" applyFont="0" applyFill="0" applyBorder="0" applyAlignment="0" applyProtection="0"/>
    <xf numFmtId="0" fontId="1" fillId="0" borderId="0"/>
    <xf numFmtId="0" fontId="208" fillId="0" borderId="0"/>
    <xf numFmtId="43" fontId="209" fillId="0" borderId="0" applyFont="0" applyFill="0" applyBorder="0" applyAlignment="0" applyProtection="0"/>
    <xf numFmtId="43" fontId="209" fillId="0" borderId="0" applyFont="0" applyFill="0" applyBorder="0" applyAlignment="0" applyProtection="0"/>
    <xf numFmtId="0" fontId="208" fillId="0" borderId="0"/>
    <xf numFmtId="0" fontId="1" fillId="0" borderId="0"/>
    <xf numFmtId="43" fontId="10" fillId="0" borderId="0" applyFont="0" applyFill="0" applyBorder="0" applyAlignment="0" applyProtection="0"/>
    <xf numFmtId="0" fontId="208" fillId="0" borderId="0"/>
    <xf numFmtId="0" fontId="1" fillId="0" borderId="0"/>
    <xf numFmtId="9" fontId="20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6" fontId="31" fillId="0" borderId="0" applyFont="0" applyFill="0" applyBorder="0" applyAlignment="0" applyProtection="0"/>
    <xf numFmtId="38" fontId="31" fillId="0" borderId="0" applyFont="0" applyFill="0" applyBorder="0" applyAlignment="0" applyProtection="0"/>
  </cellStyleXfs>
  <cellXfs count="989">
    <xf numFmtId="172" fontId="0" fillId="0" borderId="0" xfId="0"/>
    <xf numFmtId="0" fontId="162" fillId="0" borderId="0" xfId="0" applyNumberFormat="1" applyFont="1" applyAlignment="1">
      <alignment horizontal="center"/>
    </xf>
    <xf numFmtId="172" fontId="30" fillId="0" borderId="0" xfId="0" applyFont="1"/>
    <xf numFmtId="0" fontId="30" fillId="0" borderId="0" xfId="4598" applyFont="1"/>
    <xf numFmtId="172" fontId="38" fillId="0" borderId="0" xfId="0" applyFont="1"/>
    <xf numFmtId="0" fontId="30" fillId="0" borderId="0" xfId="0" applyNumberFormat="1" applyFont="1" applyAlignment="1">
      <alignment horizontal="center"/>
    </xf>
    <xf numFmtId="172" fontId="30" fillId="0" borderId="0" xfId="0" applyFont="1" applyAlignment="1">
      <alignment horizontal="right"/>
    </xf>
    <xf numFmtId="0" fontId="122" fillId="0" borderId="0" xfId="4598" applyFont="1" applyAlignment="1">
      <alignment horizontal="centerContinuous"/>
    </xf>
    <xf numFmtId="0" fontId="122" fillId="0" borderId="17" xfId="4598" applyFont="1" applyBorder="1" applyAlignment="1">
      <alignment horizontal="center"/>
    </xf>
    <xf numFmtId="0" fontId="30" fillId="0" borderId="0" xfId="0" applyNumberFormat="1" applyFont="1" applyAlignment="1">
      <alignment horizontal="center" wrapText="1"/>
    </xf>
    <xf numFmtId="0" fontId="122" fillId="0" borderId="0" xfId="4598" applyFont="1" applyAlignment="1">
      <alignment horizontal="center" wrapText="1"/>
    </xf>
    <xf numFmtId="172" fontId="122" fillId="0" borderId="0" xfId="0" applyFont="1" applyAlignment="1">
      <alignment horizontal="center" wrapText="1"/>
    </xf>
    <xf numFmtId="172" fontId="30" fillId="0" borderId="0" xfId="0" applyFont="1" applyAlignment="1">
      <alignment wrapText="1"/>
    </xf>
    <xf numFmtId="0" fontId="122" fillId="0" borderId="0" xfId="4598" applyFont="1" applyAlignment="1">
      <alignment horizontal="center"/>
    </xf>
    <xf numFmtId="0" fontId="122" fillId="0" borderId="0" xfId="4595" applyFont="1" applyAlignment="1">
      <alignment horizontal="center" wrapText="1"/>
    </xf>
    <xf numFmtId="172" fontId="163" fillId="0" borderId="0" xfId="0" applyFont="1"/>
    <xf numFmtId="172" fontId="162" fillId="0" borderId="0" xfId="0" applyFont="1"/>
    <xf numFmtId="0" fontId="30" fillId="0" borderId="0" xfId="4598" applyFont="1" applyAlignment="1">
      <alignment horizontal="left"/>
    </xf>
    <xf numFmtId="0" fontId="30" fillId="0" borderId="0" xfId="4598" quotePrefix="1" applyFont="1" applyAlignment="1">
      <alignment horizontal="left"/>
    </xf>
    <xf numFmtId="41" fontId="30" fillId="2" borderId="0" xfId="4598" applyNumberFormat="1" applyFont="1" applyFill="1"/>
    <xf numFmtId="0" fontId="30" fillId="0" borderId="0" xfId="4598" applyFont="1" applyAlignment="1">
      <alignment horizontal="right"/>
    </xf>
    <xf numFmtId="174" fontId="30" fillId="0" borderId="14" xfId="190" applyNumberFormat="1" applyFont="1" applyBorder="1"/>
    <xf numFmtId="37" fontId="30" fillId="0" borderId="0" xfId="4598" applyNumberFormat="1" applyFont="1"/>
    <xf numFmtId="172" fontId="30" fillId="0" borderId="0" xfId="4596" applyFont="1"/>
    <xf numFmtId="0" fontId="122" fillId="0" borderId="0" xfId="4598" applyFont="1" applyAlignment="1">
      <alignment horizontal="centerContinuous" wrapText="1"/>
    </xf>
    <xf numFmtId="41" fontId="30" fillId="77" borderId="0" xfId="4598" applyNumberFormat="1" applyFont="1" applyFill="1"/>
    <xf numFmtId="43" fontId="30" fillId="0" borderId="14" xfId="190" applyFont="1" applyBorder="1"/>
    <xf numFmtId="172" fontId="30" fillId="74" borderId="0" xfId="0" applyFont="1" applyFill="1"/>
    <xf numFmtId="172" fontId="30" fillId="0" borderId="0" xfId="0" applyFont="1" applyAlignment="1">
      <alignment horizontal="center"/>
    </xf>
    <xf numFmtId="44" fontId="30" fillId="0" borderId="0" xfId="0" applyNumberFormat="1" applyFont="1"/>
    <xf numFmtId="0" fontId="30" fillId="0" borderId="0" xfId="4157" applyFont="1"/>
    <xf numFmtId="0" fontId="30" fillId="0" borderId="0" xfId="4157" applyFont="1" applyAlignment="1">
      <alignment horizontal="center"/>
    </xf>
    <xf numFmtId="3" fontId="30" fillId="0" borderId="0" xfId="4157" applyNumberFormat="1" applyFont="1" applyAlignment="1">
      <alignment horizontal="center" wrapText="1"/>
    </xf>
    <xf numFmtId="0" fontId="30" fillId="0" borderId="0" xfId="4157" applyFont="1" applyAlignment="1">
      <alignment horizontal="center" wrapText="1"/>
    </xf>
    <xf numFmtId="174" fontId="30" fillId="0" borderId="0" xfId="190" applyNumberFormat="1" applyFont="1" applyFill="1" applyBorder="1" applyAlignment="1">
      <alignment horizontal="center" wrapText="1"/>
    </xf>
    <xf numFmtId="0" fontId="164" fillId="0" borderId="0" xfId="0" applyNumberFormat="1" applyFont="1" applyAlignment="1">
      <alignment horizontal="center"/>
    </xf>
    <xf numFmtId="172" fontId="164" fillId="0" borderId="0" xfId="0" applyFont="1" applyAlignment="1">
      <alignment horizontal="center"/>
    </xf>
    <xf numFmtId="44" fontId="164" fillId="0" borderId="0" xfId="0" applyNumberFormat="1" applyFont="1"/>
    <xf numFmtId="172" fontId="30" fillId="0" borderId="0" xfId="0" applyFont="1" applyAlignment="1">
      <alignment vertical="center" wrapText="1"/>
    </xf>
    <xf numFmtId="172" fontId="30" fillId="0" borderId="0" xfId="0" applyFont="1" applyAlignment="1">
      <alignment vertical="center"/>
    </xf>
    <xf numFmtId="0" fontId="30" fillId="0" borderId="0" xfId="0" applyNumberFormat="1" applyFont="1" applyAlignment="1">
      <alignment horizontal="center" vertical="top"/>
    </xf>
    <xf numFmtId="0" fontId="30" fillId="0" borderId="0" xfId="4228" applyFont="1" applyAlignment="1">
      <alignment vertical="top"/>
    </xf>
    <xf numFmtId="3" fontId="30" fillId="0" borderId="0" xfId="4228" applyNumberFormat="1" applyFont="1"/>
    <xf numFmtId="3" fontId="30" fillId="0" borderId="0" xfId="4597" applyNumberFormat="1" applyFont="1"/>
    <xf numFmtId="0" fontId="30" fillId="0" borderId="0" xfId="4597" applyNumberFormat="1" applyFont="1" applyAlignment="1" applyProtection="1">
      <alignment horizontal="center"/>
      <protection locked="0"/>
    </xf>
    <xf numFmtId="0" fontId="30" fillId="0" borderId="0" xfId="4597" applyNumberFormat="1" applyFont="1"/>
    <xf numFmtId="174" fontId="30" fillId="0" borderId="0" xfId="190" applyNumberFormat="1" applyFont="1" applyAlignment="1"/>
    <xf numFmtId="43" fontId="30" fillId="0" borderId="0" xfId="190" applyFont="1" applyAlignment="1">
      <alignment horizontal="center"/>
    </xf>
    <xf numFmtId="0" fontId="30" fillId="0" borderId="0" xfId="4595" applyFont="1"/>
    <xf numFmtId="3" fontId="30" fillId="0" borderId="0" xfId="4595" applyNumberFormat="1" applyFont="1"/>
    <xf numFmtId="174" fontId="30" fillId="0" borderId="0" xfId="190" applyNumberFormat="1" applyFont="1" applyFill="1" applyBorder="1" applyAlignment="1"/>
    <xf numFmtId="174" fontId="30" fillId="0" borderId="0" xfId="190" applyNumberFormat="1" applyFont="1" applyBorder="1" applyAlignment="1"/>
    <xf numFmtId="172" fontId="30" fillId="0" borderId="0" xfId="4597" applyFont="1"/>
    <xf numFmtId="164" fontId="30" fillId="0" borderId="0" xfId="4597" applyNumberFormat="1" applyFont="1" applyAlignment="1">
      <alignment horizontal="center"/>
    </xf>
    <xf numFmtId="174" fontId="30" fillId="0" borderId="0" xfId="190" applyNumberFormat="1" applyFont="1" applyFill="1" applyAlignment="1"/>
    <xf numFmtId="174" fontId="30" fillId="0" borderId="1" xfId="190" applyNumberFormat="1" applyFont="1" applyFill="1" applyBorder="1" applyAlignment="1"/>
    <xf numFmtId="271" fontId="30" fillId="0" borderId="0" xfId="190" applyNumberFormat="1" applyFont="1" applyFill="1" applyAlignment="1"/>
    <xf numFmtId="271" fontId="30" fillId="0" borderId="0" xfId="190" applyNumberFormat="1" applyFont="1" applyAlignment="1"/>
    <xf numFmtId="271" fontId="30" fillId="0" borderId="0" xfId="190" applyNumberFormat="1" applyFont="1" applyBorder="1" applyAlignment="1"/>
    <xf numFmtId="174" fontId="30" fillId="0" borderId="1" xfId="190" applyNumberFormat="1" applyFont="1" applyBorder="1" applyAlignment="1"/>
    <xf numFmtId="3" fontId="30" fillId="0" borderId="0" xfId="4597" quotePrefix="1" applyNumberFormat="1" applyFont="1" applyAlignment="1">
      <alignment horizontal="left"/>
    </xf>
    <xf numFmtId="174" fontId="30" fillId="0" borderId="14" xfId="190" applyNumberFormat="1" applyFont="1" applyFill="1" applyBorder="1" applyAlignment="1"/>
    <xf numFmtId="0" fontId="30" fillId="0" borderId="0" xfId="0" applyNumberFormat="1" applyFont="1" applyProtection="1">
      <protection locked="0"/>
    </xf>
    <xf numFmtId="174" fontId="30" fillId="0" borderId="50" xfId="190" applyNumberFormat="1" applyFont="1" applyFill="1" applyBorder="1" applyAlignment="1"/>
    <xf numFmtId="174" fontId="165" fillId="3" borderId="0" xfId="190" applyNumberFormat="1" applyFont="1" applyFill="1" applyAlignment="1"/>
    <xf numFmtId="0" fontId="30" fillId="0" borderId="0" xfId="4595" applyFont="1" applyAlignment="1" applyProtection="1">
      <alignment horizontal="center"/>
      <protection locked="0"/>
    </xf>
    <xf numFmtId="10" fontId="30" fillId="0" borderId="0" xfId="4597" applyNumberFormat="1" applyFont="1" applyAlignment="1">
      <alignment horizontal="left"/>
    </xf>
    <xf numFmtId="174" fontId="30" fillId="0" borderId="2" xfId="190" applyNumberFormat="1" applyFont="1" applyFill="1" applyBorder="1" applyAlignment="1"/>
    <xf numFmtId="0" fontId="30" fillId="0" borderId="0" xfId="0" applyNumberFormat="1" applyFont="1" applyAlignment="1" applyProtection="1">
      <alignment horizontal="center"/>
      <protection locked="0"/>
    </xf>
    <xf numFmtId="0" fontId="30" fillId="0" borderId="0" xfId="0" applyNumberFormat="1" applyFont="1" applyAlignment="1" applyProtection="1">
      <alignment horizontal="center" vertical="top"/>
      <protection locked="0"/>
    </xf>
    <xf numFmtId="0" fontId="30" fillId="0" borderId="0" xfId="0" applyNumberFormat="1" applyFont="1" applyAlignment="1" applyProtection="1">
      <alignment vertical="center"/>
      <protection locked="0"/>
    </xf>
    <xf numFmtId="172" fontId="30" fillId="0" borderId="0" xfId="0" applyFont="1" applyAlignment="1">
      <alignment horizontal="center" vertical="top"/>
    </xf>
    <xf numFmtId="0" fontId="30" fillId="0" borderId="0" xfId="4664" applyNumberFormat="1" applyFont="1"/>
    <xf numFmtId="0" fontId="166" fillId="0" borderId="0" xfId="0" applyNumberFormat="1" applyFont="1" applyProtection="1">
      <protection locked="0"/>
    </xf>
    <xf numFmtId="3" fontId="166" fillId="0" borderId="0" xfId="0" applyNumberFormat="1" applyFont="1"/>
    <xf numFmtId="0" fontId="166" fillId="0" borderId="0" xfId="0" applyNumberFormat="1" applyFont="1" applyAlignment="1" applyProtection="1">
      <alignment horizontal="center" vertical="top"/>
      <protection locked="0"/>
    </xf>
    <xf numFmtId="0" fontId="166" fillId="0" borderId="0" xfId="4597" applyNumberFormat="1" applyFont="1" applyAlignment="1" applyProtection="1">
      <alignment vertical="top" wrapText="1"/>
      <protection locked="0"/>
    </xf>
    <xf numFmtId="0" fontId="166" fillId="0" borderId="0" xfId="0" applyNumberFormat="1" applyFont="1" applyAlignment="1" applyProtection="1">
      <alignment vertical="top"/>
      <protection locked="0"/>
    </xf>
    <xf numFmtId="0" fontId="167" fillId="0" borderId="0" xfId="0" applyNumberFormat="1" applyFont="1" applyProtection="1">
      <protection locked="0"/>
    </xf>
    <xf numFmtId="172" fontId="166" fillId="0" borderId="0" xfId="0" applyFont="1"/>
    <xf numFmtId="172" fontId="166" fillId="0" borderId="0" xfId="0" applyFont="1" applyAlignment="1">
      <alignment horizontal="center"/>
    </xf>
    <xf numFmtId="0" fontId="166" fillId="0" borderId="0" xfId="4228" applyFont="1" applyAlignment="1">
      <alignment vertical="top" wrapText="1"/>
    </xf>
    <xf numFmtId="0" fontId="166" fillId="0" borderId="0" xfId="0" applyNumberFormat="1" applyFont="1"/>
    <xf numFmtId="172" fontId="166" fillId="0" borderId="0" xfId="0" applyFont="1" applyAlignment="1">
      <alignment horizontal="center" vertical="top"/>
    </xf>
    <xf numFmtId="0" fontId="166" fillId="0" borderId="0" xfId="4664" applyNumberFormat="1" applyFont="1"/>
    <xf numFmtId="172" fontId="166" fillId="0" borderId="0" xfId="4664" applyFont="1" applyAlignment="1">
      <alignment horizontal="center"/>
    </xf>
    <xf numFmtId="172" fontId="166" fillId="0" borderId="0" xfId="0" applyFont="1" applyAlignment="1">
      <alignment vertical="top" wrapText="1"/>
    </xf>
    <xf numFmtId="0" fontId="166" fillId="0" borderId="0" xfId="4228" applyFont="1" applyAlignment="1">
      <alignment vertical="top"/>
    </xf>
    <xf numFmtId="0" fontId="166" fillId="0" borderId="0" xfId="4597" applyNumberFormat="1" applyFont="1" applyAlignment="1" applyProtection="1">
      <alignment vertical="top"/>
      <protection locked="0"/>
    </xf>
    <xf numFmtId="170" fontId="166" fillId="0" borderId="0" xfId="4597" applyNumberFormat="1" applyFont="1" applyAlignment="1" applyProtection="1">
      <alignment vertical="top"/>
    </xf>
    <xf numFmtId="3" fontId="166" fillId="0" borderId="0" xfId="4597" applyNumberFormat="1" applyFont="1" applyAlignment="1" applyProtection="1">
      <alignment vertical="top"/>
    </xf>
    <xf numFmtId="172" fontId="166" fillId="0" borderId="0" xfId="0" applyFont="1" applyAlignment="1">
      <alignment vertical="top"/>
    </xf>
    <xf numFmtId="0" fontId="166" fillId="0" borderId="0" xfId="2138" applyFont="1" applyAlignment="1">
      <alignment vertical="center"/>
    </xf>
    <xf numFmtId="172" fontId="30" fillId="0" borderId="0" xfId="0"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Alignment="1" applyProtection="1">
      <alignment horizontal="right"/>
      <protection locked="0"/>
    </xf>
    <xf numFmtId="0" fontId="30" fillId="2" borderId="0" xfId="0" applyNumberFormat="1" applyFont="1" applyFill="1" applyAlignment="1" applyProtection="1">
      <alignment horizontal="right"/>
      <protection locked="0"/>
    </xf>
    <xf numFmtId="3" fontId="30" fillId="0" borderId="0" xfId="0" applyNumberFormat="1" applyFont="1" applyProtection="1">
      <protection locked="0"/>
    </xf>
    <xf numFmtId="3" fontId="30" fillId="0" borderId="0" xfId="0" applyNumberFormat="1" applyFont="1" applyAlignment="1" applyProtection="1">
      <alignment horizontal="center"/>
      <protection locked="0"/>
    </xf>
    <xf numFmtId="49" fontId="122" fillId="0" borderId="0" xfId="0" applyNumberFormat="1" applyFont="1" applyAlignment="1" applyProtection="1">
      <alignment horizontal="center"/>
      <protection locked="0"/>
    </xf>
    <xf numFmtId="49" fontId="30" fillId="0" borderId="0" xfId="0" applyNumberFormat="1" applyFont="1" applyProtection="1">
      <protection locked="0"/>
    </xf>
    <xf numFmtId="0" fontId="30" fillId="0" borderId="1" xfId="0" applyNumberFormat="1" applyFont="1" applyBorder="1" applyAlignment="1" applyProtection="1">
      <alignment horizontal="center"/>
      <protection locked="0"/>
    </xf>
    <xf numFmtId="42" fontId="30" fillId="0" borderId="0" xfId="0" applyNumberFormat="1" applyFont="1" applyProtection="1"/>
    <xf numFmtId="0" fontId="30" fillId="0" borderId="1" xfId="0" applyNumberFormat="1" applyFont="1" applyBorder="1" applyAlignment="1" applyProtection="1">
      <alignment horizontal="centerContinuous"/>
      <protection locked="0"/>
    </xf>
    <xf numFmtId="166" fontId="30" fillId="0" borderId="0" xfId="0" applyNumberFormat="1" applyFont="1" applyProtection="1"/>
    <xf numFmtId="3" fontId="30" fillId="0" borderId="0" xfId="0" applyNumberFormat="1" applyFont="1" applyProtection="1"/>
    <xf numFmtId="3" fontId="165" fillId="2" borderId="0" xfId="0" applyNumberFormat="1" applyFont="1" applyFill="1" applyProtection="1">
      <protection locked="0"/>
    </xf>
    <xf numFmtId="3" fontId="30" fillId="0" borderId="0" xfId="0" applyNumberFormat="1" applyFont="1" applyAlignment="1" applyProtection="1">
      <alignment horizontal="fill"/>
      <protection locked="0"/>
    </xf>
    <xf numFmtId="166" fontId="30" fillId="0" borderId="0" xfId="0" applyNumberFormat="1" applyFont="1" applyProtection="1">
      <protection locked="0"/>
    </xf>
    <xf numFmtId="42" fontId="30" fillId="0" borderId="14" xfId="0" applyNumberFormat="1" applyFont="1" applyBorder="1" applyAlignment="1" applyProtection="1">
      <alignment horizontal="right"/>
    </xf>
    <xf numFmtId="0" fontId="30" fillId="0" borderId="0" xfId="0" applyNumberFormat="1" applyFont="1" applyAlignment="1" applyProtection="1">
      <alignment horizontal="right"/>
    </xf>
    <xf numFmtId="172" fontId="122" fillId="0" borderId="0" xfId="0" applyFont="1" applyAlignment="1" applyProtection="1">
      <alignment horizontal="center"/>
    </xf>
    <xf numFmtId="49" fontId="30" fillId="0" borderId="0" xfId="0" applyNumberFormat="1" applyFont="1" applyAlignment="1" applyProtection="1">
      <alignment horizontal="left"/>
      <protection locked="0"/>
    </xf>
    <xf numFmtId="49" fontId="30" fillId="0" borderId="0" xfId="0" applyNumberFormat="1" applyFont="1" applyAlignment="1" applyProtection="1">
      <alignment horizontal="center"/>
      <protection locked="0"/>
    </xf>
    <xf numFmtId="3" fontId="122" fillId="0" borderId="0" xfId="0" applyNumberFormat="1" applyFont="1" applyAlignment="1" applyProtection="1">
      <alignment horizontal="center"/>
      <protection locked="0"/>
    </xf>
    <xf numFmtId="0" fontId="122" fillId="0" borderId="0" xfId="0" applyNumberFormat="1" applyFont="1" applyAlignment="1" applyProtection="1">
      <alignment horizontal="center"/>
      <protection locked="0"/>
    </xf>
    <xf numFmtId="172" fontId="122" fillId="0" borderId="0" xfId="0" applyFont="1" applyAlignment="1" applyProtection="1">
      <alignment horizontal="center"/>
      <protection locked="0"/>
    </xf>
    <xf numFmtId="3" fontId="122" fillId="0" borderId="0" xfId="0" applyNumberFormat="1" applyFont="1" applyProtection="1">
      <protection locked="0"/>
    </xf>
    <xf numFmtId="0" fontId="122" fillId="0" borderId="0" xfId="0" applyNumberFormat="1" applyFont="1" applyProtection="1">
      <protection locked="0"/>
    </xf>
    <xf numFmtId="165" fontId="30" fillId="0" borderId="0" xfId="0" applyNumberFormat="1" applyFont="1" applyProtection="1">
      <protection locked="0"/>
    </xf>
    <xf numFmtId="165" fontId="30" fillId="0" borderId="0" xfId="0" applyNumberFormat="1" applyFont="1" applyProtection="1"/>
    <xf numFmtId="164" fontId="30" fillId="0" borderId="0" xfId="0" applyNumberFormat="1" applyFont="1" applyAlignment="1" applyProtection="1">
      <alignment horizontal="center"/>
    </xf>
    <xf numFmtId="164" fontId="30" fillId="0" borderId="0" xfId="0" applyNumberFormat="1" applyFont="1" applyAlignment="1" applyProtection="1">
      <alignment horizontal="center"/>
      <protection locked="0"/>
    </xf>
    <xf numFmtId="0" fontId="30" fillId="0" borderId="0" xfId="0" applyNumberFormat="1" applyFont="1" applyProtection="1"/>
    <xf numFmtId="172" fontId="30" fillId="0" borderId="1" xfId="0" applyFont="1" applyBorder="1" applyProtection="1">
      <protection locked="0"/>
    </xf>
    <xf numFmtId="172" fontId="30" fillId="0" borderId="0" xfId="0" applyFont="1" applyProtection="1"/>
    <xf numFmtId="171" fontId="30" fillId="0" borderId="0" xfId="0" applyNumberFormat="1" applyFont="1" applyAlignment="1" applyProtection="1">
      <alignment horizontal="left"/>
    </xf>
    <xf numFmtId="166" fontId="30" fillId="0" borderId="0" xfId="0" applyNumberFormat="1" applyFont="1" applyAlignment="1" applyProtection="1">
      <alignment horizontal="right"/>
      <protection locked="0"/>
    </xf>
    <xf numFmtId="166" fontId="30" fillId="0" borderId="0" xfId="0" applyNumberFormat="1" applyFont="1" applyAlignment="1" applyProtection="1">
      <alignment horizontal="center"/>
      <protection locked="0"/>
    </xf>
    <xf numFmtId="164" fontId="30" fillId="0" borderId="0" xfId="0" applyNumberFormat="1" applyFont="1" applyAlignment="1" applyProtection="1">
      <alignment horizontal="left"/>
      <protection locked="0"/>
    </xf>
    <xf numFmtId="10" fontId="30" fillId="0" borderId="0" xfId="0" applyNumberFormat="1" applyFont="1" applyAlignment="1" applyProtection="1">
      <alignment horizontal="right"/>
    </xf>
    <xf numFmtId="10" fontId="30" fillId="0" borderId="0" xfId="0" applyNumberFormat="1" applyFont="1" applyAlignment="1" applyProtection="1">
      <alignment horizontal="left"/>
      <protection locked="0"/>
    </xf>
    <xf numFmtId="3" fontId="30" fillId="0" borderId="0" xfId="0" applyNumberFormat="1" applyFont="1" applyAlignment="1" applyProtection="1">
      <alignment horizontal="left"/>
      <protection locked="0"/>
    </xf>
    <xf numFmtId="167" fontId="30" fillId="0" borderId="0" xfId="0" applyNumberFormat="1" applyFont="1" applyProtection="1">
      <protection locked="0"/>
    </xf>
    <xf numFmtId="0" fontId="30" fillId="0" borderId="1" xfId="0" applyNumberFormat="1" applyFont="1" applyBorder="1" applyProtection="1">
      <protection locked="0"/>
    </xf>
    <xf numFmtId="3" fontId="165" fillId="2" borderId="1" xfId="0" applyNumberFormat="1" applyFont="1" applyFill="1" applyBorder="1" applyProtection="1">
      <protection locked="0"/>
    </xf>
    <xf numFmtId="165" fontId="30" fillId="0" borderId="0" xfId="0" applyNumberFormat="1" applyFont="1" applyAlignment="1" applyProtection="1">
      <alignment horizontal="right"/>
    </xf>
    <xf numFmtId="172" fontId="168" fillId="0" borderId="0" xfId="0" applyFont="1" applyProtection="1">
      <protection locked="0"/>
    </xf>
    <xf numFmtId="3" fontId="30" fillId="2" borderId="1" xfId="0" applyNumberFormat="1" applyFont="1" applyFill="1" applyBorder="1" applyProtection="1">
      <protection locked="0"/>
    </xf>
    <xf numFmtId="173" fontId="30" fillId="0" borderId="0" xfId="1" applyNumberFormat="1" applyFont="1" applyFill="1" applyBorder="1" applyAlignment="1" applyProtection="1">
      <protection locked="0"/>
    </xf>
    <xf numFmtId="3" fontId="169" fillId="0" borderId="0" xfId="0" applyNumberFormat="1" applyFont="1" applyProtection="1">
      <protection locked="0"/>
    </xf>
    <xf numFmtId="170" fontId="30" fillId="0" borderId="0" xfId="0" applyNumberFormat="1" applyFont="1" applyProtection="1">
      <protection locked="0"/>
    </xf>
    <xf numFmtId="172" fontId="169" fillId="0" borderId="0" xfId="0" applyFont="1" applyProtection="1">
      <protection locked="0"/>
    </xf>
    <xf numFmtId="172" fontId="170" fillId="0" borderId="0" xfId="0" applyFont="1" applyProtection="1">
      <protection locked="0"/>
    </xf>
    <xf numFmtId="172" fontId="171" fillId="0" borderId="0" xfId="0" applyFont="1" applyProtection="1">
      <protection locked="0"/>
    </xf>
    <xf numFmtId="172" fontId="169" fillId="0" borderId="0" xfId="0" applyFont="1" applyAlignment="1" applyProtection="1">
      <alignment horizontal="left" wrapText="1"/>
      <protection locked="0"/>
    </xf>
    <xf numFmtId="3" fontId="30" fillId="0" borderId="1" xfId="0" applyNumberFormat="1" applyFont="1" applyBorder="1" applyProtection="1">
      <protection locked="0"/>
    </xf>
    <xf numFmtId="3" fontId="30" fillId="0" borderId="1" xfId="0" applyNumberFormat="1" applyFont="1" applyBorder="1" applyAlignment="1" applyProtection="1">
      <alignment horizontal="center"/>
      <protection locked="0"/>
    </xf>
    <xf numFmtId="4" fontId="30" fillId="0" borderId="0" xfId="0" applyNumberFormat="1" applyFont="1" applyProtection="1">
      <protection locked="0"/>
    </xf>
    <xf numFmtId="4" fontId="30" fillId="0" borderId="0" xfId="0" applyNumberFormat="1" applyFont="1" applyProtection="1"/>
    <xf numFmtId="3" fontId="30" fillId="0" borderId="1" xfId="0" applyNumberFormat="1" applyFont="1" applyBorder="1" applyProtection="1"/>
    <xf numFmtId="166" fontId="30" fillId="0" borderId="0" xfId="0" applyNumberFormat="1" applyFont="1" applyAlignment="1" applyProtection="1">
      <alignment horizontal="center"/>
    </xf>
    <xf numFmtId="42" fontId="165" fillId="2" borderId="0" xfId="0" applyNumberFormat="1" applyFont="1" applyFill="1" applyProtection="1">
      <protection locked="0"/>
    </xf>
    <xf numFmtId="9" fontId="30" fillId="0" borderId="0" xfId="0" applyNumberFormat="1" applyFont="1" applyProtection="1"/>
    <xf numFmtId="169" fontId="30" fillId="0" borderId="0" xfId="0" applyNumberFormat="1" applyFont="1" applyProtection="1">
      <protection locked="0"/>
    </xf>
    <xf numFmtId="169" fontId="30" fillId="0" borderId="0" xfId="0" applyNumberFormat="1" applyFont="1" applyProtection="1"/>
    <xf numFmtId="3" fontId="30" fillId="0" borderId="0" xfId="0" quotePrefix="1" applyNumberFormat="1" applyFont="1" applyProtection="1">
      <protection locked="0"/>
    </xf>
    <xf numFmtId="169" fontId="30" fillId="0" borderId="1" xfId="0" applyNumberFormat="1" applyFont="1" applyBorder="1" applyProtection="1"/>
    <xf numFmtId="3" fontId="122" fillId="0" borderId="0" xfId="0" applyNumberFormat="1" applyFont="1" applyAlignment="1" applyProtection="1">
      <alignment horizontal="center"/>
    </xf>
    <xf numFmtId="10" fontId="30" fillId="2" borderId="0" xfId="0" applyNumberFormat="1" applyFont="1" applyFill="1" applyAlignment="1" applyProtection="1">
      <alignment vertical="top" wrapText="1"/>
      <protection locked="0"/>
    </xf>
    <xf numFmtId="174" fontId="30" fillId="75" borderId="0" xfId="4665" applyNumberFormat="1" applyFont="1" applyFill="1" applyAlignment="1"/>
    <xf numFmtId="174" fontId="165" fillId="0" borderId="0" xfId="190" applyNumberFormat="1" applyFont="1" applyFill="1" applyAlignment="1"/>
    <xf numFmtId="3" fontId="172" fillId="0" borderId="0" xfId="0" applyNumberFormat="1" applyFont="1" applyProtection="1">
      <protection locked="0"/>
    </xf>
    <xf numFmtId="43" fontId="30" fillId="0" borderId="0" xfId="4665" applyFont="1" applyFill="1" applyAlignment="1"/>
    <xf numFmtId="166" fontId="30" fillId="0" borderId="0" xfId="4665" applyNumberFormat="1" applyFont="1" applyFill="1" applyAlignment="1"/>
    <xf numFmtId="3" fontId="30" fillId="0" borderId="4" xfId="4597" applyNumberFormat="1" applyFont="1" applyBorder="1"/>
    <xf numFmtId="3" fontId="30" fillId="0" borderId="4" xfId="0" applyNumberFormat="1" applyFont="1" applyBorder="1" applyProtection="1"/>
    <xf numFmtId="0" fontId="30" fillId="0" borderId="4" xfId="0" applyNumberFormat="1" applyFont="1" applyBorder="1" applyProtection="1">
      <protection locked="0"/>
    </xf>
    <xf numFmtId="3" fontId="30" fillId="0" borderId="4" xfId="0" applyNumberFormat="1" applyFont="1" applyBorder="1" applyProtection="1">
      <protection locked="0"/>
    </xf>
    <xf numFmtId="49" fontId="30" fillId="0" borderId="4" xfId="0" applyNumberFormat="1" applyFont="1" applyBorder="1" applyProtection="1">
      <protection locked="0"/>
    </xf>
    <xf numFmtId="174" fontId="30" fillId="0" borderId="4" xfId="190" applyNumberFormat="1" applyFont="1" applyFill="1" applyBorder="1" applyAlignment="1"/>
    <xf numFmtId="3" fontId="30" fillId="0" borderId="3" xfId="0" applyNumberFormat="1" applyFont="1" applyBorder="1" applyAlignment="1" applyProtection="1">
      <alignment horizontal="center"/>
      <protection locked="0"/>
    </xf>
    <xf numFmtId="172" fontId="122" fillId="0" borderId="0" xfId="0" applyFont="1" applyAlignment="1">
      <alignment horizontal="center"/>
    </xf>
    <xf numFmtId="0" fontId="156" fillId="0" borderId="0" xfId="0" applyNumberFormat="1" applyFont="1" applyAlignment="1">
      <alignment horizontal="center"/>
    </xf>
    <xf numFmtId="0" fontId="30" fillId="0" borderId="0" xfId="4155" applyNumberFormat="1" applyFont="1" applyAlignment="1" applyProtection="1">
      <alignment horizontal="right"/>
      <protection locked="0"/>
    </xf>
    <xf numFmtId="172" fontId="9" fillId="0" borderId="0" xfId="0" applyFont="1"/>
    <xf numFmtId="172" fontId="174" fillId="0" borderId="0" xfId="0" applyFont="1"/>
    <xf numFmtId="172" fontId="9" fillId="0" borderId="0" xfId="0" applyFont="1" applyAlignment="1">
      <alignment horizontal="right"/>
    </xf>
    <xf numFmtId="172" fontId="9" fillId="0" borderId="0" xfId="0" applyFont="1" applyAlignment="1">
      <alignment vertical="top" wrapText="1"/>
    </xf>
    <xf numFmtId="172" fontId="9" fillId="3" borderId="0" xfId="0" applyFont="1" applyFill="1"/>
    <xf numFmtId="172" fontId="9" fillId="75" borderId="0" xfId="0" applyFont="1" applyFill="1"/>
    <xf numFmtId="172" fontId="9" fillId="0" borderId="0" xfId="0" applyFont="1" applyAlignment="1">
      <alignment vertical="top"/>
    </xf>
    <xf numFmtId="172" fontId="174" fillId="0" borderId="1" xfId="0" applyFont="1" applyBorder="1"/>
    <xf numFmtId="172" fontId="174" fillId="0" borderId="1" xfId="0" applyFont="1" applyBorder="1" applyAlignment="1">
      <alignment horizontal="center"/>
    </xf>
    <xf numFmtId="172" fontId="9" fillId="0" borderId="0" xfId="0" applyFont="1" applyAlignment="1">
      <alignment horizontal="center"/>
    </xf>
    <xf numFmtId="172" fontId="175" fillId="0" borderId="0" xfId="4663" applyNumberFormat="1" applyFont="1" applyFill="1" applyAlignment="1" applyProtection="1"/>
    <xf numFmtId="172" fontId="9" fillId="0" borderId="0" xfId="0" quotePrefix="1" applyFont="1" applyAlignment="1">
      <alignment horizontal="center"/>
    </xf>
    <xf numFmtId="172" fontId="9" fillId="0" borderId="0" xfId="0" applyFont="1" applyProtection="1"/>
    <xf numFmtId="172" fontId="176" fillId="0" borderId="0" xfId="0" applyFont="1"/>
    <xf numFmtId="172" fontId="9" fillId="0" borderId="0" xfId="0" quotePrefix="1" applyFont="1"/>
    <xf numFmtId="0" fontId="30" fillId="0" borderId="0" xfId="4" applyFont="1"/>
    <xf numFmtId="0" fontId="122" fillId="0" borderId="0" xfId="4" applyFont="1" applyAlignment="1">
      <alignment horizontal="right"/>
    </xf>
    <xf numFmtId="0" fontId="30" fillId="0" borderId="0" xfId="4" applyFont="1" applyAlignment="1">
      <alignment horizontal="right"/>
    </xf>
    <xf numFmtId="0" fontId="30" fillId="0" borderId="0" xfId="4" applyFont="1" applyAlignment="1">
      <alignment horizontal="center"/>
    </xf>
    <xf numFmtId="3" fontId="30" fillId="0" borderId="0" xfId="0" applyNumberFormat="1" applyFont="1" applyAlignment="1">
      <alignment horizontal="center"/>
    </xf>
    <xf numFmtId="3" fontId="30" fillId="0" borderId="0" xfId="0" applyNumberFormat="1" applyFont="1"/>
    <xf numFmtId="0" fontId="30" fillId="0" borderId="3" xfId="4" applyFont="1" applyBorder="1" applyAlignment="1">
      <alignment horizontal="center"/>
    </xf>
    <xf numFmtId="172" fontId="30" fillId="0" borderId="3" xfId="0" applyFont="1" applyBorder="1" applyAlignment="1">
      <alignment horizontal="center"/>
    </xf>
    <xf numFmtId="0" fontId="30" fillId="0" borderId="3" xfId="0" applyNumberFormat="1" applyFont="1" applyBorder="1" applyAlignment="1" applyProtection="1">
      <alignment horizontal="center"/>
      <protection locked="0"/>
    </xf>
    <xf numFmtId="173" fontId="165" fillId="2" borderId="0" xfId="1" applyNumberFormat="1" applyFont="1" applyFill="1" applyBorder="1"/>
    <xf numFmtId="43" fontId="30" fillId="0" borderId="0" xfId="190" applyFont="1" applyFill="1"/>
    <xf numFmtId="3" fontId="30" fillId="0" borderId="0" xfId="4" applyNumberFormat="1" applyFont="1"/>
    <xf numFmtId="174" fontId="30" fillId="0" borderId="0" xfId="190" applyNumberFormat="1" applyFont="1" applyFill="1"/>
    <xf numFmtId="174" fontId="30" fillId="0" borderId="0" xfId="4" applyNumberFormat="1" applyFont="1"/>
    <xf numFmtId="173" fontId="30" fillId="0" borderId="14" xfId="1" applyNumberFormat="1" applyFont="1" applyFill="1" applyBorder="1"/>
    <xf numFmtId="44" fontId="30" fillId="0" borderId="0" xfId="4" applyNumberFormat="1" applyFont="1"/>
    <xf numFmtId="0" fontId="122" fillId="0" borderId="0" xfId="4" applyFont="1"/>
    <xf numFmtId="174" fontId="30" fillId="0" borderId="0" xfId="190" applyNumberFormat="1" applyFont="1"/>
    <xf numFmtId="174" fontId="30" fillId="0" borderId="4" xfId="190" applyNumberFormat="1" applyFont="1" applyFill="1" applyBorder="1"/>
    <xf numFmtId="174" fontId="122" fillId="0" borderId="0" xfId="190" applyNumberFormat="1" applyFont="1" applyFill="1"/>
    <xf numFmtId="173" fontId="30" fillId="0" borderId="0" xfId="1" applyNumberFormat="1" applyFont="1" applyFill="1" applyBorder="1"/>
    <xf numFmtId="0" fontId="156" fillId="0" borderId="0" xfId="4" applyFont="1"/>
    <xf numFmtId="9" fontId="30" fillId="0" borderId="0" xfId="4475" applyFont="1"/>
    <xf numFmtId="172" fontId="122" fillId="0" borderId="0" xfId="0" applyFont="1" applyAlignment="1">
      <alignment horizontal="right"/>
    </xf>
    <xf numFmtId="49" fontId="122" fillId="0" borderId="0" xfId="4598" applyNumberFormat="1" applyFont="1" applyAlignment="1">
      <alignment horizontal="center"/>
    </xf>
    <xf numFmtId="0" fontId="30" fillId="0" borderId="3" xfId="4" applyFont="1" applyBorder="1"/>
    <xf numFmtId="10" fontId="30" fillId="0" borderId="0" xfId="3" applyNumberFormat="1" applyFont="1" applyFill="1"/>
    <xf numFmtId="10" fontId="30" fillId="0" borderId="0" xfId="4" applyNumberFormat="1" applyFont="1"/>
    <xf numFmtId="49" fontId="122" fillId="0" borderId="0" xfId="4" applyNumberFormat="1" applyFont="1"/>
    <xf numFmtId="172" fontId="122" fillId="0" borderId="0" xfId="0" applyFont="1" applyAlignment="1" applyProtection="1">
      <alignment horizontal="center" wrapText="1"/>
      <protection locked="0"/>
    </xf>
    <xf numFmtId="172" fontId="122" fillId="0" borderId="3" xfId="0" applyFont="1" applyBorder="1" applyAlignment="1" applyProtection="1">
      <alignment horizontal="center"/>
      <protection locked="0"/>
    </xf>
    <xf numFmtId="172" fontId="122" fillId="0" borderId="3" xfId="0" applyFont="1" applyBorder="1" applyAlignment="1" applyProtection="1">
      <alignment horizontal="center" wrapText="1"/>
      <protection locked="0"/>
    </xf>
    <xf numFmtId="174" fontId="30" fillId="0" borderId="0" xfId="4665" applyNumberFormat="1" applyFont="1" applyBorder="1" applyAlignment="1">
      <alignment horizontal="center"/>
    </xf>
    <xf numFmtId="10" fontId="9" fillId="56" borderId="0" xfId="4352" applyNumberFormat="1" applyFont="1" applyFill="1" applyBorder="1"/>
    <xf numFmtId="307" fontId="9" fillId="56" borderId="0" xfId="0" applyNumberFormat="1" applyFont="1" applyFill="1"/>
    <xf numFmtId="10" fontId="30" fillId="0" borderId="0" xfId="4666" applyNumberFormat="1" applyFont="1" applyBorder="1" applyAlignment="1">
      <alignment horizontal="right"/>
    </xf>
    <xf numFmtId="172" fontId="30" fillId="0" borderId="0" xfId="0" applyFont="1" applyAlignment="1" applyProtection="1">
      <alignment horizontal="right"/>
    </xf>
    <xf numFmtId="174" fontId="30" fillId="0" borderId="0" xfId="0" applyNumberFormat="1" applyFont="1" applyProtection="1"/>
    <xf numFmtId="174" fontId="30" fillId="0" borderId="17" xfId="0" applyNumberFormat="1" applyFont="1" applyBorder="1" applyProtection="1"/>
    <xf numFmtId="10" fontId="30" fillId="0" borderId="0" xfId="3" applyNumberFormat="1" applyFont="1" applyFill="1" applyBorder="1"/>
    <xf numFmtId="0" fontId="30" fillId="0" borderId="0" xfId="4476" applyFont="1"/>
    <xf numFmtId="0" fontId="30" fillId="0" borderId="0" xfId="4476" applyFont="1" applyAlignment="1">
      <alignment horizontal="center"/>
    </xf>
    <xf numFmtId="0" fontId="30" fillId="0" borderId="0" xfId="4476" applyFont="1" applyAlignment="1">
      <alignment horizontal="right"/>
    </xf>
    <xf numFmtId="0" fontId="122" fillId="0" borderId="0" xfId="4476" applyFont="1" applyAlignment="1">
      <alignment horizontal="left"/>
    </xf>
    <xf numFmtId="0" fontId="30" fillId="0" borderId="0" xfId="4476" applyFont="1" applyAlignment="1">
      <alignment horizontal="left"/>
    </xf>
    <xf numFmtId="16" fontId="30" fillId="0" borderId="0" xfId="4476" applyNumberFormat="1" applyFont="1" applyAlignment="1">
      <alignment horizontal="center"/>
    </xf>
    <xf numFmtId="0" fontId="30" fillId="0" borderId="0" xfId="4476" applyFont="1" applyAlignment="1">
      <alignment horizontal="left" wrapText="1"/>
    </xf>
    <xf numFmtId="0" fontId="30" fillId="0" borderId="0" xfId="4476" applyFont="1" applyAlignment="1">
      <alignment wrapText="1"/>
    </xf>
    <xf numFmtId="0" fontId="122" fillId="0" borderId="1" xfId="4476" applyFont="1" applyBorder="1" applyAlignment="1">
      <alignment horizontal="center" wrapText="1"/>
    </xf>
    <xf numFmtId="0" fontId="177" fillId="0" borderId="0" xfId="4476" applyFont="1"/>
    <xf numFmtId="173" fontId="30" fillId="0" borderId="0" xfId="4476" applyNumberFormat="1" applyFont="1"/>
    <xf numFmtId="174" fontId="177" fillId="0" borderId="0" xfId="190" applyNumberFormat="1" applyFont="1" applyFill="1" applyProtection="1"/>
    <xf numFmtId="0" fontId="178" fillId="0" borderId="0" xfId="4476" applyFont="1" applyAlignment="1">
      <alignment horizontal="center"/>
    </xf>
    <xf numFmtId="174" fontId="177" fillId="0" borderId="0" xfId="4477" applyNumberFormat="1" applyFont="1" applyFill="1" applyProtection="1"/>
    <xf numFmtId="173" fontId="30" fillId="0" borderId="0" xfId="1" applyNumberFormat="1" applyFont="1" applyFill="1" applyProtection="1"/>
    <xf numFmtId="174" fontId="30" fillId="0" borderId="0" xfId="4476" applyNumberFormat="1" applyFont="1"/>
    <xf numFmtId="0" fontId="30" fillId="0" borderId="0" xfId="4476" applyFont="1" applyAlignment="1">
      <alignment horizontal="center" vertical="top"/>
    </xf>
    <xf numFmtId="0" fontId="9" fillId="0" borderId="0" xfId="4476" applyFont="1" applyAlignment="1">
      <alignment horizontal="center"/>
    </xf>
    <xf numFmtId="0" fontId="9" fillId="0" borderId="0" xfId="4476" applyFont="1"/>
    <xf numFmtId="172" fontId="30" fillId="0" borderId="0" xfId="4667" applyNumberFormat="1" applyFont="1" applyAlignment="1"/>
    <xf numFmtId="172" fontId="30" fillId="0" borderId="0" xfId="4667" applyNumberFormat="1" applyFont="1" applyAlignment="1">
      <alignment horizontal="right"/>
    </xf>
    <xf numFmtId="0" fontId="30" fillId="0" borderId="0" xfId="4667" applyNumberFormat="1" applyFont="1" applyAlignment="1"/>
    <xf numFmtId="172" fontId="30" fillId="0" borderId="0" xfId="4667" applyNumberFormat="1" applyFont="1" applyBorder="1" applyAlignment="1"/>
    <xf numFmtId="0" fontId="30" fillId="0" borderId="0" xfId="4667" applyNumberFormat="1" applyFont="1" applyBorder="1" applyAlignment="1"/>
    <xf numFmtId="193" fontId="30" fillId="0" borderId="0" xfId="4667" applyNumberFormat="1" applyFont="1" applyAlignment="1"/>
    <xf numFmtId="172" fontId="30" fillId="0" borderId="0" xfId="4667" applyNumberFormat="1" applyFont="1" applyFill="1" applyBorder="1" applyAlignment="1"/>
    <xf numFmtId="306" fontId="38" fillId="0" borderId="0" xfId="4667" applyNumberFormat="1" applyFont="1" applyFill="1" applyAlignment="1">
      <alignment horizontal="left"/>
    </xf>
    <xf numFmtId="41" fontId="30" fillId="78" borderId="0" xfId="1" applyNumberFormat="1" applyFont="1" applyFill="1" applyAlignment="1" applyProtection="1">
      <protection locked="0"/>
    </xf>
    <xf numFmtId="173" fontId="30" fillId="0" borderId="0" xfId="1" applyNumberFormat="1" applyFont="1" applyFill="1" applyBorder="1" applyAlignment="1"/>
    <xf numFmtId="172" fontId="30" fillId="0" borderId="38" xfId="4667" applyNumberFormat="1" applyFont="1" applyBorder="1" applyAlignment="1"/>
    <xf numFmtId="172" fontId="156" fillId="0" borderId="0" xfId="4667" applyNumberFormat="1" applyFont="1" applyBorder="1" applyAlignment="1">
      <alignment horizontal="center"/>
    </xf>
    <xf numFmtId="42" fontId="38" fillId="0" borderId="0" xfId="4667" applyNumberFormat="1" applyFont="1" applyAlignment="1"/>
    <xf numFmtId="42" fontId="38" fillId="0" borderId="0" xfId="4667" applyNumberFormat="1" applyFont="1" applyBorder="1" applyAlignment="1"/>
    <xf numFmtId="42" fontId="38" fillId="0" borderId="38" xfId="4667" applyNumberFormat="1" applyFont="1" applyBorder="1" applyAlignment="1"/>
    <xf numFmtId="42" fontId="38" fillId="0" borderId="0" xfId="1" applyNumberFormat="1" applyFont="1" applyFill="1" applyBorder="1" applyAlignment="1"/>
    <xf numFmtId="42" fontId="30" fillId="0" borderId="38" xfId="4667" applyNumberFormat="1" applyFont="1" applyBorder="1" applyAlignment="1"/>
    <xf numFmtId="42" fontId="30" fillId="0" borderId="0" xfId="4667" applyNumberFormat="1" applyFont="1" applyBorder="1" applyAlignment="1"/>
    <xf numFmtId="306" fontId="30" fillId="0" borderId="0" xfId="4667" applyNumberFormat="1" applyFont="1" applyFill="1" applyAlignment="1">
      <alignment horizontal="left"/>
    </xf>
    <xf numFmtId="170" fontId="30" fillId="0" borderId="0" xfId="4667" applyNumberFormat="1" applyFont="1" applyAlignment="1"/>
    <xf numFmtId="172" fontId="30" fillId="0" borderId="0" xfId="4667" applyNumberFormat="1" applyFont="1" applyFill="1" applyAlignment="1"/>
    <xf numFmtId="172" fontId="156" fillId="0" borderId="0" xfId="4667" applyNumberFormat="1" applyFont="1" applyAlignment="1">
      <alignment horizontal="center"/>
    </xf>
    <xf numFmtId="172" fontId="122" fillId="0" borderId="0" xfId="4667" quotePrefix="1" applyNumberFormat="1" applyFont="1" applyFill="1" applyAlignment="1"/>
    <xf numFmtId="172" fontId="30" fillId="0" borderId="0" xfId="4667" applyNumberFormat="1" applyFont="1" applyAlignment="1">
      <alignment horizontal="center" vertical="top"/>
    </xf>
    <xf numFmtId="172" fontId="30" fillId="0" borderId="0" xfId="4667" applyNumberFormat="1" applyFont="1" applyBorder="1" applyAlignment="1">
      <alignment horizontal="center"/>
    </xf>
    <xf numFmtId="172" fontId="30" fillId="0" borderId="3" xfId="4667" applyNumberFormat="1" applyFont="1" applyFill="1" applyBorder="1"/>
    <xf numFmtId="172" fontId="30" fillId="0" borderId="0" xfId="4667" applyNumberFormat="1" applyFont="1" applyFill="1"/>
    <xf numFmtId="0" fontId="30" fillId="0" borderId="0" xfId="4667" applyNumberFormat="1" applyFont="1" applyFill="1" applyAlignment="1">
      <alignment horizontal="center"/>
    </xf>
    <xf numFmtId="172" fontId="122" fillId="0" borderId="17" xfId="4667" applyNumberFormat="1" applyFont="1" applyFill="1" applyBorder="1" applyAlignment="1">
      <alignment horizontal="center" wrapText="1"/>
    </xf>
    <xf numFmtId="172" fontId="122" fillId="0" borderId="54" xfId="4667" applyNumberFormat="1" applyFont="1" applyFill="1" applyBorder="1" applyAlignment="1">
      <alignment horizontal="center" wrapText="1"/>
    </xf>
    <xf numFmtId="172" fontId="30" fillId="0" borderId="0" xfId="0" applyFont="1" applyAlignment="1">
      <alignment horizontal="left" vertical="center" wrapText="1"/>
    </xf>
    <xf numFmtId="0" fontId="30" fillId="0" borderId="0" xfId="4228" applyFont="1" applyAlignment="1">
      <alignment horizontal="left" vertical="top" wrapText="1"/>
    </xf>
    <xf numFmtId="44" fontId="30" fillId="0" borderId="0" xfId="4" applyNumberFormat="1" applyFont="1" applyAlignment="1">
      <alignment horizontal="center"/>
    </xf>
    <xf numFmtId="10" fontId="30" fillId="0" borderId="0" xfId="4665" applyNumberFormat="1" applyFont="1" applyFill="1" applyAlignment="1">
      <alignment horizontal="center"/>
    </xf>
    <xf numFmtId="10" fontId="30" fillId="0" borderId="0" xfId="3" applyNumberFormat="1" applyFont="1" applyFill="1" applyAlignment="1">
      <alignment horizontal="center"/>
    </xf>
    <xf numFmtId="0" fontId="30" fillId="0" borderId="4" xfId="4" applyFont="1" applyBorder="1"/>
    <xf numFmtId="10" fontId="30"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0" fillId="0" borderId="0" xfId="4598" applyFont="1" applyAlignment="1">
      <alignment horizontal="center"/>
    </xf>
    <xf numFmtId="44" fontId="164"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64" fillId="0" borderId="0" xfId="0" applyNumberFormat="1" applyFont="1" applyProtection="1">
      <protection locked="0"/>
    </xf>
    <xf numFmtId="172" fontId="122" fillId="0" borderId="0" xfId="4667" applyNumberFormat="1" applyFont="1" applyBorder="1" applyAlignment="1"/>
    <xf numFmtId="172" fontId="30" fillId="0" borderId="37" xfId="4667" applyNumberFormat="1" applyFont="1" applyFill="1" applyBorder="1" applyAlignment="1"/>
    <xf numFmtId="172" fontId="30" fillId="0" borderId="37" xfId="4667" applyNumberFormat="1" applyFont="1" applyBorder="1" applyAlignment="1"/>
    <xf numFmtId="172" fontId="156"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8"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2" fillId="0" borderId="0" xfId="4667" applyNumberFormat="1" applyFont="1" applyFill="1" applyAlignment="1">
      <alignment horizontal="center"/>
    </xf>
    <xf numFmtId="0" fontId="30" fillId="0" borderId="0" xfId="4671" applyFont="1"/>
    <xf numFmtId="0" fontId="30" fillId="0" borderId="0" xfId="4671" quotePrefix="1" applyFont="1"/>
    <xf numFmtId="0" fontId="30" fillId="0" borderId="0" xfId="4671" applyFont="1" applyAlignment="1">
      <alignment horizontal="center"/>
    </xf>
    <xf numFmtId="37" fontId="30" fillId="0" borderId="0" xfId="4671" applyNumberFormat="1" applyFont="1" applyAlignment="1">
      <alignment horizontal="right"/>
    </xf>
    <xf numFmtId="0" fontId="184" fillId="0" borderId="27" xfId="4671" applyFont="1" applyBorder="1"/>
    <xf numFmtId="37" fontId="30" fillId="0" borderId="0" xfId="4671" applyNumberFormat="1" applyFont="1"/>
    <xf numFmtId="0" fontId="30" fillId="0" borderId="0" xfId="4671" applyFont="1" applyAlignment="1">
      <alignment horizontal="left" indent="1"/>
    </xf>
    <xf numFmtId="5" fontId="30" fillId="0" borderId="0" xfId="4671" applyNumberFormat="1" applyFont="1"/>
    <xf numFmtId="0" fontId="30" fillId="0" borderId="0" xfId="4671" applyFont="1" applyAlignment="1">
      <alignment horizontal="left" indent="2"/>
    </xf>
    <xf numFmtId="0" fontId="131" fillId="0" borderId="0" xfId="4473" applyFont="1" applyAlignment="1">
      <alignment horizontal="left" indent="2"/>
    </xf>
    <xf numFmtId="0" fontId="184" fillId="0" borderId="0" xfId="4671" applyFont="1" applyAlignment="1">
      <alignment horizontal="left"/>
    </xf>
    <xf numFmtId="212" fontId="30" fillId="0" borderId="0" xfId="4671" applyNumberFormat="1" applyFont="1"/>
    <xf numFmtId="309" fontId="30" fillId="0" borderId="0" xfId="4671" applyNumberFormat="1" applyFont="1"/>
    <xf numFmtId="0" fontId="122" fillId="0" borderId="0" xfId="4671" applyFont="1"/>
    <xf numFmtId="0" fontId="156" fillId="0" borderId="0" xfId="4" applyFont="1" applyAlignment="1">
      <alignment horizontal="center"/>
    </xf>
    <xf numFmtId="174" fontId="30" fillId="0" borderId="0" xfId="4665" applyNumberFormat="1" applyFont="1" applyFill="1" applyAlignment="1" applyProtection="1">
      <alignment horizontal="center"/>
      <protection locked="0"/>
    </xf>
    <xf numFmtId="43" fontId="30" fillId="0" borderId="0" xfId="190" applyFont="1" applyFill="1" applyAlignment="1"/>
    <xf numFmtId="172" fontId="30" fillId="0" borderId="0" xfId="4667" applyNumberFormat="1" applyFont="1" applyFill="1" applyAlignment="1">
      <alignment horizontal="right"/>
    </xf>
    <xf numFmtId="172" fontId="122" fillId="0" borderId="0" xfId="4667" applyNumberFormat="1" applyFont="1" applyBorder="1"/>
    <xf numFmtId="172" fontId="122" fillId="0" borderId="0" xfId="4667" applyNumberFormat="1" applyFont="1" applyBorder="1" applyAlignment="1">
      <alignment horizontal="center"/>
    </xf>
    <xf numFmtId="172" fontId="30" fillId="0" borderId="0" xfId="4667" quotePrefix="1" applyNumberFormat="1" applyFont="1" applyAlignment="1">
      <alignment horizontal="center"/>
    </xf>
    <xf numFmtId="172" fontId="30" fillId="0" borderId="0" xfId="4667" quotePrefix="1" applyNumberFormat="1" applyFont="1" applyFill="1" applyAlignment="1">
      <alignment horizontal="center"/>
    </xf>
    <xf numFmtId="172" fontId="122" fillId="0" borderId="0" xfId="4667" applyNumberFormat="1" applyFont="1" applyAlignment="1"/>
    <xf numFmtId="172" fontId="122" fillId="0" borderId="0" xfId="4667" applyNumberFormat="1" applyFont="1" applyAlignment="1">
      <alignment horizontal="center"/>
    </xf>
    <xf numFmtId="172" fontId="122" fillId="0" borderId="1" xfId="4667" applyNumberFormat="1" applyFont="1" applyBorder="1" applyAlignment="1">
      <alignment horizontal="center"/>
    </xf>
    <xf numFmtId="172" fontId="122" fillId="0" borderId="1" xfId="4667" applyNumberFormat="1" applyFont="1" applyFill="1" applyBorder="1" applyAlignment="1">
      <alignment horizontal="center"/>
    </xf>
    <xf numFmtId="0" fontId="30" fillId="0" borderId="0" xfId="190" applyNumberFormat="1" applyFont="1" applyAlignment="1">
      <alignment horizontal="center"/>
    </xf>
    <xf numFmtId="170" fontId="30" fillId="0" borderId="0" xfId="190" applyNumberFormat="1" applyFont="1" applyFill="1" applyBorder="1" applyAlignment="1"/>
    <xf numFmtId="0" fontId="30" fillId="0" borderId="0" xfId="4667" applyNumberFormat="1" applyFont="1" applyAlignment="1">
      <alignment horizontal="center"/>
    </xf>
    <xf numFmtId="193" fontId="30" fillId="0" borderId="0" xfId="4667" applyNumberFormat="1" applyFont="1" applyFill="1" applyAlignment="1"/>
    <xf numFmtId="41" fontId="30" fillId="0" borderId="0" xfId="4668" applyNumberFormat="1" applyFont="1" applyProtection="1">
      <protection locked="0"/>
    </xf>
    <xf numFmtId="271" fontId="30" fillId="79" borderId="0" xfId="190" applyNumberFormat="1" applyFont="1" applyFill="1" applyAlignment="1"/>
    <xf numFmtId="41" fontId="30" fillId="0" borderId="0" xfId="4667" applyNumberFormat="1" applyFont="1" applyFill="1" applyBorder="1" applyAlignment="1"/>
    <xf numFmtId="172" fontId="30" fillId="0" borderId="4" xfId="4667" applyNumberFormat="1" applyFont="1" applyFill="1" applyBorder="1" applyAlignment="1"/>
    <xf numFmtId="173" fontId="30" fillId="0" borderId="4" xfId="1" applyNumberFormat="1" applyFont="1" applyFill="1" applyBorder="1" applyAlignment="1"/>
    <xf numFmtId="271" fontId="30" fillId="0" borderId="4" xfId="190" applyNumberFormat="1" applyFont="1" applyFill="1" applyBorder="1" applyAlignment="1"/>
    <xf numFmtId="173" fontId="30" fillId="0" borderId="0" xfId="4668" applyNumberFormat="1" applyFont="1" applyProtection="1">
      <protection locked="0"/>
    </xf>
    <xf numFmtId="0" fontId="30" fillId="0" borderId="4" xfId="4667" applyNumberFormat="1" applyFont="1" applyBorder="1" applyAlignment="1"/>
    <xf numFmtId="1" fontId="30" fillId="0" borderId="4" xfId="4668" applyNumberFormat="1" applyFont="1" applyBorder="1" applyAlignment="1" applyProtection="1">
      <alignment horizontal="left"/>
      <protection locked="0"/>
    </xf>
    <xf numFmtId="173" fontId="30" fillId="0" borderId="4" xfId="4668" applyNumberFormat="1" applyFont="1" applyBorder="1" applyProtection="1">
      <protection locked="0"/>
    </xf>
    <xf numFmtId="173" fontId="30" fillId="0" borderId="0" xfId="1" applyNumberFormat="1" applyFont="1" applyFill="1" applyAlignment="1"/>
    <xf numFmtId="172" fontId="122" fillId="0" borderId="0" xfId="4669" applyFont="1" applyAlignment="1">
      <alignment horizontal="left"/>
    </xf>
    <xf numFmtId="42" fontId="30" fillId="0" borderId="0" xfId="4667" applyNumberFormat="1" applyFont="1" applyAlignment="1"/>
    <xf numFmtId="0" fontId="30" fillId="0" borderId="0" xfId="4667" applyNumberFormat="1" applyFont="1" applyFill="1" applyBorder="1" applyAlignment="1"/>
    <xf numFmtId="41" fontId="115" fillId="0" borderId="0" xfId="4668" applyNumberFormat="1" applyFont="1" applyProtection="1">
      <protection locked="0"/>
    </xf>
    <xf numFmtId="172" fontId="30" fillId="0" borderId="0" xfId="4667" applyNumberFormat="1" applyFont="1" applyFill="1" applyBorder="1" applyAlignment="1">
      <alignment horizontal="center"/>
    </xf>
    <xf numFmtId="193" fontId="30" fillId="0" borderId="0" xfId="4667" applyNumberFormat="1" applyFont="1" applyFill="1" applyBorder="1" applyAlignment="1"/>
    <xf numFmtId="42" fontId="30" fillId="0" borderId="0" xfId="4667" applyNumberFormat="1" applyFont="1" applyFill="1" applyBorder="1" applyAlignment="1"/>
    <xf numFmtId="10" fontId="30" fillId="0" borderId="0" xfId="4667" applyNumberFormat="1" applyFont="1" applyFill="1" applyBorder="1" applyAlignment="1"/>
    <xf numFmtId="41" fontId="185" fillId="0" borderId="0" xfId="4667" applyNumberFormat="1" applyFont="1" applyFill="1" applyBorder="1" applyAlignment="1"/>
    <xf numFmtId="0" fontId="30" fillId="0" borderId="0" xfId="4670" applyFont="1"/>
    <xf numFmtId="1" fontId="165" fillId="3" borderId="0" xfId="0" applyNumberFormat="1" applyFont="1" applyFill="1" applyAlignment="1" applyProtection="1">
      <alignment horizontal="center"/>
      <protection locked="0"/>
    </xf>
    <xf numFmtId="14" fontId="30" fillId="0" borderId="0" xfId="0" applyNumberFormat="1" applyFont="1" applyProtection="1">
      <protection locked="0"/>
    </xf>
    <xf numFmtId="1" fontId="30" fillId="0" borderId="0" xfId="0" applyNumberFormat="1" applyFont="1" applyAlignment="1" applyProtection="1">
      <alignment horizontal="center"/>
      <protection locked="0"/>
    </xf>
    <xf numFmtId="0" fontId="30" fillId="0" borderId="0" xfId="4" applyFont="1" applyAlignment="1">
      <alignment horizontal="center" vertical="top"/>
    </xf>
    <xf numFmtId="42" fontId="30" fillId="0" borderId="0" xfId="0" applyNumberFormat="1" applyFont="1" applyAlignment="1" applyProtection="1">
      <alignment horizontal="right"/>
    </xf>
    <xf numFmtId="0" fontId="30" fillId="0" borderId="0" xfId="0" applyNumberFormat="1" applyFont="1"/>
    <xf numFmtId="172" fontId="122" fillId="0" borderId="0" xfId="0" applyFont="1"/>
    <xf numFmtId="0" fontId="122" fillId="0" borderId="0" xfId="4" applyFont="1" applyAlignment="1">
      <alignment horizontal="center"/>
    </xf>
    <xf numFmtId="3" fontId="30" fillId="0" borderId="1" xfId="0" applyNumberFormat="1" applyFont="1" applyBorder="1" applyAlignment="1">
      <alignment horizontal="center"/>
    </xf>
    <xf numFmtId="0" fontId="122" fillId="0" borderId="1" xfId="4" applyFont="1" applyBorder="1" applyAlignment="1">
      <alignment horizontal="center"/>
    </xf>
    <xf numFmtId="0" fontId="30" fillId="0" borderId="0" xfId="4" applyFont="1" applyAlignment="1">
      <alignment horizontal="center" vertical="center"/>
    </xf>
    <xf numFmtId="174" fontId="30"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5" fillId="3" borderId="0" xfId="1" applyNumberFormat="1" applyFont="1" applyFill="1" applyAlignment="1"/>
    <xf numFmtId="173" fontId="30" fillId="0" borderId="4" xfId="1" applyNumberFormat="1" applyFont="1" applyFill="1" applyBorder="1"/>
    <xf numFmtId="0" fontId="30" fillId="0" borderId="4" xfId="4671" applyFont="1" applyBorder="1" applyAlignment="1">
      <alignment horizontal="left" indent="1"/>
    </xf>
    <xf numFmtId="42" fontId="122" fillId="0" borderId="0" xfId="1" applyNumberFormat="1" applyFont="1" applyFill="1" applyBorder="1" applyAlignment="1" applyProtection="1">
      <alignment horizontal="right"/>
    </xf>
    <xf numFmtId="0" fontId="30" fillId="0" borderId="0" xfId="4671" applyFont="1" applyAlignment="1">
      <alignment horizontal="left"/>
    </xf>
    <xf numFmtId="173" fontId="30" fillId="0" borderId="0" xfId="4671" applyNumberFormat="1" applyFont="1"/>
    <xf numFmtId="173" fontId="30" fillId="0" borderId="15" xfId="4671" applyNumberFormat="1" applyFont="1" applyBorder="1"/>
    <xf numFmtId="0" fontId="30" fillId="0" borderId="0" xfId="0" applyNumberFormat="1" applyFont="1" applyAlignment="1" applyProtection="1">
      <alignment vertical="top" wrapText="1"/>
      <protection locked="0"/>
    </xf>
    <xf numFmtId="0" fontId="122" fillId="0" borderId="0" xfId="4155" applyNumberFormat="1" applyFont="1" applyAlignment="1" applyProtection="1">
      <alignment horizontal="center"/>
      <protection locked="0"/>
    </xf>
    <xf numFmtId="49" fontId="122" fillId="0" borderId="0" xfId="4597" applyNumberFormat="1" applyFont="1" applyAlignment="1">
      <alignment horizontal="center"/>
    </xf>
    <xf numFmtId="168" fontId="30" fillId="0" borderId="0" xfId="0" applyNumberFormat="1" applyFont="1" applyProtection="1">
      <protection locked="0"/>
    </xf>
    <xf numFmtId="172" fontId="122" fillId="0" borderId="0" xfId="0" applyFont="1" applyProtection="1">
      <protection locked="0"/>
    </xf>
    <xf numFmtId="172" fontId="188" fillId="0" borderId="0" xfId="0" applyFont="1" applyProtection="1">
      <protection locked="0"/>
    </xf>
    <xf numFmtId="172" fontId="122" fillId="0" borderId="3" xfId="0" applyFont="1" applyBorder="1" applyAlignment="1">
      <alignment horizontal="center"/>
    </xf>
    <xf numFmtId="172" fontId="30" fillId="0" borderId="3" xfId="0" applyFont="1" applyBorder="1"/>
    <xf numFmtId="172" fontId="30" fillId="0" borderId="0" xfId="0" applyFont="1" applyAlignment="1" applyProtection="1">
      <alignment wrapText="1"/>
      <protection locked="0"/>
    </xf>
    <xf numFmtId="0" fontId="131" fillId="0" borderId="0" xfId="4473" applyFont="1" applyAlignment="1">
      <alignment horizontal="center"/>
    </xf>
    <xf numFmtId="0" fontId="30" fillId="0" borderId="0" xfId="4472" applyNumberFormat="1" applyFont="1" applyFill="1" applyBorder="1" applyAlignment="1">
      <alignment horizontal="left"/>
    </xf>
    <xf numFmtId="174" fontId="30" fillId="0" borderId="0" xfId="4472" applyNumberFormat="1" applyFont="1" applyFill="1" applyBorder="1"/>
    <xf numFmtId="0" fontId="30" fillId="0" borderId="0" xfId="4472" applyNumberFormat="1" applyFont="1" applyFill="1" applyBorder="1" applyAlignment="1">
      <alignment horizontal="center"/>
    </xf>
    <xf numFmtId="174" fontId="165" fillId="2" borderId="0" xfId="4472" applyNumberFormat="1" applyFont="1" applyFill="1" applyBorder="1"/>
    <xf numFmtId="174" fontId="30" fillId="0" borderId="4" xfId="4472" applyNumberFormat="1" applyFont="1" applyFill="1" applyBorder="1"/>
    <xf numFmtId="172" fontId="30" fillId="0" borderId="4" xfId="0" applyFont="1" applyBorder="1"/>
    <xf numFmtId="172" fontId="122" fillId="0" borderId="0" xfId="0" applyFont="1" applyAlignment="1" applyProtection="1">
      <alignment horizontal="left"/>
      <protection locked="0"/>
    </xf>
    <xf numFmtId="172" fontId="30" fillId="0" borderId="0" xfId="0" applyFont="1" applyAlignment="1" applyProtection="1">
      <alignment horizontal="centerContinuous"/>
      <protection locked="0"/>
    </xf>
    <xf numFmtId="172" fontId="189" fillId="0" borderId="0" xfId="0" applyFont="1" applyAlignment="1">
      <alignment horizontal="left"/>
    </xf>
    <xf numFmtId="0" fontId="122" fillId="0" borderId="3" xfId="4471" applyFont="1" applyBorder="1" applyAlignment="1">
      <alignment horizontal="center"/>
    </xf>
    <xf numFmtId="172" fontId="165" fillId="2" borderId="27" xfId="0" applyFont="1" applyFill="1" applyBorder="1"/>
    <xf numFmtId="0" fontId="165" fillId="2" borderId="27" xfId="4471" applyFont="1" applyFill="1" applyBorder="1"/>
    <xf numFmtId="174" fontId="165" fillId="2" borderId="27" xfId="190" applyNumberFormat="1" applyFont="1" applyFill="1" applyBorder="1"/>
    <xf numFmtId="37" fontId="165" fillId="2" borderId="27" xfId="0" applyNumberFormat="1" applyFont="1" applyFill="1" applyBorder="1"/>
    <xf numFmtId="172" fontId="190" fillId="0" borderId="0" xfId="0" applyFont="1"/>
    <xf numFmtId="172" fontId="165" fillId="2" borderId="46" xfId="0" applyFont="1" applyFill="1" applyBorder="1"/>
    <xf numFmtId="37" fontId="165" fillId="2" borderId="46" xfId="0" applyNumberFormat="1" applyFont="1" applyFill="1" applyBorder="1"/>
    <xf numFmtId="37" fontId="30" fillId="0" borderId="4" xfId="0" applyNumberFormat="1" applyFont="1" applyBorder="1"/>
    <xf numFmtId="43" fontId="30" fillId="0" borderId="0" xfId="190" applyFont="1"/>
    <xf numFmtId="37" fontId="30" fillId="0" borderId="0" xfId="0" applyNumberFormat="1" applyFont="1"/>
    <xf numFmtId="172" fontId="184" fillId="0" borderId="0" xfId="0" applyFont="1"/>
    <xf numFmtId="174" fontId="30" fillId="0" borderId="0" xfId="0" applyNumberFormat="1" applyFont="1"/>
    <xf numFmtId="172" fontId="156" fillId="0" borderId="0" xfId="0" applyFont="1"/>
    <xf numFmtId="172" fontId="156"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0" fillId="0" borderId="51" xfId="4667" applyNumberFormat="1" applyFont="1" applyBorder="1" applyAlignment="1"/>
    <xf numFmtId="172" fontId="30" fillId="0" borderId="4" xfId="4667" applyNumberFormat="1" applyFont="1" applyBorder="1" applyAlignment="1"/>
    <xf numFmtId="0" fontId="30" fillId="0" borderId="47" xfId="4667" applyNumberFormat="1" applyFont="1" applyBorder="1" applyAlignment="1"/>
    <xf numFmtId="172" fontId="30" fillId="0" borderId="37" xfId="4667" applyNumberFormat="1" applyFont="1" applyFill="1" applyBorder="1" applyAlignment="1">
      <alignment horizontal="center"/>
    </xf>
    <xf numFmtId="172" fontId="30" fillId="0" borderId="38" xfId="4667" applyNumberFormat="1" applyFont="1" applyFill="1" applyBorder="1" applyAlignment="1">
      <alignment horizontal="center"/>
    </xf>
    <xf numFmtId="172" fontId="30" fillId="0" borderId="37" xfId="4667" applyNumberFormat="1" applyFont="1" applyBorder="1" applyAlignment="1">
      <alignment horizontal="center"/>
    </xf>
    <xf numFmtId="172" fontId="30" fillId="0" borderId="38" xfId="4667" applyNumberFormat="1" applyFont="1" applyBorder="1" applyAlignment="1">
      <alignment horizontal="center"/>
    </xf>
    <xf numFmtId="172" fontId="122" fillId="0" borderId="3" xfId="4667" applyNumberFormat="1" applyFont="1" applyBorder="1" applyAlignment="1">
      <alignment horizontal="center"/>
    </xf>
    <xf numFmtId="172" fontId="30" fillId="0" borderId="56" xfId="4667" applyNumberFormat="1" applyFont="1" applyBorder="1" applyAlignment="1">
      <alignment horizontal="center"/>
    </xf>
    <xf numFmtId="172" fontId="30" fillId="0" borderId="1" xfId="4667" applyNumberFormat="1" applyFont="1" applyBorder="1" applyAlignment="1">
      <alignment horizontal="center"/>
    </xf>
    <xf numFmtId="172" fontId="30" fillId="0" borderId="57" xfId="4667" applyNumberFormat="1" applyFont="1" applyBorder="1" applyAlignment="1">
      <alignment horizontal="center"/>
    </xf>
    <xf numFmtId="193" fontId="30" fillId="0" borderId="0" xfId="4352" applyNumberFormat="1" applyFont="1" applyFill="1" applyBorder="1" applyAlignment="1"/>
    <xf numFmtId="193" fontId="30" fillId="0" borderId="0" xfId="4667" applyNumberFormat="1" applyFont="1" applyBorder="1" applyAlignment="1"/>
    <xf numFmtId="173" fontId="30" fillId="0" borderId="0" xfId="1" applyNumberFormat="1" applyFont="1" applyFill="1" applyBorder="1" applyAlignment="1" applyProtection="1">
      <alignment vertical="center"/>
      <protection locked="0"/>
    </xf>
    <xf numFmtId="173" fontId="30" fillId="0" borderId="0" xfId="4667" applyNumberFormat="1" applyFont="1" applyFill="1" applyBorder="1" applyAlignment="1"/>
    <xf numFmtId="42" fontId="30" fillId="56" borderId="0" xfId="4667" quotePrefix="1" applyNumberFormat="1" applyFont="1" applyFill="1" applyAlignment="1">
      <alignment horizontal="left"/>
    </xf>
    <xf numFmtId="42" fontId="30" fillId="0" borderId="0" xfId="190" applyNumberFormat="1" applyFont="1" applyBorder="1" applyAlignment="1"/>
    <xf numFmtId="42" fontId="30" fillId="0" borderId="0" xfId="190" applyNumberFormat="1" applyFont="1" applyFill="1" applyBorder="1" applyAlignment="1"/>
    <xf numFmtId="42" fontId="30" fillId="0" borderId="38" xfId="190" applyNumberFormat="1" applyFont="1" applyBorder="1" applyAlignment="1"/>
    <xf numFmtId="306" fontId="30" fillId="0" borderId="0" xfId="4667" quotePrefix="1" applyNumberFormat="1" applyFont="1" applyFill="1" applyAlignment="1">
      <alignment horizontal="left"/>
    </xf>
    <xf numFmtId="170" fontId="187" fillId="0" borderId="37" xfId="4667" applyNumberFormat="1" applyFont="1" applyBorder="1" applyAlignment="1"/>
    <xf numFmtId="42" fontId="30" fillId="0" borderId="0" xfId="1" applyNumberFormat="1" applyFont="1" applyFill="1" applyBorder="1" applyAlignment="1"/>
    <xf numFmtId="172" fontId="30" fillId="0" borderId="52" xfId="4667" applyNumberFormat="1" applyFont="1" applyBorder="1" applyAlignment="1"/>
    <xf numFmtId="42" fontId="30" fillId="0" borderId="3" xfId="4667" applyNumberFormat="1" applyFont="1" applyFill="1" applyBorder="1" applyAlignment="1"/>
    <xf numFmtId="42" fontId="30" fillId="0" borderId="53" xfId="4667" applyNumberFormat="1" applyFont="1" applyBorder="1" applyAlignment="1"/>
    <xf numFmtId="41" fontId="30" fillId="0" borderId="0" xfId="4667" applyNumberFormat="1" applyFont="1" applyFill="1" applyAlignment="1"/>
    <xf numFmtId="172" fontId="190" fillId="0" borderId="0" xfId="4667" applyNumberFormat="1" applyFont="1" applyFill="1" applyAlignment="1"/>
    <xf numFmtId="172" fontId="30" fillId="0" borderId="17" xfId="4667" applyNumberFormat="1" applyFont="1" applyFill="1" applyBorder="1" applyAlignment="1">
      <alignment horizontal="center"/>
    </xf>
    <xf numFmtId="172" fontId="30" fillId="0" borderId="17" xfId="4667" quotePrefix="1" applyNumberFormat="1" applyFont="1" applyFill="1" applyBorder="1" applyAlignment="1">
      <alignment horizontal="center"/>
    </xf>
    <xf numFmtId="10" fontId="30" fillId="0" borderId="48" xfId="4352" applyNumberFormat="1" applyFont="1" applyFill="1" applyBorder="1"/>
    <xf numFmtId="10" fontId="30" fillId="56" borderId="51" xfId="4352" applyNumberFormat="1" applyFont="1" applyFill="1" applyBorder="1"/>
    <xf numFmtId="10" fontId="30" fillId="56" borderId="54" xfId="4352" applyNumberFormat="1" applyFont="1" applyFill="1" applyBorder="1"/>
    <xf numFmtId="41" fontId="115" fillId="2" borderId="49" xfId="4352" applyNumberFormat="1" applyFont="1" applyFill="1" applyBorder="1"/>
    <xf numFmtId="174" fontId="30" fillId="0" borderId="17" xfId="190" applyNumberFormat="1" applyFont="1" applyFill="1" applyBorder="1"/>
    <xf numFmtId="172" fontId="189" fillId="0" borderId="0" xfId="4667" applyNumberFormat="1" applyFont="1" applyAlignment="1"/>
    <xf numFmtId="10" fontId="30" fillId="56" borderId="37" xfId="4352" applyNumberFormat="1" applyFont="1" applyFill="1" applyBorder="1"/>
    <xf numFmtId="10" fontId="30" fillId="56" borderId="55" xfId="4352" applyNumberFormat="1" applyFont="1" applyFill="1" applyBorder="1"/>
    <xf numFmtId="10" fontId="30" fillId="56" borderId="52" xfId="4352" applyNumberFormat="1" applyFont="1" applyFill="1" applyBorder="1"/>
    <xf numFmtId="10" fontId="30" fillId="56" borderId="58" xfId="4352" applyNumberFormat="1" applyFont="1" applyFill="1" applyBorder="1"/>
    <xf numFmtId="172" fontId="190" fillId="0" borderId="0" xfId="4667" applyNumberFormat="1" applyFont="1" applyAlignment="1"/>
    <xf numFmtId="10" fontId="30" fillId="0" borderId="17" xfId="4352" applyNumberFormat="1" applyFont="1" applyFill="1" applyBorder="1"/>
    <xf numFmtId="10" fontId="30" fillId="0" borderId="58" xfId="4352" applyNumberFormat="1" applyFont="1" applyFill="1" applyBorder="1"/>
    <xf numFmtId="41" fontId="30" fillId="0" borderId="52" xfId="4352" applyNumberFormat="1" applyFont="1" applyFill="1" applyBorder="1"/>
    <xf numFmtId="308" fontId="30" fillId="0" borderId="52" xfId="4352" applyNumberFormat="1" applyFont="1" applyFill="1" applyBorder="1"/>
    <xf numFmtId="174" fontId="30" fillId="0" borderId="49" xfId="190" applyNumberFormat="1" applyFont="1" applyFill="1" applyBorder="1"/>
    <xf numFmtId="172" fontId="30" fillId="0" borderId="17" xfId="4667" applyNumberFormat="1" applyFont="1" applyFill="1" applyBorder="1" applyAlignment="1">
      <alignment horizontal="right"/>
    </xf>
    <xf numFmtId="174" fontId="30" fillId="0" borderId="17" xfId="4667" applyNumberFormat="1" applyFont="1" applyFill="1" applyBorder="1"/>
    <xf numFmtId="174" fontId="30" fillId="0" borderId="48" xfId="4667" applyNumberFormat="1" applyFont="1" applyFill="1" applyBorder="1"/>
    <xf numFmtId="174" fontId="30" fillId="0" borderId="49" xfId="4667" applyNumberFormat="1" applyFont="1" applyFill="1" applyBorder="1"/>
    <xf numFmtId="308" fontId="30" fillId="0" borderId="49" xfId="4667" applyNumberFormat="1" applyFont="1" applyFill="1" applyBorder="1"/>
    <xf numFmtId="172" fontId="30" fillId="0" borderId="0" xfId="4667" applyNumberFormat="1" applyFont="1" applyFill="1" applyAlignment="1">
      <alignment vertical="top"/>
    </xf>
    <xf numFmtId="172" fontId="30" fillId="0" borderId="0" xfId="4667" applyNumberFormat="1" applyFont="1" applyAlignment="1">
      <alignment horizontal="left" vertical="top"/>
    </xf>
    <xf numFmtId="172" fontId="122" fillId="0" borderId="0" xfId="4667" applyNumberFormat="1" applyFont="1" applyFill="1" applyAlignment="1"/>
    <xf numFmtId="172" fontId="115" fillId="0" borderId="0" xfId="4667" applyNumberFormat="1" applyFont="1" applyFill="1" applyAlignment="1"/>
    <xf numFmtId="172" fontId="115" fillId="0" borderId="0" xfId="4667" applyNumberFormat="1" applyFont="1" applyAlignment="1"/>
    <xf numFmtId="172" fontId="192" fillId="0" borderId="0" xfId="4667" applyNumberFormat="1" applyFont="1" applyFill="1" applyAlignment="1"/>
    <xf numFmtId="44" fontId="30" fillId="0" borderId="0" xfId="1" applyFont="1" applyFill="1" applyBorder="1" applyAlignment="1"/>
    <xf numFmtId="174" fontId="165" fillId="3" borderId="0" xfId="4665" applyNumberFormat="1" applyFont="1" applyFill="1" applyAlignment="1"/>
    <xf numFmtId="174" fontId="165" fillId="0" borderId="0" xfId="4665" applyNumberFormat="1" applyFont="1" applyFill="1" applyAlignment="1"/>
    <xf numFmtId="174" fontId="30" fillId="0" borderId="0" xfId="4665" applyNumberFormat="1" applyFont="1" applyFill="1" applyAlignment="1"/>
    <xf numFmtId="173" fontId="122" fillId="0" borderId="15" xfId="4476" applyNumberFormat="1" applyFont="1" applyBorder="1" applyAlignment="1">
      <alignment wrapText="1"/>
    </xf>
    <xf numFmtId="2" fontId="30" fillId="0" borderId="0" xfId="0" applyNumberFormat="1" applyFont="1" applyProtection="1"/>
    <xf numFmtId="165" fontId="30" fillId="0" borderId="4" xfId="0" applyNumberFormat="1" applyFont="1" applyBorder="1" applyProtection="1"/>
    <xf numFmtId="172" fontId="30"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0"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0" fillId="0" borderId="0" xfId="4" applyNumberFormat="1" applyFont="1" applyAlignment="1">
      <alignment horizontal="center"/>
    </xf>
    <xf numFmtId="172" fontId="122" fillId="0" borderId="0" xfId="4667" applyNumberFormat="1" applyFont="1" applyFill="1" applyBorder="1" applyAlignment="1">
      <alignment horizontal="center"/>
    </xf>
    <xf numFmtId="164" fontId="115" fillId="3" borderId="37" xfId="4666" applyNumberFormat="1" applyFont="1" applyFill="1" applyBorder="1" applyAlignment="1" applyProtection="1">
      <alignment vertical="center"/>
      <protection locked="0"/>
    </xf>
    <xf numFmtId="10" fontId="30" fillId="0" borderId="52" xfId="4352" quotePrefix="1" applyNumberFormat="1" applyFont="1" applyBorder="1" applyAlignment="1">
      <alignment horizontal="center"/>
    </xf>
    <xf numFmtId="10" fontId="30" fillId="0" borderId="3" xfId="4352" quotePrefix="1" applyNumberFormat="1" applyFont="1" applyBorder="1" applyAlignment="1">
      <alignment horizontal="center"/>
    </xf>
    <xf numFmtId="172" fontId="30" fillId="0" borderId="3" xfId="4667" applyNumberFormat="1" applyFont="1" applyBorder="1" applyAlignment="1">
      <alignment horizontal="center"/>
    </xf>
    <xf numFmtId="174" fontId="30" fillId="0" borderId="4" xfId="4665" applyNumberFormat="1" applyFont="1" applyBorder="1" applyAlignment="1"/>
    <xf numFmtId="172" fontId="30" fillId="0" borderId="52" xfId="4667" applyNumberFormat="1" applyFont="1" applyBorder="1" applyAlignment="1">
      <alignment horizontal="center"/>
    </xf>
    <xf numFmtId="172" fontId="30" fillId="0" borderId="53" xfId="4667" applyNumberFormat="1" applyFont="1" applyBorder="1" applyAlignment="1">
      <alignment horizontal="center"/>
    </xf>
    <xf numFmtId="172" fontId="122" fillId="0" borderId="0" xfId="4667" applyNumberFormat="1" applyFont="1" applyFill="1" applyBorder="1" applyAlignment="1">
      <alignment horizontal="center" vertical="center"/>
    </xf>
    <xf numFmtId="172" fontId="30" fillId="0" borderId="0" xfId="4667" applyNumberFormat="1" applyFont="1" applyFill="1" applyAlignment="1">
      <alignment horizontal="center" vertical="center"/>
    </xf>
    <xf numFmtId="172" fontId="30" fillId="0" borderId="0" xfId="4667" applyNumberFormat="1" applyFont="1" applyAlignment="1">
      <alignment horizontal="center" vertical="center"/>
    </xf>
    <xf numFmtId="0" fontId="30" fillId="0" borderId="0" xfId="4667" applyNumberFormat="1" applyFont="1" applyAlignment="1">
      <alignment horizontal="center" vertical="center"/>
    </xf>
    <xf numFmtId="172" fontId="122" fillId="0" borderId="3" xfId="4667" applyNumberFormat="1" applyFont="1" applyBorder="1" applyAlignment="1">
      <alignment horizontal="center" vertical="center"/>
    </xf>
    <xf numFmtId="172" fontId="30" fillId="0" borderId="0" xfId="4667" applyNumberFormat="1" applyFont="1" applyFill="1" applyAlignment="1">
      <alignment vertical="top" wrapText="1"/>
    </xf>
    <xf numFmtId="249" fontId="178" fillId="0" borderId="0" xfId="4665" applyNumberFormat="1" applyFont="1"/>
    <xf numFmtId="172" fontId="30" fillId="0" borderId="47" xfId="4667" applyNumberFormat="1" applyFont="1" applyFill="1" applyBorder="1" applyAlignment="1">
      <alignment horizontal="center"/>
    </xf>
    <xf numFmtId="311" fontId="30" fillId="0" borderId="0" xfId="4667" applyNumberFormat="1" applyFont="1" applyAlignment="1"/>
    <xf numFmtId="172" fontId="30" fillId="3" borderId="37" xfId="4667" applyNumberFormat="1" applyFont="1" applyFill="1" applyBorder="1" applyAlignment="1">
      <alignment horizontal="right" wrapText="1"/>
    </xf>
    <xf numFmtId="44" fontId="30" fillId="0" borderId="0" xfId="1" applyFont="1" applyAlignment="1" applyProtection="1">
      <protection locked="0"/>
    </xf>
    <xf numFmtId="312" fontId="30" fillId="0" borderId="0" xfId="1" applyNumberFormat="1" applyFont="1" applyAlignment="1" applyProtection="1">
      <protection locked="0"/>
    </xf>
    <xf numFmtId="313" fontId="30" fillId="0" borderId="0" xfId="0" applyNumberFormat="1" applyFont="1" applyProtection="1">
      <protection locked="0"/>
    </xf>
    <xf numFmtId="172" fontId="30" fillId="0" borderId="51" xfId="4667" applyNumberFormat="1" applyFont="1" applyFill="1" applyBorder="1" applyAlignment="1">
      <alignment horizontal="center"/>
    </xf>
    <xf numFmtId="172" fontId="30" fillId="0" borderId="4" xfId="4667" applyNumberFormat="1" applyFont="1" applyFill="1" applyBorder="1" applyAlignment="1">
      <alignment horizontal="center"/>
    </xf>
    <xf numFmtId="14" fontId="30" fillId="0" borderId="0" xfId="0" applyNumberFormat="1" applyFont="1"/>
    <xf numFmtId="174" fontId="178" fillId="0" borderId="0" xfId="190" applyNumberFormat="1" applyFont="1" applyBorder="1" applyAlignment="1">
      <alignment vertical="center" wrapText="1"/>
    </xf>
    <xf numFmtId="41" fontId="30" fillId="78" borderId="4" xfId="1" applyNumberFormat="1" applyFont="1" applyFill="1" applyBorder="1" applyAlignment="1" applyProtection="1">
      <protection locked="0"/>
    </xf>
    <xf numFmtId="41" fontId="30" fillId="0" borderId="0" xfId="1" applyNumberFormat="1" applyFont="1" applyFill="1" applyAlignment="1" applyProtection="1">
      <protection locked="0"/>
    </xf>
    <xf numFmtId="41" fontId="30" fillId="0" borderId="4" xfId="1" applyNumberFormat="1" applyFont="1" applyFill="1" applyBorder="1" applyAlignment="1" applyProtection="1">
      <protection locked="0"/>
    </xf>
    <xf numFmtId="310" fontId="30" fillId="0" borderId="0" xfId="1" applyNumberFormat="1" applyFont="1" applyFill="1" applyAlignment="1" applyProtection="1">
      <protection locked="0"/>
    </xf>
    <xf numFmtId="174" fontId="30" fillId="0" borderId="4" xfId="4665" applyNumberFormat="1" applyFont="1" applyFill="1" applyBorder="1" applyAlignment="1"/>
    <xf numFmtId="3" fontId="30" fillId="0" borderId="0" xfId="0" quotePrefix="1" applyNumberFormat="1" applyFont="1" applyProtection="1"/>
    <xf numFmtId="0" fontId="30" fillId="0" borderId="0" xfId="4" quotePrefix="1" applyFont="1"/>
    <xf numFmtId="172" fontId="180" fillId="0" borderId="0" xfId="0" applyFont="1"/>
    <xf numFmtId="0" fontId="30" fillId="0" borderId="0" xfId="0" applyNumberFormat="1" applyFont="1" applyAlignment="1" applyProtection="1">
      <alignment horizontal="center" vertical="top" wrapText="1"/>
      <protection locked="0"/>
    </xf>
    <xf numFmtId="172" fontId="30" fillId="0" borderId="47" xfId="0" applyFont="1" applyBorder="1"/>
    <xf numFmtId="173" fontId="30" fillId="0" borderId="17" xfId="0" applyNumberFormat="1" applyFont="1" applyBorder="1"/>
    <xf numFmtId="174" fontId="30" fillId="0" borderId="0" xfId="190" applyNumberFormat="1" applyFont="1" applyBorder="1"/>
    <xf numFmtId="174" fontId="30" fillId="0" borderId="0" xfId="190" applyNumberFormat="1" applyFont="1" applyBorder="1" applyAlignment="1">
      <alignment horizontal="right"/>
    </xf>
    <xf numFmtId="271" fontId="30" fillId="0" borderId="0" xfId="190" applyNumberFormat="1" applyFont="1" applyBorder="1"/>
    <xf numFmtId="174" fontId="30" fillId="0" borderId="15" xfId="190" applyNumberFormat="1" applyFont="1" applyBorder="1"/>
    <xf numFmtId="41" fontId="30" fillId="0" borderId="0" xfId="4598" applyNumberFormat="1" applyFont="1"/>
    <xf numFmtId="0" fontId="122" fillId="0" borderId="49" xfId="4598" applyFont="1" applyBorder="1"/>
    <xf numFmtId="0" fontId="122" fillId="0" borderId="17" xfId="4598" applyFont="1" applyBorder="1"/>
    <xf numFmtId="0" fontId="30" fillId="0" borderId="0" xfId="4598" applyFont="1" applyAlignment="1">
      <alignment horizontal="center" wrapText="1"/>
    </xf>
    <xf numFmtId="49" fontId="122" fillId="0" borderId="0" xfId="4" applyNumberFormat="1" applyFont="1" applyAlignment="1">
      <alignment horizontal="center"/>
    </xf>
    <xf numFmtId="0" fontId="122"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44" fontId="30"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0" fillId="3" borderId="0" xfId="0" applyNumberFormat="1" applyFont="1" applyFill="1" applyProtection="1"/>
    <xf numFmtId="174" fontId="194" fillId="0" borderId="4" xfId="4690" applyNumberFormat="1" applyFont="1" applyBorder="1"/>
    <xf numFmtId="0" fontId="30" fillId="0" borderId="0" xfId="4" applyFont="1" applyAlignment="1">
      <alignment horizontal="left"/>
    </xf>
    <xf numFmtId="0" fontId="156" fillId="0" borderId="0" xfId="4476" applyFont="1" applyAlignment="1">
      <alignment horizontal="center"/>
    </xf>
    <xf numFmtId="173" fontId="30" fillId="0" borderId="4" xfId="1" applyNumberFormat="1" applyFont="1" applyBorder="1"/>
    <xf numFmtId="173" fontId="30" fillId="0" borderId="17" xfId="1" applyNumberFormat="1" applyFont="1" applyBorder="1"/>
    <xf numFmtId="173" fontId="30" fillId="0" borderId="47" xfId="1" applyNumberFormat="1" applyFont="1" applyBorder="1"/>
    <xf numFmtId="174" fontId="30" fillId="0" borderId="17" xfId="190" applyNumberFormat="1" applyFont="1" applyFill="1" applyBorder="1" applyAlignment="1"/>
    <xf numFmtId="305" fontId="30" fillId="0" borderId="0" xfId="4665" applyNumberFormat="1" applyFont="1" applyFill="1" applyAlignment="1" applyProtection="1">
      <protection locked="0"/>
    </xf>
    <xf numFmtId="174" fontId="30" fillId="0" borderId="14" xfId="190" applyNumberFormat="1" applyFont="1" applyFill="1" applyBorder="1"/>
    <xf numFmtId="0" fontId="30"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5" fillId="3" borderId="0" xfId="190" applyNumberFormat="1" applyFont="1" applyFill="1" applyAlignment="1"/>
    <xf numFmtId="173" fontId="30" fillId="0" borderId="0" xfId="1" applyNumberFormat="1" applyFont="1" applyBorder="1"/>
    <xf numFmtId="10" fontId="30" fillId="0" borderId="0" xfId="3" applyNumberFormat="1" applyFont="1" applyFill="1" applyBorder="1" applyAlignment="1">
      <alignment horizontal="center"/>
    </xf>
    <xf numFmtId="3" fontId="30" fillId="3" borderId="0" xfId="0" applyNumberFormat="1" applyFont="1" applyFill="1" applyProtection="1"/>
    <xf numFmtId="10" fontId="30" fillId="0" borderId="53" xfId="4352" quotePrefix="1" applyNumberFormat="1" applyFont="1" applyBorder="1" applyAlignment="1">
      <alignment horizontal="center"/>
    </xf>
    <xf numFmtId="172" fontId="30" fillId="0" borderId="38" xfId="4667" applyNumberFormat="1" applyFont="1" applyFill="1" applyBorder="1" applyAlignment="1"/>
    <xf numFmtId="42" fontId="30" fillId="0" borderId="37" xfId="190" applyNumberFormat="1" applyFont="1" applyBorder="1" applyAlignment="1"/>
    <xf numFmtId="172" fontId="30" fillId="80" borderId="38" xfId="4667" applyNumberFormat="1" applyFont="1" applyFill="1" applyBorder="1" applyAlignment="1"/>
    <xf numFmtId="172" fontId="30" fillId="80" borderId="0" xfId="4667" applyNumberFormat="1" applyFont="1" applyFill="1" applyBorder="1" applyAlignment="1"/>
    <xf numFmtId="42" fontId="30" fillId="0" borderId="37" xfId="4667" applyNumberFormat="1" applyFont="1" applyBorder="1" applyAlignment="1"/>
    <xf numFmtId="174" fontId="30" fillId="0" borderId="47" xfId="4665" applyNumberFormat="1" applyFont="1" applyFill="1" applyBorder="1" applyAlignment="1"/>
    <xf numFmtId="42" fontId="30" fillId="0" borderId="52" xfId="4667" applyNumberFormat="1" applyFont="1" applyBorder="1" applyAlignment="1"/>
    <xf numFmtId="42" fontId="30" fillId="0" borderId="3" xfId="4667" applyNumberFormat="1" applyFont="1" applyBorder="1" applyAlignment="1"/>
    <xf numFmtId="173" fontId="30" fillId="0" borderId="3" xfId="1" applyNumberFormat="1" applyFont="1" applyFill="1" applyBorder="1" applyAlignment="1"/>
    <xf numFmtId="172" fontId="30" fillId="0" borderId="3" xfId="4667" applyNumberFormat="1" applyFont="1" applyBorder="1" applyAlignment="1"/>
    <xf numFmtId="173" fontId="30" fillId="0" borderId="53" xfId="1" applyNumberFormat="1" applyFont="1" applyFill="1" applyBorder="1" applyAlignment="1"/>
    <xf numFmtId="170" fontId="30" fillId="0" borderId="37" xfId="4667" applyNumberFormat="1" applyFont="1" applyBorder="1" applyAlignment="1"/>
    <xf numFmtId="174" fontId="30" fillId="0" borderId="0" xfId="4665" applyNumberFormat="1" applyFont="1" applyBorder="1" applyAlignment="1"/>
    <xf numFmtId="237" fontId="30" fillId="0" borderId="0" xfId="4666" applyNumberFormat="1" applyFont="1" applyBorder="1" applyAlignment="1"/>
    <xf numFmtId="174" fontId="30" fillId="0" borderId="38" xfId="4665" applyNumberFormat="1" applyFont="1" applyBorder="1" applyAlignment="1"/>
    <xf numFmtId="172" fontId="30" fillId="80" borderId="37" xfId="4667" applyNumberFormat="1" applyFont="1" applyFill="1" applyBorder="1" applyAlignment="1"/>
    <xf numFmtId="174" fontId="30" fillId="0" borderId="51" xfId="4665" applyNumberFormat="1" applyFont="1" applyBorder="1" applyAlignment="1"/>
    <xf numFmtId="174" fontId="30" fillId="0" borderId="47" xfId="4665" applyNumberFormat="1" applyFont="1" applyBorder="1" applyAlignment="1"/>
    <xf numFmtId="172" fontId="30" fillId="0" borderId="53" xfId="4667" applyNumberFormat="1" applyFont="1" applyBorder="1" applyAlignment="1"/>
    <xf numFmtId="174" fontId="30"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164" fontId="30" fillId="0" borderId="0" xfId="4597" applyNumberFormat="1" applyFont="1" applyAlignment="1">
      <alignment horizontal="left"/>
    </xf>
    <xf numFmtId="0" fontId="122" fillId="0" borderId="0" xfId="0" applyNumberFormat="1" applyFont="1"/>
    <xf numFmtId="44" fontId="30" fillId="0" borderId="3" xfId="4" applyNumberFormat="1" applyFont="1" applyBorder="1" applyAlignment="1">
      <alignment horizontal="center"/>
    </xf>
    <xf numFmtId="43" fontId="30" fillId="0" borderId="0" xfId="4665" applyFont="1" applyFill="1"/>
    <xf numFmtId="43" fontId="30" fillId="0" borderId="0" xfId="4665" applyFont="1" applyFill="1" applyAlignment="1">
      <alignment horizontal="right"/>
    </xf>
    <xf numFmtId="10" fontId="30" fillId="0" borderId="4" xfId="4665" applyNumberFormat="1" applyFont="1" applyFill="1" applyBorder="1" applyAlignment="1">
      <alignment horizontal="center"/>
    </xf>
    <xf numFmtId="10" fontId="30"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174" fontId="178" fillId="0" borderId="0" xfId="4665" applyNumberFormat="1" applyFont="1" applyFill="1" applyBorder="1" applyAlignment="1">
      <alignment horizontal="center" vertical="center" wrapText="1"/>
    </xf>
    <xf numFmtId="41" fontId="30" fillId="3" borderId="0" xfId="4598" applyNumberFormat="1" applyFont="1" applyFill="1"/>
    <xf numFmtId="174" fontId="30" fillId="3" borderId="0" xfId="4665" applyNumberFormat="1" applyFont="1" applyFill="1" applyAlignment="1"/>
    <xf numFmtId="3" fontId="165" fillId="3" borderId="0" xfId="0" applyNumberFormat="1" applyFont="1" applyFill="1" applyProtection="1">
      <protection locked="0"/>
    </xf>
    <xf numFmtId="311" fontId="30" fillId="0" borderId="0" xfId="4667" applyNumberFormat="1" applyFont="1" applyFill="1" applyAlignment="1">
      <alignment horizontal="center" vertical="center"/>
    </xf>
    <xf numFmtId="311" fontId="30" fillId="0" borderId="0" xfId="4667" applyNumberFormat="1" applyFont="1" applyFill="1" applyBorder="1" applyAlignment="1">
      <alignment horizontal="center"/>
    </xf>
    <xf numFmtId="311" fontId="30" fillId="0" borderId="37" xfId="4667" applyNumberFormat="1" applyFont="1" applyFill="1" applyBorder="1" applyAlignment="1">
      <alignment horizontal="center"/>
    </xf>
    <xf numFmtId="311" fontId="30" fillId="0" borderId="38" xfId="4667" applyNumberFormat="1" applyFont="1" applyFill="1" applyBorder="1" applyAlignment="1">
      <alignment horizontal="center"/>
    </xf>
    <xf numFmtId="0" fontId="30" fillId="0" borderId="0" xfId="4667" applyNumberFormat="1" applyFont="1" applyFill="1" applyBorder="1" applyAlignment="1">
      <alignment horizontal="center"/>
    </xf>
    <xf numFmtId="0" fontId="30" fillId="0" borderId="38" xfId="4667" applyNumberFormat="1" applyFont="1" applyFill="1" applyBorder="1" applyAlignment="1">
      <alignment horizontal="center"/>
    </xf>
    <xf numFmtId="0" fontId="30"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5" fillId="3" borderId="0" xfId="1" applyNumberFormat="1" applyFont="1" applyFill="1"/>
    <xf numFmtId="192" fontId="186" fillId="3" borderId="0" xfId="0" applyNumberFormat="1" applyFont="1" applyFill="1" applyAlignment="1">
      <alignment horizontal="center"/>
    </xf>
    <xf numFmtId="0" fontId="30" fillId="0" borderId="4" xfId="4671" applyFont="1" applyBorder="1" applyAlignment="1">
      <alignment horizontal="left"/>
    </xf>
    <xf numFmtId="164" fontId="196" fillId="0" borderId="0" xfId="4597" applyNumberFormat="1" applyFont="1" applyAlignment="1">
      <alignment horizontal="left"/>
    </xf>
    <xf numFmtId="174" fontId="122" fillId="0" borderId="0" xfId="4696" applyNumberFormat="1" applyFont="1" applyFill="1" applyBorder="1" applyAlignment="1">
      <alignment horizontal="center"/>
    </xf>
    <xf numFmtId="174" fontId="122" fillId="0" borderId="0" xfId="4696" applyNumberFormat="1" applyFont="1" applyFill="1" applyBorder="1" applyAlignment="1"/>
    <xf numFmtId="3" fontId="122" fillId="0" borderId="0" xfId="4695" applyNumberFormat="1" applyFont="1"/>
    <xf numFmtId="174" fontId="122" fillId="0" borderId="3" xfId="4696" applyNumberFormat="1" applyFont="1" applyFill="1" applyBorder="1" applyAlignment="1"/>
    <xf numFmtId="164" fontId="122" fillId="0" borderId="0" xfId="4697" applyNumberFormat="1" applyFont="1" applyFill="1"/>
    <xf numFmtId="172" fontId="122" fillId="0" borderId="0" xfId="4695" applyNumberFormat="1" applyFont="1"/>
    <xf numFmtId="3" fontId="30" fillId="0" borderId="0" xfId="4695" applyNumberFormat="1" applyFont="1"/>
    <xf numFmtId="174" fontId="30" fillId="3" borderId="0" xfId="4696" applyNumberFormat="1" applyFont="1" applyFill="1" applyBorder="1" applyAlignment="1">
      <alignment horizontal="center"/>
    </xf>
    <xf numFmtId="174" fontId="30" fillId="0" borderId="3" xfId="4696" applyNumberFormat="1" applyFont="1" applyFill="1" applyBorder="1" applyAlignment="1"/>
    <xf numFmtId="174" fontId="30" fillId="3" borderId="3" xfId="4696" applyNumberFormat="1" applyFont="1" applyFill="1" applyBorder="1" applyAlignment="1">
      <alignment horizontal="center"/>
    </xf>
    <xf numFmtId="174" fontId="30" fillId="3" borderId="3" xfId="4696" applyNumberFormat="1" applyFont="1" applyFill="1" applyBorder="1" applyAlignment="1"/>
    <xf numFmtId="3" fontId="30" fillId="3" borderId="3" xfId="4695" applyNumberFormat="1" applyFont="1" applyFill="1" applyBorder="1" applyAlignment="1">
      <alignment horizontal="right"/>
    </xf>
    <xf numFmtId="3" fontId="30" fillId="3" borderId="0" xfId="4695" applyNumberFormat="1" applyFont="1" applyFill="1" applyAlignment="1">
      <alignment horizontal="right"/>
    </xf>
    <xf numFmtId="3" fontId="30" fillId="3" borderId="0" xfId="4695" applyNumberFormat="1" applyFont="1" applyFill="1"/>
    <xf numFmtId="174" fontId="30" fillId="0" borderId="0" xfId="4696" applyNumberFormat="1" applyFont="1" applyFill="1" applyBorder="1" applyAlignment="1"/>
    <xf numFmtId="3" fontId="30" fillId="0" borderId="0" xfId="4695" applyNumberFormat="1" applyFont="1" applyAlignment="1">
      <alignment horizontal="center"/>
    </xf>
    <xf numFmtId="174" fontId="30" fillId="3" borderId="0" xfId="4696" applyNumberFormat="1" applyFont="1" applyFill="1" applyAlignment="1"/>
    <xf numFmtId="3" fontId="30" fillId="3" borderId="0" xfId="4695" quotePrefix="1" applyNumberFormat="1" applyFont="1" applyFill="1" applyAlignment="1">
      <alignment horizontal="right"/>
    </xf>
    <xf numFmtId="174" fontId="122" fillId="0" borderId="4" xfId="4696" applyNumberFormat="1" applyFont="1" applyFill="1" applyBorder="1" applyAlignment="1"/>
    <xf numFmtId="164" fontId="30" fillId="3" borderId="3" xfId="4697" applyNumberFormat="1" applyFont="1" applyFill="1" applyBorder="1" applyAlignment="1">
      <alignment horizontal="center"/>
    </xf>
    <xf numFmtId="3" fontId="30" fillId="0" borderId="0" xfId="4698" applyNumberFormat="1" applyFont="1"/>
    <xf numFmtId="174" fontId="30" fillId="0" borderId="0" xfId="4696" applyNumberFormat="1" applyFont="1" applyFill="1" applyBorder="1" applyAlignment="1">
      <alignment horizontal="center"/>
    </xf>
    <xf numFmtId="172" fontId="122" fillId="0" borderId="0" xfId="4695" applyNumberFormat="1" applyFont="1" applyAlignment="1">
      <alignment horizontal="center" wrapText="1"/>
    </xf>
    <xf numFmtId="172" fontId="122" fillId="0" borderId="0" xfId="4695" applyNumberFormat="1" applyFont="1" applyAlignment="1">
      <alignment horizontal="center"/>
    </xf>
    <xf numFmtId="172" fontId="122" fillId="0" borderId="17" xfId="4695" applyNumberFormat="1" applyFont="1" applyBorder="1" applyAlignment="1">
      <alignment horizontal="center" wrapText="1"/>
    </xf>
    <xf numFmtId="172" fontId="122" fillId="0" borderId="17" xfId="4695" applyNumberFormat="1" applyFont="1" applyBorder="1"/>
    <xf numFmtId="172" fontId="30" fillId="0" borderId="0" xfId="4695" applyNumberFormat="1" applyFont="1"/>
    <xf numFmtId="172" fontId="30" fillId="0" borderId="0" xfId="4695" applyNumberFormat="1" applyFont="1" applyAlignment="1">
      <alignment horizontal="center"/>
    </xf>
    <xf numFmtId="192" fontId="122" fillId="0" borderId="0" xfId="4695" applyNumberFormat="1" applyFont="1" applyAlignment="1">
      <alignment horizontal="center"/>
    </xf>
    <xf numFmtId="192" fontId="122" fillId="0" borderId="0" xfId="4695" quotePrefix="1" applyNumberFormat="1" applyFont="1" applyAlignment="1">
      <alignment horizontal="center"/>
    </xf>
    <xf numFmtId="164" fontId="30" fillId="0" borderId="0" xfId="4697" applyNumberFormat="1" applyFont="1" applyAlignment="1">
      <alignment horizontal="center"/>
    </xf>
    <xf numFmtId="172" fontId="122" fillId="0" borderId="0" xfId="4695" applyNumberFormat="1" applyFont="1" applyAlignment="1">
      <alignment horizontal="right"/>
    </xf>
    <xf numFmtId="192" fontId="122" fillId="3" borderId="0" xfId="4695" applyNumberFormat="1" applyFont="1" applyFill="1" applyAlignment="1">
      <alignment horizontal="center"/>
    </xf>
    <xf numFmtId="192" fontId="122" fillId="3" borderId="0" xfId="4695" quotePrefix="1" applyNumberFormat="1" applyFont="1" applyFill="1" applyAlignment="1">
      <alignment horizontal="center"/>
    </xf>
    <xf numFmtId="164" fontId="122" fillId="0" borderId="0" xfId="4697" applyNumberFormat="1" applyFont="1" applyFill="1" applyAlignment="1">
      <alignment horizontal="center"/>
    </xf>
    <xf numFmtId="43" fontId="198" fillId="0" borderId="0" xfId="4696" applyFont="1" applyAlignment="1">
      <alignment horizontal="left" vertical="top"/>
    </xf>
    <xf numFmtId="44" fontId="30" fillId="0" borderId="0" xfId="1" applyFont="1" applyFill="1" applyAlignment="1" applyProtection="1">
      <protection locked="0"/>
    </xf>
    <xf numFmtId="312" fontId="30" fillId="0" borderId="0" xfId="1" applyNumberFormat="1" applyFont="1" applyFill="1" applyAlignment="1" applyProtection="1">
      <protection locked="0"/>
    </xf>
    <xf numFmtId="192" fontId="30" fillId="3" borderId="0" xfId="4667" quotePrefix="1" applyNumberFormat="1" applyFont="1" applyFill="1" applyAlignment="1">
      <alignment horizontal="left"/>
    </xf>
    <xf numFmtId="10" fontId="30" fillId="0" borderId="3" xfId="4" applyNumberFormat="1" applyFont="1" applyBorder="1"/>
    <xf numFmtId="10" fontId="30" fillId="0" borderId="3" xfId="4665" applyNumberFormat="1" applyFont="1" applyFill="1" applyBorder="1" applyAlignment="1">
      <alignment horizontal="center"/>
    </xf>
    <xf numFmtId="0" fontId="179" fillId="3" borderId="0" xfId="4155" applyNumberFormat="1" applyFont="1" applyFill="1" applyAlignment="1">
      <alignment horizontal="center"/>
    </xf>
    <xf numFmtId="192" fontId="30" fillId="78" borderId="0" xfId="1" applyNumberFormat="1" applyFont="1" applyFill="1" applyAlignment="1" applyProtection="1">
      <alignment horizontal="left"/>
      <protection locked="0"/>
    </xf>
    <xf numFmtId="37" fontId="165" fillId="3" borderId="0" xfId="0" applyNumberFormat="1" applyFont="1" applyFill="1"/>
    <xf numFmtId="172" fontId="199" fillId="0" borderId="0" xfId="0" applyFont="1" applyProtection="1">
      <protection locked="0"/>
    </xf>
    <xf numFmtId="0" fontId="199" fillId="0" borderId="0" xfId="4" applyFont="1"/>
    <xf numFmtId="0" fontId="122" fillId="0" borderId="0" xfId="4155" applyNumberFormat="1" applyFont="1" applyProtection="1">
      <protection locked="0"/>
    </xf>
    <xf numFmtId="0" fontId="30" fillId="0" borderId="0" xfId="123" applyFont="1" applyAlignment="1">
      <alignment horizontal="center"/>
    </xf>
    <xf numFmtId="0" fontId="30" fillId="0" borderId="0" xfId="123" applyFont="1"/>
    <xf numFmtId="0" fontId="187" fillId="0" borderId="0" xfId="123" applyFont="1"/>
    <xf numFmtId="41" fontId="178" fillId="0" borderId="0" xfId="4690" applyNumberFormat="1" applyFont="1"/>
    <xf numFmtId="171" fontId="30" fillId="3" borderId="0" xfId="4695" quotePrefix="1" applyNumberFormat="1" applyFont="1" applyFill="1" applyAlignment="1">
      <alignment horizontal="right"/>
    </xf>
    <xf numFmtId="173" fontId="200" fillId="3" borderId="0" xfId="1" applyNumberFormat="1" applyFont="1" applyFill="1" applyBorder="1" applyAlignment="1" applyProtection="1">
      <protection locked="0"/>
    </xf>
    <xf numFmtId="173" fontId="200" fillId="3" borderId="38" xfId="1" applyNumberFormat="1" applyFont="1" applyFill="1" applyBorder="1" applyAlignment="1" applyProtection="1">
      <protection locked="0"/>
    </xf>
    <xf numFmtId="173" fontId="30" fillId="78" borderId="0" xfId="1" applyNumberFormat="1" applyFont="1" applyFill="1" applyBorder="1" applyAlignment="1" applyProtection="1">
      <protection locked="0"/>
    </xf>
    <xf numFmtId="173" fontId="30" fillId="78" borderId="38" xfId="1" applyNumberFormat="1" applyFont="1" applyFill="1" applyBorder="1" applyAlignment="1" applyProtection="1">
      <protection locked="0"/>
    </xf>
    <xf numFmtId="271" fontId="30" fillId="75" borderId="0" xfId="4665" applyNumberFormat="1" applyFont="1" applyFill="1" applyAlignment="1"/>
    <xf numFmtId="3" fontId="122" fillId="0" borderId="0" xfId="4695" applyNumberFormat="1" applyFont="1" applyAlignment="1">
      <alignment wrapText="1"/>
    </xf>
    <xf numFmtId="3" fontId="30" fillId="0" borderId="1" xfId="4695" applyNumberFormat="1" applyFont="1" applyBorder="1" applyAlignment="1">
      <alignment horizontal="center"/>
    </xf>
    <xf numFmtId="0" fontId="200" fillId="0" borderId="0" xfId="4690" applyFont="1"/>
    <xf numFmtId="0" fontId="197" fillId="0" borderId="0" xfId="4695" applyFont="1"/>
    <xf numFmtId="0" fontId="178" fillId="0" borderId="0" xfId="4695" applyFont="1"/>
    <xf numFmtId="43" fontId="201" fillId="0" borderId="0" xfId="4696" applyFont="1" applyFill="1" applyBorder="1" applyAlignment="1">
      <alignment horizontal="left"/>
    </xf>
    <xf numFmtId="43" fontId="201" fillId="0" borderId="3" xfId="4696" applyFont="1" applyFill="1" applyBorder="1" applyAlignment="1">
      <alignment horizontal="left"/>
    </xf>
    <xf numFmtId="0" fontId="38" fillId="0" borderId="0" xfId="4695" applyFont="1" applyAlignment="1">
      <alignment wrapText="1"/>
    </xf>
    <xf numFmtId="0" fontId="197" fillId="0" borderId="0" xfId="4695" applyFont="1" applyAlignment="1">
      <alignment wrapText="1"/>
    </xf>
    <xf numFmtId="0" fontId="197" fillId="0" borderId="0" xfId="4695" applyFont="1" applyAlignment="1">
      <alignment vertical="top" wrapText="1"/>
    </xf>
    <xf numFmtId="0" fontId="198" fillId="0" borderId="0" xfId="4698" applyAlignment="1">
      <alignment horizontal="left" vertical="top"/>
    </xf>
    <xf numFmtId="0" fontId="198" fillId="0" borderId="0" xfId="4698" applyAlignment="1">
      <alignment horizontal="center" vertical="top"/>
    </xf>
    <xf numFmtId="0" fontId="198" fillId="0" borderId="0" xfId="4698" applyAlignment="1">
      <alignment vertical="top" wrapText="1"/>
    </xf>
    <xf numFmtId="0" fontId="198" fillId="0" borderId="0" xfId="4698" applyAlignment="1">
      <alignment horizontal="center" wrapText="1"/>
    </xf>
    <xf numFmtId="0" fontId="198" fillId="0" borderId="0" xfId="4698" applyAlignment="1">
      <alignment wrapText="1"/>
    </xf>
    <xf numFmtId="0" fontId="198" fillId="0" borderId="0" xfId="4698" applyAlignment="1">
      <alignment horizontal="left" wrapText="1"/>
    </xf>
    <xf numFmtId="0" fontId="198" fillId="0" borderId="0" xfId="4698" applyAlignment="1">
      <alignment vertical="center" wrapText="1"/>
    </xf>
    <xf numFmtId="0" fontId="198" fillId="0" borderId="60" xfId="4698" applyBorder="1" applyAlignment="1">
      <alignment vertical="center" wrapText="1"/>
    </xf>
    <xf numFmtId="0" fontId="198" fillId="0" borderId="0" xfId="4698" applyAlignment="1">
      <alignment horizontal="left" vertical="center"/>
    </xf>
    <xf numFmtId="0" fontId="198" fillId="0" borderId="61" xfId="4698" applyBorder="1" applyAlignment="1">
      <alignment horizontal="left" wrapText="1"/>
    </xf>
    <xf numFmtId="0" fontId="198" fillId="0" borderId="0" xfId="4698" applyAlignment="1">
      <alignment horizontal="left" vertical="center" wrapText="1"/>
    </xf>
    <xf numFmtId="174" fontId="198" fillId="0" borderId="0" xfId="4696" applyNumberFormat="1" applyFont="1" applyAlignment="1">
      <alignment vertical="center" wrapText="1"/>
    </xf>
    <xf numFmtId="174" fontId="198" fillId="0" borderId="0" xfId="4698" applyNumberFormat="1" applyAlignment="1">
      <alignment horizontal="left" vertical="top"/>
    </xf>
    <xf numFmtId="174" fontId="198" fillId="0" borderId="0" xfId="4696" applyNumberFormat="1" applyFont="1" applyBorder="1" applyAlignment="1">
      <alignment horizontal="left" vertical="top"/>
    </xf>
    <xf numFmtId="174" fontId="198" fillId="0" borderId="0" xfId="4696" applyNumberFormat="1" applyFont="1" applyBorder="1" applyAlignment="1">
      <alignment vertical="center" wrapText="1"/>
    </xf>
    <xf numFmtId="174" fontId="198" fillId="0" borderId="59" xfId="4696" applyNumberFormat="1" applyFont="1" applyBorder="1" applyAlignment="1">
      <alignment wrapText="1"/>
    </xf>
    <xf numFmtId="0" fontId="122" fillId="0" borderId="0" xfId="4698" applyFont="1" applyAlignment="1">
      <alignment vertical="top" wrapText="1"/>
    </xf>
    <xf numFmtId="0" fontId="122" fillId="0" borderId="0" xfId="4698" applyFont="1" applyAlignment="1">
      <alignment horizontal="center" vertical="center" wrapText="1"/>
    </xf>
    <xf numFmtId="0" fontId="122" fillId="0" borderId="63" xfId="4698" applyFont="1" applyBorder="1" applyAlignment="1">
      <alignment horizontal="center" vertical="center" wrapText="1"/>
    </xf>
    <xf numFmtId="0" fontId="202" fillId="0" borderId="35" xfId="4698" quotePrefix="1" applyFont="1" applyBorder="1" applyAlignment="1">
      <alignment horizontal="center" vertical="center" wrapText="1"/>
    </xf>
    <xf numFmtId="0" fontId="122" fillId="0" borderId="35" xfId="4698" quotePrefix="1" applyFont="1" applyBorder="1" applyAlignment="1">
      <alignment horizontal="center" vertical="center"/>
    </xf>
    <xf numFmtId="1" fontId="202" fillId="0" borderId="0" xfId="4698" applyNumberFormat="1" applyFont="1" applyAlignment="1">
      <alignment horizontal="center" vertical="top" shrinkToFit="1"/>
    </xf>
    <xf numFmtId="0" fontId="184" fillId="0" borderId="0" xfId="4698" applyFont="1" applyAlignment="1">
      <alignment vertical="top" wrapText="1"/>
    </xf>
    <xf numFmtId="0" fontId="30" fillId="0" borderId="0" xfId="4698" applyFont="1" applyAlignment="1">
      <alignment vertical="center" wrapText="1"/>
    </xf>
    <xf numFmtId="174" fontId="198" fillId="0" borderId="0" xfId="4696" applyNumberFormat="1" applyFont="1" applyAlignment="1">
      <alignment vertical="top" shrinkToFit="1"/>
    </xf>
    <xf numFmtId="174" fontId="198" fillId="0" borderId="0" xfId="4696" applyNumberFormat="1" applyFont="1" applyAlignment="1">
      <alignment horizontal="left" vertical="top"/>
    </xf>
    <xf numFmtId="174" fontId="198" fillId="0" borderId="0" xfId="4696" applyNumberFormat="1" applyFont="1" applyBorder="1" applyAlignment="1">
      <alignment vertical="top" shrinkToFit="1"/>
    </xf>
    <xf numFmtId="174" fontId="198" fillId="0" borderId="3" xfId="4696" applyNumberFormat="1" applyFont="1" applyBorder="1" applyAlignment="1">
      <alignment vertical="top" shrinkToFit="1"/>
    </xf>
    <xf numFmtId="174" fontId="198" fillId="0" borderId="3" xfId="4696" applyNumberFormat="1" applyFont="1" applyBorder="1" applyAlignment="1">
      <alignment horizontal="left" vertical="top"/>
    </xf>
    <xf numFmtId="174" fontId="198" fillId="0" borderId="3" xfId="4698" applyNumberFormat="1" applyBorder="1" applyAlignment="1">
      <alignment horizontal="left" vertical="top"/>
    </xf>
    <xf numFmtId="174" fontId="198" fillId="0" borderId="2" xfId="4696" applyNumberFormat="1" applyFont="1" applyBorder="1" applyAlignment="1">
      <alignment vertical="top" shrinkToFit="1"/>
    </xf>
    <xf numFmtId="0" fontId="122" fillId="0" borderId="0" xfId="4698" applyFont="1" applyAlignment="1">
      <alignment horizontal="left" vertical="top" wrapText="1"/>
    </xf>
    <xf numFmtId="1" fontId="202" fillId="0" borderId="0" xfId="4698" applyNumberFormat="1" applyFont="1" applyAlignment="1">
      <alignment horizontal="center" vertical="center" shrinkToFit="1"/>
    </xf>
    <xf numFmtId="0" fontId="184" fillId="0" borderId="0" xfId="4698" applyFont="1" applyAlignment="1">
      <alignment vertical="center" wrapText="1"/>
    </xf>
    <xf numFmtId="0" fontId="122" fillId="0" borderId="0" xfId="4698" applyFont="1" applyAlignment="1">
      <alignment vertical="center" wrapText="1"/>
    </xf>
    <xf numFmtId="174" fontId="198" fillId="0" borderId="0" xfId="4696" applyNumberFormat="1" applyFont="1" applyFill="1" applyAlignment="1">
      <alignment horizontal="left" vertical="top"/>
    </xf>
    <xf numFmtId="174" fontId="198" fillId="0" borderId="59" xfId="4696" applyNumberFormat="1" applyFont="1" applyBorder="1" applyAlignment="1">
      <alignment vertical="top" shrinkToFit="1"/>
    </xf>
    <xf numFmtId="174" fontId="198" fillId="0" borderId="60" xfId="4696" applyNumberFormat="1" applyFont="1" applyBorder="1" applyAlignment="1">
      <alignment vertical="top" shrinkToFit="1"/>
    </xf>
    <xf numFmtId="174" fontId="198" fillId="0" borderId="59" xfId="4696" applyNumberFormat="1" applyFont="1" applyFill="1" applyBorder="1" applyAlignment="1">
      <alignment vertical="top" shrinkToFit="1"/>
    </xf>
    <xf numFmtId="174" fontId="187" fillId="0" borderId="0" xfId="4698" applyNumberFormat="1" applyFont="1" applyAlignment="1">
      <alignment horizontal="left" vertical="top"/>
    </xf>
    <xf numFmtId="39" fontId="178" fillId="0" borderId="0" xfId="4695" applyNumberFormat="1" applyFont="1"/>
    <xf numFmtId="0" fontId="30" fillId="0" borderId="0" xfId="4698" applyFont="1" applyAlignment="1">
      <alignment horizontal="center" vertical="top" wrapText="1"/>
    </xf>
    <xf numFmtId="0" fontId="197" fillId="0" borderId="0" xfId="4695" applyFont="1" applyAlignment="1">
      <alignment vertical="top"/>
    </xf>
    <xf numFmtId="14" fontId="30" fillId="0" borderId="0" xfId="0" applyNumberFormat="1" applyFont="1" applyAlignment="1" applyProtection="1">
      <alignment horizontal="center" vertical="top"/>
      <protection locked="0"/>
    </xf>
    <xf numFmtId="271" fontId="30" fillId="0" borderId="0" xfId="4665" applyNumberFormat="1" applyFont="1" applyFill="1" applyAlignment="1" applyProtection="1">
      <alignment vertical="top"/>
      <protection locked="0"/>
    </xf>
    <xf numFmtId="173" fontId="30" fillId="0" borderId="0" xfId="1" applyNumberFormat="1" applyFont="1" applyFill="1" applyAlignment="1" applyProtection="1">
      <alignment vertical="top"/>
      <protection locked="0"/>
    </xf>
    <xf numFmtId="174" fontId="30" fillId="0" borderId="0" xfId="4665" applyNumberFormat="1" applyFont="1" applyFill="1" applyAlignment="1" applyProtection="1">
      <alignment vertical="top"/>
      <protection locked="0"/>
    </xf>
    <xf numFmtId="41" fontId="165" fillId="3" borderId="0" xfId="0" applyNumberFormat="1" applyFont="1" applyFill="1" applyProtection="1">
      <protection locked="0"/>
    </xf>
    <xf numFmtId="172" fontId="30" fillId="0" borderId="0" xfId="4667" applyNumberFormat="1" applyFont="1" applyAlignment="1">
      <alignment horizontal="center"/>
    </xf>
    <xf numFmtId="164" fontId="178" fillId="0" borderId="0" xfId="4697" applyNumberFormat="1" applyFont="1" applyFill="1" applyBorder="1" applyAlignment="1">
      <alignment horizontal="center"/>
    </xf>
    <xf numFmtId="9" fontId="30" fillId="0" borderId="0" xfId="0" applyNumberFormat="1" applyFont="1" applyAlignment="1" applyProtection="1">
      <alignment vertical="top"/>
    </xf>
    <xf numFmtId="169" fontId="30" fillId="0" borderId="0" xfId="0" applyNumberFormat="1" applyFont="1" applyAlignment="1" applyProtection="1">
      <alignment vertical="top"/>
      <protection locked="0"/>
    </xf>
    <xf numFmtId="169" fontId="30" fillId="0" borderId="0" xfId="0" applyNumberFormat="1" applyFont="1" applyAlignment="1" applyProtection="1">
      <alignment vertical="top"/>
    </xf>
    <xf numFmtId="172" fontId="30" fillId="0" borderId="0" xfId="0" applyFont="1" applyAlignment="1" applyProtection="1">
      <alignment vertical="top"/>
      <protection locked="0"/>
    </xf>
    <xf numFmtId="3" fontId="30" fillId="0" borderId="0" xfId="0" quotePrefix="1" applyNumberFormat="1" applyFont="1" applyAlignment="1" applyProtection="1">
      <alignment vertical="top"/>
      <protection locked="0"/>
    </xf>
    <xf numFmtId="172" fontId="204" fillId="0" borderId="0" xfId="0" applyFont="1" applyProtection="1"/>
    <xf numFmtId="172" fontId="204" fillId="0" borderId="0" xfId="0" applyFont="1"/>
    <xf numFmtId="172" fontId="204" fillId="0" borderId="0" xfId="0" quotePrefix="1" applyFont="1" applyAlignment="1">
      <alignment horizontal="center"/>
    </xf>
    <xf numFmtId="3" fontId="178" fillId="0" borderId="0" xfId="4597" applyNumberFormat="1" applyFont="1" applyAlignment="1">
      <alignment horizontal="left"/>
    </xf>
    <xf numFmtId="0" fontId="30" fillId="0" borderId="0" xfId="4698" applyFont="1" applyAlignment="1">
      <alignment horizontal="left" vertical="top" wrapText="1"/>
    </xf>
    <xf numFmtId="174" fontId="30" fillId="75" borderId="1" xfId="4665" applyNumberFormat="1" applyFont="1" applyFill="1" applyBorder="1" applyAlignment="1"/>
    <xf numFmtId="174" fontId="30" fillId="3" borderId="0" xfId="190" applyNumberFormat="1" applyFont="1" applyFill="1" applyAlignment="1"/>
    <xf numFmtId="0" fontId="30" fillId="0" borderId="0" xfId="4597" applyNumberFormat="1" applyFont="1" applyAlignment="1">
      <alignment wrapText="1"/>
    </xf>
    <xf numFmtId="0" fontId="38" fillId="0" borderId="0" xfId="4695" applyFont="1"/>
    <xf numFmtId="164" fontId="122" fillId="0" borderId="0" xfId="3" applyNumberFormat="1" applyFont="1" applyFill="1" applyBorder="1" applyAlignment="1">
      <alignment horizontal="center"/>
    </xf>
    <xf numFmtId="0" fontId="122" fillId="3" borderId="0" xfId="4698" applyFont="1" applyFill="1" applyAlignment="1">
      <alignment horizontal="center" vertical="top" wrapText="1"/>
    </xf>
    <xf numFmtId="10" fontId="198" fillId="3" borderId="0" xfId="4698" applyNumberFormat="1" applyFill="1" applyAlignment="1">
      <alignment horizontal="center" vertical="top" shrinkToFit="1"/>
    </xf>
    <xf numFmtId="10" fontId="198" fillId="3" borderId="0" xfId="4697" applyNumberFormat="1" applyFont="1" applyFill="1" applyAlignment="1">
      <alignment horizontal="center" vertical="top"/>
    </xf>
    <xf numFmtId="0" fontId="122" fillId="0" borderId="62" xfId="4698" applyFont="1" applyBorder="1" applyAlignment="1">
      <alignment horizontal="center" vertical="center" wrapText="1"/>
    </xf>
    <xf numFmtId="0" fontId="202" fillId="0" borderId="35" xfId="4698" applyFont="1" applyBorder="1" applyAlignment="1">
      <alignment horizontal="center" vertical="center" wrapText="1"/>
    </xf>
    <xf numFmtId="1" fontId="198" fillId="3" borderId="0" xfId="4698" applyNumberFormat="1" applyFill="1" applyAlignment="1">
      <alignment vertical="top" shrinkToFit="1"/>
    </xf>
    <xf numFmtId="174" fontId="198" fillId="3" borderId="0" xfId="4696" applyNumberFormat="1" applyFont="1" applyFill="1" applyAlignment="1">
      <alignment vertical="top" shrinkToFit="1"/>
    </xf>
    <xf numFmtId="174" fontId="198" fillId="3" borderId="0" xfId="4696" applyNumberFormat="1" applyFont="1" applyFill="1" applyBorder="1" applyAlignment="1">
      <alignment vertical="top" shrinkToFit="1"/>
    </xf>
    <xf numFmtId="0" fontId="198" fillId="3" borderId="0" xfId="4698" applyFill="1" applyAlignment="1">
      <alignment wrapText="1"/>
    </xf>
    <xf numFmtId="174" fontId="198" fillId="3" borderId="3" xfId="4696" applyNumberFormat="1" applyFont="1" applyFill="1" applyBorder="1" applyAlignment="1">
      <alignment wrapText="1"/>
    </xf>
    <xf numFmtId="174" fontId="198" fillId="3" borderId="3" xfId="4696" applyNumberFormat="1" applyFont="1" applyFill="1" applyBorder="1" applyAlignment="1">
      <alignment vertical="top" shrinkToFit="1"/>
    </xf>
    <xf numFmtId="0" fontId="30" fillId="3" borderId="0" xfId="4698" applyFont="1" applyFill="1" applyAlignment="1">
      <alignment vertical="top" wrapText="1"/>
    </xf>
    <xf numFmtId="174" fontId="30" fillId="3" borderId="0" xfId="4696" applyNumberFormat="1" applyFont="1" applyFill="1" applyAlignment="1">
      <alignment vertical="top" wrapText="1"/>
    </xf>
    <xf numFmtId="173" fontId="30" fillId="81" borderId="0" xfId="1" applyNumberFormat="1" applyFont="1" applyFill="1" applyAlignment="1" applyProtection="1">
      <alignment vertical="top"/>
      <protection locked="0"/>
    </xf>
    <xf numFmtId="174" fontId="30" fillId="81" borderId="0" xfId="4665" applyNumberFormat="1" applyFont="1" applyFill="1" applyAlignment="1" applyProtection="1">
      <alignment vertical="top"/>
      <protection locked="0"/>
    </xf>
    <xf numFmtId="0" fontId="132" fillId="0" borderId="0" xfId="4698" applyFont="1" applyAlignment="1">
      <alignment vertical="top" wrapText="1"/>
    </xf>
    <xf numFmtId="0" fontId="194" fillId="0" borderId="0" xfId="4598" applyFont="1" applyAlignment="1">
      <alignment horizontal="center" wrapText="1"/>
    </xf>
    <xf numFmtId="0" fontId="178" fillId="0" borderId="0" xfId="123" applyFont="1" applyAlignment="1">
      <alignment horizontal="center"/>
    </xf>
    <xf numFmtId="0" fontId="178" fillId="0" borderId="0" xfId="123" applyFont="1"/>
    <xf numFmtId="172" fontId="178" fillId="0" borderId="0" xfId="0" applyFont="1"/>
    <xf numFmtId="0" fontId="194" fillId="0" borderId="0" xfId="4598" applyFont="1" applyAlignment="1">
      <alignment horizontal="center"/>
    </xf>
    <xf numFmtId="0" fontId="178" fillId="0" borderId="0" xfId="4598" applyFont="1" applyAlignment="1">
      <alignment horizontal="left"/>
    </xf>
    <xf numFmtId="0" fontId="178" fillId="0" borderId="0" xfId="4598" applyFont="1"/>
    <xf numFmtId="41" fontId="178" fillId="2" borderId="0" xfId="4598" applyNumberFormat="1" applyFont="1" applyFill="1"/>
    <xf numFmtId="174" fontId="178" fillId="0" borderId="14" xfId="190" applyNumberFormat="1" applyFont="1" applyBorder="1"/>
    <xf numFmtId="0" fontId="203" fillId="0" borderId="0" xfId="4690" applyFont="1"/>
    <xf numFmtId="0" fontId="205" fillId="0" borderId="0" xfId="4690" applyFont="1"/>
    <xf numFmtId="164" fontId="30" fillId="75" borderId="0" xfId="4666" applyNumberFormat="1" applyFont="1" applyFill="1" applyAlignment="1"/>
    <xf numFmtId="305" fontId="30" fillId="75" borderId="0" xfId="4665" applyNumberFormat="1" applyFont="1" applyFill="1" applyAlignment="1"/>
    <xf numFmtId="0" fontId="178" fillId="0" borderId="0" xfId="0" applyNumberFormat="1" applyFont="1" applyAlignment="1" applyProtection="1">
      <alignment horizontal="center"/>
      <protection locked="0"/>
    </xf>
    <xf numFmtId="0" fontId="178" fillId="0" borderId="0" xfId="0" applyNumberFormat="1" applyFont="1" applyProtection="1">
      <protection locked="0"/>
    </xf>
    <xf numFmtId="3" fontId="178" fillId="0" borderId="0" xfId="4228" applyNumberFormat="1" applyFont="1"/>
    <xf numFmtId="3" fontId="178" fillId="0" borderId="4" xfId="4597" applyNumberFormat="1" applyFont="1" applyBorder="1"/>
    <xf numFmtId="41" fontId="178" fillId="78" borderId="0" xfId="1" applyNumberFormat="1" applyFont="1" applyFill="1" applyAlignment="1" applyProtection="1">
      <protection locked="0"/>
    </xf>
    <xf numFmtId="3" fontId="178" fillId="0" borderId="0" xfId="0" applyNumberFormat="1" applyFont="1" applyProtection="1">
      <protection locked="0"/>
    </xf>
    <xf numFmtId="165" fontId="178" fillId="0" borderId="0" xfId="0" applyNumberFormat="1" applyFont="1" applyProtection="1"/>
    <xf numFmtId="174" fontId="178" fillId="0" borderId="0" xfId="190" applyNumberFormat="1" applyFont="1" applyFill="1" applyAlignment="1"/>
    <xf numFmtId="174" fontId="178" fillId="0" borderId="4" xfId="190" applyNumberFormat="1" applyFont="1" applyFill="1" applyBorder="1" applyAlignment="1"/>
    <xf numFmtId="0" fontId="178" fillId="0" borderId="0" xfId="0" applyNumberFormat="1" applyFont="1" applyProtection="1"/>
    <xf numFmtId="3" fontId="178" fillId="0" borderId="0" xfId="0" applyNumberFormat="1" applyFont="1" applyProtection="1"/>
    <xf numFmtId="41" fontId="178" fillId="78" borderId="4" xfId="1" applyNumberFormat="1" applyFont="1" applyFill="1" applyBorder="1" applyAlignment="1" applyProtection="1">
      <protection locked="0"/>
    </xf>
    <xf numFmtId="3" fontId="178" fillId="0" borderId="0" xfId="4597" applyNumberFormat="1" applyFont="1"/>
    <xf numFmtId="41" fontId="178" fillId="0" borderId="0" xfId="1" applyNumberFormat="1" applyFont="1" applyFill="1" applyAlignment="1" applyProtection="1">
      <protection locked="0"/>
    </xf>
    <xf numFmtId="41" fontId="178" fillId="0" borderId="4" xfId="1" applyNumberFormat="1" applyFont="1" applyFill="1" applyBorder="1" applyAlignment="1" applyProtection="1">
      <protection locked="0"/>
    </xf>
    <xf numFmtId="172" fontId="178" fillId="0" borderId="0" xfId="0" applyFont="1" applyProtection="1">
      <protection locked="0"/>
    </xf>
    <xf numFmtId="271" fontId="30" fillId="75" borderId="38" xfId="4665" applyNumberFormat="1" applyFont="1" applyFill="1" applyBorder="1" applyAlignment="1"/>
    <xf numFmtId="173" fontId="30" fillId="0" borderId="38" xfId="1" applyNumberFormat="1" applyFont="1" applyFill="1" applyBorder="1" applyAlignment="1" applyProtection="1">
      <protection locked="0"/>
    </xf>
    <xf numFmtId="172" fontId="30" fillId="0" borderId="27" xfId="0" applyFont="1" applyBorder="1"/>
    <xf numFmtId="0" fontId="30" fillId="0" borderId="27" xfId="4471" applyFont="1" applyBorder="1"/>
    <xf numFmtId="0" fontId="30" fillId="0" borderId="4" xfId="4157" applyFont="1" applyBorder="1"/>
    <xf numFmtId="174" fontId="30" fillId="0" borderId="4" xfId="190" applyNumberFormat="1" applyFont="1" applyFill="1" applyBorder="1" applyAlignment="1">
      <alignment horizontal="center" wrapText="1"/>
    </xf>
    <xf numFmtId="172" fontId="30" fillId="0" borderId="0" xfId="4667" applyNumberFormat="1" applyFont="1" applyBorder="1" applyAlignment="1">
      <alignment wrapText="1"/>
    </xf>
    <xf numFmtId="172" fontId="30" fillId="0" borderId="38" xfId="4667" applyNumberFormat="1" applyFont="1" applyBorder="1" applyAlignment="1">
      <alignment horizontal="center" vertical="top"/>
    </xf>
    <xf numFmtId="172" fontId="30" fillId="0" borderId="0" xfId="4667" applyNumberFormat="1" applyFont="1" applyBorder="1" applyAlignment="1">
      <alignment horizontal="center" vertical="top"/>
    </xf>
    <xf numFmtId="164" fontId="30" fillId="0" borderId="0" xfId="4667" applyNumberFormat="1" applyFont="1" applyBorder="1" applyAlignment="1">
      <alignment horizontal="center" vertical="top" wrapText="1"/>
    </xf>
    <xf numFmtId="10" fontId="30" fillId="0" borderId="38" xfId="4352" quotePrefix="1" applyNumberFormat="1" applyFont="1" applyBorder="1" applyAlignment="1">
      <alignment horizontal="center" vertical="top" wrapText="1"/>
    </xf>
    <xf numFmtId="172" fontId="30" fillId="0" borderId="37" xfId="4667" applyNumberFormat="1" applyFont="1" applyBorder="1" applyAlignment="1">
      <alignment horizontal="center" vertical="top" wrapText="1"/>
    </xf>
    <xf numFmtId="172" fontId="30" fillId="0" borderId="0" xfId="4667" applyNumberFormat="1" applyFont="1" applyBorder="1" applyAlignment="1">
      <alignment horizontal="center" vertical="top" wrapText="1"/>
    </xf>
    <xf numFmtId="172" fontId="30" fillId="0" borderId="47" xfId="4667" applyNumberFormat="1" applyFont="1" applyBorder="1" applyAlignment="1">
      <alignment horizontal="center" vertical="top"/>
    </xf>
    <xf numFmtId="172" fontId="30" fillId="0" borderId="51" xfId="4667" applyNumberFormat="1" applyFont="1" applyBorder="1" applyAlignment="1">
      <alignment horizontal="center" vertical="top" wrapText="1"/>
    </xf>
    <xf numFmtId="174" fontId="179" fillId="0" borderId="53" xfId="190" applyNumberFormat="1" applyFont="1" applyBorder="1" applyAlignment="1">
      <alignment horizontal="center" vertical="center"/>
    </xf>
    <xf numFmtId="44" fontId="179" fillId="0" borderId="52" xfId="1" applyFont="1" applyBorder="1" applyAlignment="1">
      <alignment horizontal="center" vertical="center"/>
    </xf>
    <xf numFmtId="173" fontId="179" fillId="0" borderId="53" xfId="1" applyNumberFormat="1" applyFont="1" applyBorder="1" applyAlignment="1">
      <alignment horizontal="center" vertical="center"/>
    </xf>
    <xf numFmtId="174" fontId="179" fillId="0" borderId="3" xfId="190" applyNumberFormat="1" applyFont="1" applyBorder="1" applyAlignment="1">
      <alignment horizontal="center" vertical="center" wrapText="1"/>
    </xf>
    <xf numFmtId="0" fontId="30" fillId="0" borderId="0" xfId="4690" applyFont="1" applyAlignment="1">
      <alignment horizontal="center" vertical="center" wrapText="1"/>
    </xf>
    <xf numFmtId="0" fontId="30" fillId="0" borderId="0" xfId="4690" applyFont="1"/>
    <xf numFmtId="3" fontId="30" fillId="0" borderId="0" xfId="122" applyNumberFormat="1" applyFont="1" applyAlignment="1">
      <alignment horizontal="center"/>
    </xf>
    <xf numFmtId="37" fontId="165" fillId="3" borderId="0" xfId="122" applyNumberFormat="1" applyFont="1" applyFill="1"/>
    <xf numFmtId="3" fontId="30" fillId="0" borderId="0" xfId="122" applyNumberFormat="1" applyFont="1"/>
    <xf numFmtId="0" fontId="30" fillId="0" borderId="0" xfId="122" applyFont="1"/>
    <xf numFmtId="3" fontId="30" fillId="0" borderId="3" xfId="0" applyNumberFormat="1" applyFont="1" applyBorder="1" applyProtection="1">
      <protection locked="0"/>
    </xf>
    <xf numFmtId="0" fontId="165" fillId="0" borderId="0" xfId="4671" applyFont="1" applyAlignment="1">
      <alignment horizontal="left"/>
    </xf>
    <xf numFmtId="37" fontId="165" fillId="0" borderId="0" xfId="4671" applyNumberFormat="1" applyFont="1" applyAlignment="1">
      <alignment horizontal="left"/>
    </xf>
    <xf numFmtId="0" fontId="165" fillId="0" borderId="0" xfId="4671" applyFont="1" applyAlignment="1">
      <alignment horizontal="left" indent="1"/>
    </xf>
    <xf numFmtId="0" fontId="165" fillId="0" borderId="0" xfId="4671" applyFont="1"/>
    <xf numFmtId="172" fontId="30" fillId="0" borderId="48" xfId="4667" applyNumberFormat="1" applyFont="1" applyBorder="1" applyAlignment="1"/>
    <xf numFmtId="172" fontId="30" fillId="0" borderId="4" xfId="4667" applyNumberFormat="1" applyFont="1" applyBorder="1" applyAlignment="1">
      <alignment horizontal="center"/>
    </xf>
    <xf numFmtId="172" fontId="30" fillId="0" borderId="65" xfId="4667" applyNumberFormat="1" applyFont="1" applyBorder="1" applyAlignment="1">
      <alignment horizontal="center"/>
    </xf>
    <xf numFmtId="174" fontId="198" fillId="3" borderId="0" xfId="4665" applyNumberFormat="1" applyFont="1" applyFill="1" applyAlignment="1">
      <alignment vertical="top" shrinkToFit="1"/>
    </xf>
    <xf numFmtId="271" fontId="30" fillId="0" borderId="0" xfId="190" applyNumberFormat="1" applyFont="1" applyFill="1" applyBorder="1" applyAlignment="1">
      <alignment horizontal="center"/>
    </xf>
    <xf numFmtId="167" fontId="165" fillId="3" borderId="0" xfId="0" applyNumberFormat="1" applyFont="1" applyFill="1" applyProtection="1">
      <protection locked="0"/>
    </xf>
    <xf numFmtId="44" fontId="30" fillId="0" borderId="0" xfId="4476" applyNumberFormat="1" applyFont="1" applyAlignment="1">
      <alignment wrapText="1"/>
    </xf>
    <xf numFmtId="173" fontId="115" fillId="3" borderId="37" xfId="86" applyNumberFormat="1" applyFont="1" applyFill="1" applyBorder="1" applyAlignment="1" applyProtection="1">
      <alignment vertical="center"/>
      <protection locked="0"/>
    </xf>
    <xf numFmtId="0" fontId="30" fillId="0" borderId="1" xfId="0" applyNumberFormat="1" applyFont="1" applyBorder="1" applyAlignment="1" applyProtection="1">
      <alignment wrapText="1"/>
      <protection locked="0"/>
    </xf>
    <xf numFmtId="0" fontId="30" fillId="0" borderId="0" xfId="0" applyNumberFormat="1" applyFont="1" applyAlignment="1" applyProtection="1">
      <alignment vertical="top"/>
      <protection locked="0"/>
    </xf>
    <xf numFmtId="14" fontId="30" fillId="0" borderId="0" xfId="122" applyNumberFormat="1" applyFont="1"/>
    <xf numFmtId="14" fontId="30" fillId="81" borderId="0" xfId="0" applyNumberFormat="1" applyFont="1" applyFill="1" applyAlignment="1" applyProtection="1">
      <alignment vertical="top" wrapText="1"/>
      <protection locked="0"/>
    </xf>
    <xf numFmtId="0" fontId="30" fillId="81" borderId="0" xfId="4" applyFont="1" applyFill="1" applyAlignment="1">
      <alignment vertical="top" wrapText="1"/>
    </xf>
    <xf numFmtId="43" fontId="30" fillId="0" borderId="4" xfId="4665" applyFont="1" applyFill="1" applyBorder="1"/>
    <xf numFmtId="174" fontId="30" fillId="0" borderId="0" xfId="190" applyNumberFormat="1" applyFont="1" applyFill="1" applyBorder="1" applyAlignment="1" applyProtection="1">
      <alignment wrapText="1"/>
    </xf>
    <xf numFmtId="172" fontId="9" fillId="0" borderId="0" xfId="0" applyFont="1" applyAlignment="1">
      <alignment vertical="top" wrapText="1"/>
    </xf>
    <xf numFmtId="172" fontId="9" fillId="0" borderId="0" xfId="0" applyFont="1" applyAlignment="1">
      <alignment horizontal="left" vertical="top" wrapText="1"/>
    </xf>
    <xf numFmtId="172" fontId="173" fillId="0" borderId="0" xfId="0" applyFont="1" applyAlignment="1">
      <alignment horizontal="center"/>
    </xf>
    <xf numFmtId="172" fontId="166" fillId="0" borderId="0" xfId="4597" applyFont="1" applyAlignment="1">
      <alignment horizontal="left" vertical="top" wrapText="1"/>
    </xf>
    <xf numFmtId="0" fontId="30" fillId="0" borderId="0" xfId="0" applyNumberFormat="1" applyFont="1" applyAlignment="1" applyProtection="1">
      <alignment horizontal="left" vertical="top" wrapText="1"/>
      <protection locked="0"/>
    </xf>
    <xf numFmtId="0" fontId="30" fillId="0" borderId="0" xfId="0" applyNumberFormat="1" applyFont="1" applyAlignment="1" applyProtection="1">
      <alignment vertical="top" wrapText="1"/>
      <protection locked="0"/>
    </xf>
    <xf numFmtId="172" fontId="30" fillId="0" borderId="0" xfId="0" applyFont="1" applyAlignment="1">
      <alignment horizontal="left" vertical="top" wrapText="1"/>
    </xf>
    <xf numFmtId="0" fontId="30" fillId="0" borderId="0" xfId="0" applyNumberFormat="1" applyFont="1" applyAlignment="1">
      <alignment horizontal="left" vertical="top" wrapText="1"/>
    </xf>
    <xf numFmtId="172" fontId="166" fillId="0" borderId="0" xfId="0" applyFont="1" applyAlignment="1">
      <alignment horizontal="left" vertical="top" wrapText="1"/>
    </xf>
    <xf numFmtId="0" fontId="30" fillId="0" borderId="0" xfId="4595" applyFont="1" applyAlignment="1">
      <alignment vertical="top" wrapText="1"/>
    </xf>
    <xf numFmtId="0" fontId="30" fillId="0" borderId="0" xfId="4597" quotePrefix="1" applyNumberFormat="1" applyFont="1" applyAlignment="1">
      <alignment horizontal="left" vertical="top" wrapText="1"/>
    </xf>
    <xf numFmtId="0" fontId="30" fillId="0" borderId="0" xfId="4597" applyNumberFormat="1" applyFont="1" applyAlignment="1" applyProtection="1">
      <alignment horizontal="left" vertical="top" wrapText="1"/>
      <protection locked="0"/>
    </xf>
    <xf numFmtId="0" fontId="30" fillId="0" borderId="0" xfId="2138" applyFont="1" applyFill="1" applyAlignment="1">
      <alignment horizontal="left" vertical="top" wrapText="1"/>
    </xf>
    <xf numFmtId="0" fontId="30" fillId="0" borderId="0" xfId="0" applyNumberFormat="1" applyFont="1" applyAlignment="1" applyProtection="1">
      <alignment horizontal="right"/>
      <protection locked="0"/>
    </xf>
    <xf numFmtId="0" fontId="122" fillId="0" borderId="0" xfId="0" applyNumberFormat="1" applyFont="1" applyAlignment="1" applyProtection="1">
      <alignment horizontal="right"/>
      <protection locked="0"/>
    </xf>
    <xf numFmtId="0" fontId="30" fillId="0" borderId="1" xfId="0" applyNumberFormat="1" applyFont="1" applyBorder="1" applyAlignment="1" applyProtection="1">
      <alignment horizontal="center"/>
      <protection locked="0"/>
    </xf>
    <xf numFmtId="0" fontId="30" fillId="0" borderId="0" xfId="0" applyNumberFormat="1" applyFont="1" applyAlignment="1" applyProtection="1">
      <alignment horizontal="right" vertical="top"/>
    </xf>
    <xf numFmtId="0" fontId="30" fillId="0" borderId="0" xfId="0" applyNumberFormat="1" applyFont="1" applyAlignment="1" applyProtection="1">
      <alignment horizontal="center"/>
      <protection locked="0"/>
    </xf>
    <xf numFmtId="0" fontId="30" fillId="0" borderId="0" xfId="0" applyNumberFormat="1" applyFont="1" applyProtection="1">
      <protection locked="0"/>
    </xf>
    <xf numFmtId="3" fontId="30" fillId="0" borderId="0" xfId="0" applyNumberFormat="1" applyFont="1" applyAlignment="1" applyProtection="1">
      <alignment horizontal="right"/>
      <protection locked="0"/>
    </xf>
    <xf numFmtId="0" fontId="30" fillId="0" borderId="0" xfId="4664" applyNumberFormat="1" applyFont="1" applyAlignment="1">
      <alignment horizontal="left" vertical="top" wrapText="1"/>
    </xf>
    <xf numFmtId="172" fontId="30" fillId="0" borderId="0" xfId="0" applyFont="1" applyAlignment="1" applyProtection="1">
      <alignment horizontal="left" vertical="top" wrapText="1"/>
      <protection locked="0"/>
    </xf>
    <xf numFmtId="0" fontId="131" fillId="0" borderId="4" xfId="4473" applyFont="1" applyBorder="1" applyAlignment="1">
      <alignment horizontal="center"/>
    </xf>
    <xf numFmtId="172" fontId="122" fillId="0" borderId="3" xfId="0" applyFont="1" applyBorder="1" applyAlignment="1">
      <alignment horizontal="center"/>
    </xf>
    <xf numFmtId="0" fontId="122" fillId="0" borderId="0" xfId="4155" applyNumberFormat="1" applyFont="1" applyAlignment="1" applyProtection="1">
      <alignment horizontal="center"/>
      <protection locked="0"/>
    </xf>
    <xf numFmtId="172" fontId="122" fillId="0" borderId="0" xfId="0" applyFont="1" applyAlignment="1">
      <alignment horizontal="center"/>
    </xf>
    <xf numFmtId="0" fontId="30" fillId="0" borderId="0" xfId="4" applyFont="1" applyAlignment="1">
      <alignment vertical="top" wrapText="1"/>
    </xf>
    <xf numFmtId="0" fontId="122" fillId="0" borderId="0" xfId="4" applyFont="1" applyAlignment="1">
      <alignment horizontal="center"/>
    </xf>
    <xf numFmtId="49" fontId="122" fillId="0" borderId="0" xfId="4" applyNumberFormat="1" applyFont="1" applyAlignment="1">
      <alignment horizontal="center"/>
    </xf>
    <xf numFmtId="172" fontId="30" fillId="0" borderId="0" xfId="0" applyFont="1" applyAlignment="1">
      <alignment horizontal="left" vertical="center"/>
    </xf>
    <xf numFmtId="172" fontId="30" fillId="0" borderId="0" xfId="0" applyFont="1" applyAlignment="1">
      <alignment horizontal="left" vertical="top"/>
    </xf>
    <xf numFmtId="0" fontId="38" fillId="0" borderId="0" xfId="4695" applyFont="1" applyAlignment="1">
      <alignment horizontal="left" vertical="top" wrapText="1"/>
    </xf>
    <xf numFmtId="0" fontId="197" fillId="0" borderId="0" xfId="4695" applyFont="1" applyAlignment="1">
      <alignment horizontal="left" vertical="top" wrapText="1"/>
    </xf>
    <xf numFmtId="3" fontId="30" fillId="0" borderId="1" xfId="4695" applyNumberFormat="1" applyFont="1" applyBorder="1" applyAlignment="1">
      <alignment horizontal="center"/>
    </xf>
    <xf numFmtId="3" fontId="122" fillId="0" borderId="48" xfId="4695" applyNumberFormat="1" applyFont="1" applyBorder="1" applyAlignment="1">
      <alignment horizontal="center"/>
    </xf>
    <xf numFmtId="3" fontId="122" fillId="0" borderId="15" xfId="4695" applyNumberFormat="1" applyFont="1" applyBorder="1" applyAlignment="1">
      <alignment horizontal="center"/>
    </xf>
    <xf numFmtId="0" fontId="194" fillId="0" borderId="0" xfId="4695" applyFont="1" applyAlignment="1">
      <alignment horizontal="center"/>
    </xf>
    <xf numFmtId="172" fontId="122" fillId="0" borderId="17" xfId="4695" applyNumberFormat="1" applyFont="1" applyBorder="1" applyAlignment="1">
      <alignment horizontal="center"/>
    </xf>
    <xf numFmtId="0" fontId="122" fillId="0" borderId="0" xfId="4" applyFont="1" applyAlignment="1">
      <alignment horizontal="center" vertical="center"/>
    </xf>
    <xf numFmtId="0" fontId="122" fillId="0" borderId="0" xfId="4698" applyFont="1" applyAlignment="1">
      <alignment horizontal="center" vertical="center"/>
    </xf>
    <xf numFmtId="0" fontId="30" fillId="0" borderId="0" xfId="4698" applyFont="1" applyAlignment="1">
      <alignment horizontal="left" vertical="top" wrapText="1"/>
    </xf>
    <xf numFmtId="0" fontId="122" fillId="0" borderId="63" xfId="4698" applyFont="1" applyBorder="1" applyAlignment="1">
      <alignment horizontal="center" vertical="center" wrapText="1"/>
    </xf>
    <xf numFmtId="0" fontId="122" fillId="0" borderId="21" xfId="4698" applyFont="1" applyBorder="1" applyAlignment="1">
      <alignment horizontal="center" vertical="center" wrapText="1"/>
    </xf>
    <xf numFmtId="0" fontId="122" fillId="0" borderId="64" xfId="4698" applyFont="1" applyBorder="1" applyAlignment="1">
      <alignment horizontal="center" vertical="center" wrapText="1"/>
    </xf>
    <xf numFmtId="49" fontId="122" fillId="0" borderId="0" xfId="4" applyNumberFormat="1" applyFont="1" applyAlignment="1">
      <alignment horizontal="center" vertical="center"/>
    </xf>
    <xf numFmtId="0" fontId="30" fillId="0" borderId="0" xfId="4228" applyFont="1" applyAlignment="1">
      <alignment horizontal="left" vertical="top" wrapText="1"/>
    </xf>
    <xf numFmtId="0" fontId="122" fillId="0" borderId="48" xfId="4598" applyFont="1" applyBorder="1" applyAlignment="1">
      <alignment horizontal="center"/>
    </xf>
    <xf numFmtId="0" fontId="122" fillId="0" borderId="15" xfId="4598" applyFont="1" applyBorder="1" applyAlignment="1">
      <alignment horizontal="center"/>
    </xf>
    <xf numFmtId="0" fontId="122" fillId="0" borderId="49" xfId="4598" applyFont="1" applyBorder="1" applyAlignment="1">
      <alignment horizontal="center"/>
    </xf>
    <xf numFmtId="172" fontId="122" fillId="0" borderId="48" xfId="0" applyFont="1" applyBorder="1" applyAlignment="1">
      <alignment horizontal="center"/>
    </xf>
    <xf numFmtId="172" fontId="122" fillId="0" borderId="15" xfId="0" applyFont="1" applyBorder="1" applyAlignment="1">
      <alignment horizontal="center"/>
    </xf>
    <xf numFmtId="172" fontId="122" fillId="0" borderId="49" xfId="0" applyFont="1" applyBorder="1" applyAlignment="1">
      <alignment horizontal="center"/>
    </xf>
    <xf numFmtId="0" fontId="30" fillId="0" borderId="0" xfId="4" applyFont="1" applyAlignment="1">
      <alignment horizontal="left" vertical="top" wrapText="1"/>
    </xf>
    <xf numFmtId="172" fontId="180" fillId="0" borderId="3" xfId="0" applyFont="1" applyBorder="1" applyAlignment="1">
      <alignment horizontal="center"/>
    </xf>
    <xf numFmtId="0" fontId="122" fillId="0" borderId="0" xfId="4598" applyFont="1" applyAlignment="1">
      <alignment horizontal="center"/>
    </xf>
    <xf numFmtId="49" fontId="122" fillId="0" borderId="0" xfId="4597" applyNumberFormat="1" applyFont="1" applyAlignment="1">
      <alignment horizontal="center"/>
    </xf>
    <xf numFmtId="172" fontId="179" fillId="0" borderId="0" xfId="0" applyFont="1" applyAlignment="1">
      <alignment horizontal="left" wrapText="1"/>
    </xf>
    <xf numFmtId="0" fontId="30" fillId="0" borderId="0" xfId="4476" applyFont="1" applyAlignment="1">
      <alignment horizontal="left" vertical="top" wrapText="1"/>
    </xf>
    <xf numFmtId="0" fontId="30" fillId="0" borderId="0" xfId="4476" applyFont="1" applyAlignment="1">
      <alignment horizontal="left" vertical="top"/>
    </xf>
    <xf numFmtId="0" fontId="166" fillId="0" borderId="0" xfId="0" applyNumberFormat="1" applyFont="1" applyAlignment="1">
      <alignment horizontal="left" vertical="top" wrapText="1"/>
    </xf>
    <xf numFmtId="0" fontId="30" fillId="0" borderId="0" xfId="0" applyNumberFormat="1" applyFont="1" applyAlignment="1">
      <alignment horizontal="left"/>
    </xf>
    <xf numFmtId="172" fontId="30" fillId="0" borderId="0" xfId="0" applyFont="1" applyAlignment="1" applyProtection="1">
      <alignment horizontal="left"/>
      <protection locked="0"/>
    </xf>
    <xf numFmtId="0" fontId="30" fillId="0" borderId="0" xfId="0" applyNumberFormat="1" applyFont="1" applyAlignment="1" applyProtection="1">
      <alignment horizontal="right"/>
    </xf>
    <xf numFmtId="172" fontId="30" fillId="0" borderId="0" xfId="4667" applyNumberFormat="1" applyFont="1" applyBorder="1" applyAlignment="1">
      <alignment horizontal="center"/>
    </xf>
    <xf numFmtId="172" fontId="30" fillId="0" borderId="0" xfId="4667" quotePrefix="1" applyNumberFormat="1" applyFont="1" applyFill="1" applyAlignment="1">
      <alignment horizontal="left" vertical="top" wrapText="1"/>
    </xf>
    <xf numFmtId="172" fontId="30" fillId="0" borderId="0" xfId="4667" applyNumberFormat="1" applyFont="1" applyFill="1" applyBorder="1" applyAlignment="1">
      <alignment horizontal="center"/>
    </xf>
    <xf numFmtId="172" fontId="30" fillId="0" borderId="38" xfId="4667" applyNumberFormat="1" applyFont="1" applyFill="1" applyBorder="1" applyAlignment="1">
      <alignment horizontal="center"/>
    </xf>
    <xf numFmtId="0" fontId="30" fillId="0" borderId="15" xfId="4352" quotePrefix="1" applyNumberFormat="1" applyFont="1" applyBorder="1" applyAlignment="1">
      <alignment horizontal="center"/>
    </xf>
    <xf numFmtId="0" fontId="30" fillId="0" borderId="49" xfId="4352" quotePrefix="1" applyNumberFormat="1" applyFont="1" applyBorder="1" applyAlignment="1">
      <alignment horizontal="center"/>
    </xf>
    <xf numFmtId="172" fontId="122" fillId="0" borderId="0" xfId="4667" applyNumberFormat="1" applyFont="1" applyAlignment="1">
      <alignment horizontal="center"/>
    </xf>
    <xf numFmtId="172" fontId="122" fillId="0" borderId="0" xfId="4667" applyNumberFormat="1" applyFont="1" applyBorder="1" applyAlignment="1">
      <alignment horizontal="center"/>
    </xf>
    <xf numFmtId="172" fontId="122" fillId="0" borderId="3" xfId="4667" applyNumberFormat="1" applyFont="1" applyBorder="1" applyAlignment="1">
      <alignment horizontal="center"/>
    </xf>
    <xf numFmtId="172" fontId="122" fillId="0" borderId="52" xfId="4667" applyNumberFormat="1" applyFont="1" applyFill="1" applyBorder="1" applyAlignment="1">
      <alignment horizontal="center"/>
    </xf>
    <xf numFmtId="172" fontId="122" fillId="0" borderId="3" xfId="4667" applyNumberFormat="1" applyFont="1" applyFill="1" applyBorder="1" applyAlignment="1">
      <alignment horizontal="center"/>
    </xf>
    <xf numFmtId="172" fontId="122" fillId="0" borderId="53" xfId="4667" applyNumberFormat="1" applyFont="1" applyFill="1" applyBorder="1" applyAlignment="1">
      <alignment horizontal="center"/>
    </xf>
    <xf numFmtId="172" fontId="191" fillId="0" borderId="0" xfId="4667" applyNumberFormat="1" applyFont="1" applyAlignment="1">
      <alignment horizontal="center"/>
    </xf>
    <xf numFmtId="0" fontId="30" fillId="0" borderId="48" xfId="4352" quotePrefix="1" applyNumberFormat="1" applyFont="1" applyBorder="1" applyAlignment="1">
      <alignment horizontal="center"/>
    </xf>
    <xf numFmtId="172" fontId="122" fillId="0" borderId="0" xfId="4667" applyNumberFormat="1" applyFont="1" applyFill="1" applyAlignment="1">
      <alignment horizontal="center"/>
    </xf>
    <xf numFmtId="172" fontId="122" fillId="0" borderId="0" xfId="4667" applyNumberFormat="1" applyFont="1" applyFill="1" applyAlignment="1">
      <alignment horizontal="left" vertical="top" wrapText="1"/>
    </xf>
    <xf numFmtId="172" fontId="30" fillId="0" borderId="0" xfId="4667" applyNumberFormat="1" applyFont="1" applyFill="1" applyAlignment="1">
      <alignment horizontal="left" vertical="top" wrapText="1"/>
    </xf>
    <xf numFmtId="172" fontId="122" fillId="0" borderId="0" xfId="4667" applyNumberFormat="1" applyFont="1" applyFill="1" applyAlignment="1">
      <alignment wrapText="1"/>
    </xf>
    <xf numFmtId="172" fontId="30" fillId="0" borderId="0" xfId="4667" applyNumberFormat="1" applyFont="1" applyFill="1" applyAlignment="1">
      <alignment wrapText="1"/>
    </xf>
    <xf numFmtId="172" fontId="180" fillId="0" borderId="0" xfId="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cellXfs>
  <cellStyles count="5200">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2 2 2" xfId="4703" xr:uid="{6AFA1F51-94CF-40F5-A483-E4D81B5521F8}"/>
    <cellStyle name="20% - Accent1 19 2 3" xfId="4702" xr:uid="{608F352B-347F-4055-B8BB-EE7089160EDB}"/>
    <cellStyle name="20% - Accent1 19 3" xfId="217" xr:uid="{00000000-0005-0000-0000-00002F000000}"/>
    <cellStyle name="20% - Accent1 19 3 2" xfId="4704" xr:uid="{63B72788-3E90-42E3-B7A9-F7C6B2F484F4}"/>
    <cellStyle name="20% - Accent1 19 4" xfId="4701" xr:uid="{04B9C25E-3E34-4143-9403-42C6C906FD5B}"/>
    <cellStyle name="20% - Accent1 2" xfId="16" xr:uid="{00000000-0005-0000-0000-000030000000}"/>
    <cellStyle name="20% - Accent1 2 10" xfId="218" xr:uid="{00000000-0005-0000-0000-000031000000}"/>
    <cellStyle name="20% - Accent1 2 10 2" xfId="4705" xr:uid="{6FA30655-09A9-4EE5-AC57-2F7FAF30DFC2}"/>
    <cellStyle name="20% - Accent1 2 2" xfId="219" xr:uid="{00000000-0005-0000-0000-000032000000}"/>
    <cellStyle name="20% - Accent1 2 2 2" xfId="220" xr:uid="{00000000-0005-0000-0000-000033000000}"/>
    <cellStyle name="20% - Accent1 2 2 2 2" xfId="221" xr:uid="{00000000-0005-0000-0000-000034000000}"/>
    <cellStyle name="20% - Accent1 2 2 2 2 2" xfId="4708" xr:uid="{41FF9E94-FB2F-43E6-A321-FDC38E9E0C91}"/>
    <cellStyle name="20% - Accent1 2 2 2 3" xfId="4707" xr:uid="{DB89FCFE-1663-4340-83C5-498D061287B2}"/>
    <cellStyle name="20% - Accent1 2 2 3" xfId="222" xr:uid="{00000000-0005-0000-0000-000035000000}"/>
    <cellStyle name="20% - Accent1 2 2 3 2" xfId="4709" xr:uid="{75A24CBB-C05C-4685-BC47-A6B879C538FC}"/>
    <cellStyle name="20% - Accent1 2 2 4" xfId="4706" xr:uid="{280EF6DD-72FB-41BB-AE2C-EB2438E0CCC3}"/>
    <cellStyle name="20% - Accent1 2 3" xfId="223" xr:uid="{00000000-0005-0000-0000-000036000000}"/>
    <cellStyle name="20% - Accent1 2 3 2" xfId="224" xr:uid="{00000000-0005-0000-0000-000037000000}"/>
    <cellStyle name="20% - Accent1 2 3 2 2" xfId="225" xr:uid="{00000000-0005-0000-0000-000038000000}"/>
    <cellStyle name="20% - Accent1 2 3 2 2 2" xfId="4712" xr:uid="{70BD7DDD-EE1A-4355-81B3-D26AC390E007}"/>
    <cellStyle name="20% - Accent1 2 3 2 3" xfId="4711" xr:uid="{3A7E9122-FBDE-4ADF-A084-6CC06BF37877}"/>
    <cellStyle name="20% - Accent1 2 3 3" xfId="226" xr:uid="{00000000-0005-0000-0000-000039000000}"/>
    <cellStyle name="20% - Accent1 2 3 3 2" xfId="4713" xr:uid="{E3FBD7F0-88BA-4DA6-B069-BEC05547A6DD}"/>
    <cellStyle name="20% - Accent1 2 3 4" xfId="4710" xr:uid="{2FE458E2-FBDC-4860-99E4-1DCF9DA3AD89}"/>
    <cellStyle name="20% - Accent1 2 4" xfId="227" xr:uid="{00000000-0005-0000-0000-00003A000000}"/>
    <cellStyle name="20% - Accent1 2 4 2" xfId="228" xr:uid="{00000000-0005-0000-0000-00003B000000}"/>
    <cellStyle name="20% - Accent1 2 4 2 2" xfId="229" xr:uid="{00000000-0005-0000-0000-00003C000000}"/>
    <cellStyle name="20% - Accent1 2 4 2 2 2" xfId="4716" xr:uid="{06645788-BBBD-4CD1-B2D2-D925C30EB7B9}"/>
    <cellStyle name="20% - Accent1 2 4 2 3" xfId="4715" xr:uid="{77E1380B-4F79-44B6-BA2F-7A4170454C88}"/>
    <cellStyle name="20% - Accent1 2 4 3" xfId="230" xr:uid="{00000000-0005-0000-0000-00003D000000}"/>
    <cellStyle name="20% - Accent1 2 4 3 2" xfId="4717" xr:uid="{47DBA3DE-D342-4E1E-BB06-3754BFC8B719}"/>
    <cellStyle name="20% - Accent1 2 4 4" xfId="4714" xr:uid="{59F17B89-395E-4C07-8320-3DD92452DB83}"/>
    <cellStyle name="20% - Accent1 2 5" xfId="231" xr:uid="{00000000-0005-0000-0000-00003E000000}"/>
    <cellStyle name="20% - Accent1 2 5 2" xfId="232" xr:uid="{00000000-0005-0000-0000-00003F000000}"/>
    <cellStyle name="20% - Accent1 2 5 2 2" xfId="233" xr:uid="{00000000-0005-0000-0000-000040000000}"/>
    <cellStyle name="20% - Accent1 2 5 2 2 2" xfId="4720" xr:uid="{AC86BDF2-C1CE-4F9D-A513-D88F68A8506F}"/>
    <cellStyle name="20% - Accent1 2 5 2 3" xfId="4719" xr:uid="{17B6DAC5-573B-4340-94BA-BA4707B79253}"/>
    <cellStyle name="20% - Accent1 2 5 3" xfId="234" xr:uid="{00000000-0005-0000-0000-000041000000}"/>
    <cellStyle name="20% - Accent1 2 5 3 2" xfId="4721" xr:uid="{9902295E-5CC9-4A1E-A154-F87D60D027A4}"/>
    <cellStyle name="20% - Accent1 2 5 4" xfId="4718" xr:uid="{57CB19D8-278C-42A9-9F29-726FAFBB76C0}"/>
    <cellStyle name="20% - Accent1 2 6" xfId="235" xr:uid="{00000000-0005-0000-0000-000042000000}"/>
    <cellStyle name="20% - Accent1 2 6 2" xfId="236" xr:uid="{00000000-0005-0000-0000-000043000000}"/>
    <cellStyle name="20% - Accent1 2 6 2 2" xfId="237" xr:uid="{00000000-0005-0000-0000-000044000000}"/>
    <cellStyle name="20% - Accent1 2 6 2 2 2" xfId="4724" xr:uid="{5C910DF6-4CCA-4E58-A7FA-B5EDBA4BBB0B}"/>
    <cellStyle name="20% - Accent1 2 6 2 3" xfId="4723" xr:uid="{ACED88F5-E2E3-45A7-9A40-D350CDE55894}"/>
    <cellStyle name="20% - Accent1 2 6 3" xfId="238" xr:uid="{00000000-0005-0000-0000-000045000000}"/>
    <cellStyle name="20% - Accent1 2 6 3 2" xfId="4725" xr:uid="{CE2A898C-AAB0-4B3F-9359-C3C322A7AE89}"/>
    <cellStyle name="20% - Accent1 2 6 4" xfId="4722" xr:uid="{D8AF6CAB-C8EC-44A8-BCDA-E09B7E9F406F}"/>
    <cellStyle name="20% - Accent1 2 7" xfId="239" xr:uid="{00000000-0005-0000-0000-000046000000}"/>
    <cellStyle name="20% - Accent1 2 7 2" xfId="240" xr:uid="{00000000-0005-0000-0000-000047000000}"/>
    <cellStyle name="20% - Accent1 2 7 2 2" xfId="241" xr:uid="{00000000-0005-0000-0000-000048000000}"/>
    <cellStyle name="20% - Accent1 2 7 2 2 2" xfId="4728" xr:uid="{CDB94E4E-7D58-4837-8040-D5FDE205478F}"/>
    <cellStyle name="20% - Accent1 2 7 2 3" xfId="4727" xr:uid="{41B541C8-E333-4C4C-A4E9-E74DA71DD27B}"/>
    <cellStyle name="20% - Accent1 2 7 3" xfId="242" xr:uid="{00000000-0005-0000-0000-000049000000}"/>
    <cellStyle name="20% - Accent1 2 7 3 2" xfId="4729" xr:uid="{CD054C72-FE4F-4125-A15D-1655FC1D5FD6}"/>
    <cellStyle name="20% - Accent1 2 7 4" xfId="4726" xr:uid="{04BA0485-CF85-4C22-BED4-525591735339}"/>
    <cellStyle name="20% - Accent1 2 8" xfId="243" xr:uid="{00000000-0005-0000-0000-00004A000000}"/>
    <cellStyle name="20% - Accent1 2 8 2" xfId="244" xr:uid="{00000000-0005-0000-0000-00004B000000}"/>
    <cellStyle name="20% - Accent1 2 8 2 2" xfId="245" xr:uid="{00000000-0005-0000-0000-00004C000000}"/>
    <cellStyle name="20% - Accent1 2 8 2 2 2" xfId="4732" xr:uid="{2269D17C-3E93-445B-B4E6-C11935E6A58C}"/>
    <cellStyle name="20% - Accent1 2 8 2 3" xfId="4731" xr:uid="{5F58E16A-03E5-4686-9253-8A26CAA40CEE}"/>
    <cellStyle name="20% - Accent1 2 8 3" xfId="246" xr:uid="{00000000-0005-0000-0000-00004D000000}"/>
    <cellStyle name="20% - Accent1 2 8 3 2" xfId="4733" xr:uid="{E226523F-4A59-4C21-BE54-6A09AEE8A169}"/>
    <cellStyle name="20% - Accent1 2 8 4" xfId="4730" xr:uid="{4B348B5D-559E-4A5B-8757-4AB13A6CA3F3}"/>
    <cellStyle name="20% - Accent1 2 9" xfId="247" xr:uid="{00000000-0005-0000-0000-00004E000000}"/>
    <cellStyle name="20% - Accent1 2 9 2" xfId="248" xr:uid="{00000000-0005-0000-0000-00004F000000}"/>
    <cellStyle name="20% - Accent1 2 9 2 2" xfId="4735" xr:uid="{9DAC0FC7-0D96-49C8-B766-B2F5F6C3FA2A}"/>
    <cellStyle name="20% - Accent1 2 9 3" xfId="4734" xr:uid="{DF21912F-DF7F-4BAD-B8D6-C75C2C57B7FA}"/>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2 2 2" xfId="4738" xr:uid="{E7C27C20-A5FE-480B-9182-525A630774D4}"/>
    <cellStyle name="20% - Accent2 19 2 3" xfId="4737" xr:uid="{9C16DFE3-7047-4E45-B45F-F8752C92A498}"/>
    <cellStyle name="20% - Accent2 19 3" xfId="268" xr:uid="{00000000-0005-0000-0000-000063000000}"/>
    <cellStyle name="20% - Accent2 19 3 2" xfId="4739" xr:uid="{096E58EF-EFD7-404D-8FA7-5D31DC40FEA3}"/>
    <cellStyle name="20% - Accent2 19 4" xfId="4736" xr:uid="{306877DF-F427-49CC-BE5D-893AB08D872A}"/>
    <cellStyle name="20% - Accent2 2" xfId="17" xr:uid="{00000000-0005-0000-0000-000064000000}"/>
    <cellStyle name="20% - Accent2 2 10" xfId="269" xr:uid="{00000000-0005-0000-0000-000065000000}"/>
    <cellStyle name="20% - Accent2 2 10 2" xfId="4740" xr:uid="{76939159-81FE-4770-B028-D448CEB2375E}"/>
    <cellStyle name="20% - Accent2 2 2" xfId="270" xr:uid="{00000000-0005-0000-0000-000066000000}"/>
    <cellStyle name="20% - Accent2 2 2 2" xfId="271" xr:uid="{00000000-0005-0000-0000-000067000000}"/>
    <cellStyle name="20% - Accent2 2 2 2 2" xfId="272" xr:uid="{00000000-0005-0000-0000-000068000000}"/>
    <cellStyle name="20% - Accent2 2 2 2 2 2" xfId="4743" xr:uid="{4B5D266D-723D-46B2-BFDD-3F7EC1EE7A97}"/>
    <cellStyle name="20% - Accent2 2 2 2 3" xfId="4742" xr:uid="{66D905F5-DA29-4331-BD0B-64733AA6D389}"/>
    <cellStyle name="20% - Accent2 2 2 3" xfId="273" xr:uid="{00000000-0005-0000-0000-000069000000}"/>
    <cellStyle name="20% - Accent2 2 2 3 2" xfId="4744" xr:uid="{D8A9468F-8106-488F-9DEF-55B564F5571E}"/>
    <cellStyle name="20% - Accent2 2 2 4" xfId="4741" xr:uid="{A2A143CC-7EEE-4FCE-9B78-8BA4C1275C94}"/>
    <cellStyle name="20% - Accent2 2 3" xfId="274" xr:uid="{00000000-0005-0000-0000-00006A000000}"/>
    <cellStyle name="20% - Accent2 2 3 2" xfId="275" xr:uid="{00000000-0005-0000-0000-00006B000000}"/>
    <cellStyle name="20% - Accent2 2 3 2 2" xfId="276" xr:uid="{00000000-0005-0000-0000-00006C000000}"/>
    <cellStyle name="20% - Accent2 2 3 2 2 2" xfId="4747" xr:uid="{BE3A6135-ACF6-4C02-8EFD-25A75F24DFED}"/>
    <cellStyle name="20% - Accent2 2 3 2 3" xfId="4746" xr:uid="{7FD59557-3B25-4DAC-819C-8F7ACE14150C}"/>
    <cellStyle name="20% - Accent2 2 3 3" xfId="277" xr:uid="{00000000-0005-0000-0000-00006D000000}"/>
    <cellStyle name="20% - Accent2 2 3 3 2" xfId="4748" xr:uid="{35687B70-EFB0-4E10-B524-580638864FAE}"/>
    <cellStyle name="20% - Accent2 2 3 4" xfId="4745" xr:uid="{1505E100-D933-4E2C-8F91-560B5E48B4EA}"/>
    <cellStyle name="20% - Accent2 2 4" xfId="278" xr:uid="{00000000-0005-0000-0000-00006E000000}"/>
    <cellStyle name="20% - Accent2 2 4 2" xfId="279" xr:uid="{00000000-0005-0000-0000-00006F000000}"/>
    <cellStyle name="20% - Accent2 2 4 2 2" xfId="280" xr:uid="{00000000-0005-0000-0000-000070000000}"/>
    <cellStyle name="20% - Accent2 2 4 2 2 2" xfId="4751" xr:uid="{9EAFBF5C-1853-4886-8654-D4E3ADB92C85}"/>
    <cellStyle name="20% - Accent2 2 4 2 3" xfId="4750" xr:uid="{A11D3C91-69DC-47CF-969B-2C544FD0B50E}"/>
    <cellStyle name="20% - Accent2 2 4 3" xfId="281" xr:uid="{00000000-0005-0000-0000-000071000000}"/>
    <cellStyle name="20% - Accent2 2 4 3 2" xfId="4752" xr:uid="{4AB13FC9-4F55-4266-A658-6C0C4801EF57}"/>
    <cellStyle name="20% - Accent2 2 4 4" xfId="4749" xr:uid="{7A208155-412A-4EC1-B0E0-DFCD41C97EA8}"/>
    <cellStyle name="20% - Accent2 2 5" xfId="282" xr:uid="{00000000-0005-0000-0000-000072000000}"/>
    <cellStyle name="20% - Accent2 2 5 2" xfId="283" xr:uid="{00000000-0005-0000-0000-000073000000}"/>
    <cellStyle name="20% - Accent2 2 5 2 2" xfId="284" xr:uid="{00000000-0005-0000-0000-000074000000}"/>
    <cellStyle name="20% - Accent2 2 5 2 2 2" xfId="4755" xr:uid="{899CE80D-D28F-4AEC-87EF-85FA32E76B29}"/>
    <cellStyle name="20% - Accent2 2 5 2 3" xfId="4754" xr:uid="{7FE4073E-9A44-4901-8A9C-EC7371D4A791}"/>
    <cellStyle name="20% - Accent2 2 5 3" xfId="285" xr:uid="{00000000-0005-0000-0000-000075000000}"/>
    <cellStyle name="20% - Accent2 2 5 3 2" xfId="4756" xr:uid="{A56E375E-B78A-4CAE-BF75-F5FE44FDA056}"/>
    <cellStyle name="20% - Accent2 2 5 4" xfId="4753" xr:uid="{00CEE119-668D-4FD8-BA9E-BD4E27A82A79}"/>
    <cellStyle name="20% - Accent2 2 6" xfId="286" xr:uid="{00000000-0005-0000-0000-000076000000}"/>
    <cellStyle name="20% - Accent2 2 6 2" xfId="287" xr:uid="{00000000-0005-0000-0000-000077000000}"/>
    <cellStyle name="20% - Accent2 2 6 2 2" xfId="288" xr:uid="{00000000-0005-0000-0000-000078000000}"/>
    <cellStyle name="20% - Accent2 2 6 2 2 2" xfId="4759" xr:uid="{CCD2A07A-2091-4C5E-A430-9FC5946A7887}"/>
    <cellStyle name="20% - Accent2 2 6 2 3" xfId="4758" xr:uid="{18099A5F-7C2A-4792-A96D-02C658D4BC03}"/>
    <cellStyle name="20% - Accent2 2 6 3" xfId="289" xr:uid="{00000000-0005-0000-0000-000079000000}"/>
    <cellStyle name="20% - Accent2 2 6 3 2" xfId="4760" xr:uid="{886DE825-2689-4416-A45E-B4BAF3B235B1}"/>
    <cellStyle name="20% - Accent2 2 6 4" xfId="4757" xr:uid="{88935D5B-80E3-4900-A0CC-DE60AA5EF546}"/>
    <cellStyle name="20% - Accent2 2 7" xfId="290" xr:uid="{00000000-0005-0000-0000-00007A000000}"/>
    <cellStyle name="20% - Accent2 2 7 2" xfId="291" xr:uid="{00000000-0005-0000-0000-00007B000000}"/>
    <cellStyle name="20% - Accent2 2 7 2 2" xfId="292" xr:uid="{00000000-0005-0000-0000-00007C000000}"/>
    <cellStyle name="20% - Accent2 2 7 2 2 2" xfId="4763" xr:uid="{48737E44-F98D-4B76-B14D-70886F8BAC18}"/>
    <cellStyle name="20% - Accent2 2 7 2 3" xfId="4762" xr:uid="{239C31A6-8520-4357-99FE-8DC338E264F0}"/>
    <cellStyle name="20% - Accent2 2 7 3" xfId="293" xr:uid="{00000000-0005-0000-0000-00007D000000}"/>
    <cellStyle name="20% - Accent2 2 7 3 2" xfId="4764" xr:uid="{D0569C9C-C947-490A-A15A-72AD5DAA5F5C}"/>
    <cellStyle name="20% - Accent2 2 7 4" xfId="4761" xr:uid="{CBBEB534-6AE0-470C-8F27-2CD1B7EB4F14}"/>
    <cellStyle name="20% - Accent2 2 8" xfId="294" xr:uid="{00000000-0005-0000-0000-00007E000000}"/>
    <cellStyle name="20% - Accent2 2 8 2" xfId="295" xr:uid="{00000000-0005-0000-0000-00007F000000}"/>
    <cellStyle name="20% - Accent2 2 8 2 2" xfId="296" xr:uid="{00000000-0005-0000-0000-000080000000}"/>
    <cellStyle name="20% - Accent2 2 8 2 2 2" xfId="4767" xr:uid="{7D366DE5-57D0-4332-9827-1C846B96258A}"/>
    <cellStyle name="20% - Accent2 2 8 2 3" xfId="4766" xr:uid="{6D8F892E-7A8C-4FF9-B19A-870627F46FFD}"/>
    <cellStyle name="20% - Accent2 2 8 3" xfId="297" xr:uid="{00000000-0005-0000-0000-000081000000}"/>
    <cellStyle name="20% - Accent2 2 8 3 2" xfId="4768" xr:uid="{28BA66F5-C9BC-4589-874E-FC9F1F71E695}"/>
    <cellStyle name="20% - Accent2 2 8 4" xfId="4765" xr:uid="{C8B320FD-4108-42F6-B085-BD858FA4435C}"/>
    <cellStyle name="20% - Accent2 2 9" xfId="298" xr:uid="{00000000-0005-0000-0000-000082000000}"/>
    <cellStyle name="20% - Accent2 2 9 2" xfId="299" xr:uid="{00000000-0005-0000-0000-000083000000}"/>
    <cellStyle name="20% - Accent2 2 9 2 2" xfId="4770" xr:uid="{3B65BB0E-8A6B-48A8-B062-90FB7F12EEC6}"/>
    <cellStyle name="20% - Accent2 2 9 3" xfId="4769" xr:uid="{F61FA607-0BDA-454D-909C-32F3D97F3827}"/>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2 2 2" xfId="4773" xr:uid="{C8EC662A-F57E-42F5-9F23-350726DAE1FB}"/>
    <cellStyle name="20% - Accent3 2 2 2 3" xfId="4772" xr:uid="{6DC6C3F5-6311-4B0B-9F84-19D3EC3B315E}"/>
    <cellStyle name="20% - Accent3 2 2 3" xfId="319" xr:uid="{00000000-0005-0000-0000-000098000000}"/>
    <cellStyle name="20% - Accent3 2 2 3 2" xfId="4774" xr:uid="{DBAF73B5-DD0F-44E4-97CB-85DD81786E47}"/>
    <cellStyle name="20% - Accent3 2 2 4" xfId="4771" xr:uid="{744289F5-3E8F-4BFB-8A95-7D37128F3CD6}"/>
    <cellStyle name="20% - Accent3 2 3" xfId="320" xr:uid="{00000000-0005-0000-0000-000099000000}"/>
    <cellStyle name="20% - Accent3 2 3 2" xfId="321" xr:uid="{00000000-0005-0000-0000-00009A000000}"/>
    <cellStyle name="20% - Accent3 2 3 2 2" xfId="322" xr:uid="{00000000-0005-0000-0000-00009B000000}"/>
    <cellStyle name="20% - Accent3 2 3 2 2 2" xfId="4777" xr:uid="{D586BED0-E0AC-495A-B116-525781C1D7BB}"/>
    <cellStyle name="20% - Accent3 2 3 2 3" xfId="4776" xr:uid="{96F1929E-B52E-483D-A905-1A9553BB1627}"/>
    <cellStyle name="20% - Accent3 2 3 3" xfId="323" xr:uid="{00000000-0005-0000-0000-00009C000000}"/>
    <cellStyle name="20% - Accent3 2 3 3 2" xfId="4778" xr:uid="{0C0F1AE4-58CF-41E8-9927-12FD02D0D0C8}"/>
    <cellStyle name="20% - Accent3 2 3 4" xfId="4775" xr:uid="{45DDB6DC-4053-4569-BC2A-C0BE3618574A}"/>
    <cellStyle name="20% - Accent3 2 4" xfId="324" xr:uid="{00000000-0005-0000-0000-00009D000000}"/>
    <cellStyle name="20% - Accent3 2 4 2" xfId="325" xr:uid="{00000000-0005-0000-0000-00009E000000}"/>
    <cellStyle name="20% - Accent3 2 4 2 2" xfId="326" xr:uid="{00000000-0005-0000-0000-00009F000000}"/>
    <cellStyle name="20% - Accent3 2 4 2 2 2" xfId="4781" xr:uid="{078EA9A0-495F-4674-BCEE-AA5196E72D1C}"/>
    <cellStyle name="20% - Accent3 2 4 2 3" xfId="4780" xr:uid="{A069011A-477B-413C-BAC3-A8C6D4C11892}"/>
    <cellStyle name="20% - Accent3 2 4 3" xfId="327" xr:uid="{00000000-0005-0000-0000-0000A0000000}"/>
    <cellStyle name="20% - Accent3 2 4 3 2" xfId="4782" xr:uid="{3EC9A4F0-A34B-4747-A890-C8B1455CE89B}"/>
    <cellStyle name="20% - Accent3 2 4 4" xfId="4779" xr:uid="{B8553BB5-FF79-4887-828F-001FD79EA4FD}"/>
    <cellStyle name="20% - Accent3 2 5" xfId="328" xr:uid="{00000000-0005-0000-0000-0000A1000000}"/>
    <cellStyle name="20% - Accent3 2 5 2" xfId="329" xr:uid="{00000000-0005-0000-0000-0000A2000000}"/>
    <cellStyle name="20% - Accent3 2 5 2 2" xfId="330" xr:uid="{00000000-0005-0000-0000-0000A3000000}"/>
    <cellStyle name="20% - Accent3 2 5 2 2 2" xfId="4785" xr:uid="{758C2F1C-6D47-4F08-8E97-19474791035E}"/>
    <cellStyle name="20% - Accent3 2 5 2 3" xfId="4784" xr:uid="{840EBAE6-9305-447F-9C93-6D2CB2F89563}"/>
    <cellStyle name="20% - Accent3 2 5 3" xfId="331" xr:uid="{00000000-0005-0000-0000-0000A4000000}"/>
    <cellStyle name="20% - Accent3 2 5 3 2" xfId="4786" xr:uid="{86B38E28-82EF-4CA8-8E1F-16204668CEF8}"/>
    <cellStyle name="20% - Accent3 2 5 4" xfId="4783" xr:uid="{14EF9472-4AD5-4DD3-98DB-7EC9262EC52D}"/>
    <cellStyle name="20% - Accent3 2 6" xfId="332" xr:uid="{00000000-0005-0000-0000-0000A5000000}"/>
    <cellStyle name="20% - Accent3 2 6 2" xfId="333" xr:uid="{00000000-0005-0000-0000-0000A6000000}"/>
    <cellStyle name="20% - Accent3 2 6 2 2" xfId="334" xr:uid="{00000000-0005-0000-0000-0000A7000000}"/>
    <cellStyle name="20% - Accent3 2 6 2 2 2" xfId="4789" xr:uid="{5BEE5525-5C9A-4107-9D13-618D9A33C087}"/>
    <cellStyle name="20% - Accent3 2 6 2 3" xfId="4788" xr:uid="{F42A3FE3-F43B-4254-B6D5-AAF9BC3B6537}"/>
    <cellStyle name="20% - Accent3 2 6 3" xfId="335" xr:uid="{00000000-0005-0000-0000-0000A8000000}"/>
    <cellStyle name="20% - Accent3 2 6 3 2" xfId="4790" xr:uid="{FC9F8F11-0AE1-4EF0-BC95-269D4239009E}"/>
    <cellStyle name="20% - Accent3 2 6 4" xfId="4787" xr:uid="{77872277-1A62-41E0-B4A0-8C65D7A094F1}"/>
    <cellStyle name="20% - Accent3 2 7" xfId="336" xr:uid="{00000000-0005-0000-0000-0000A9000000}"/>
    <cellStyle name="20% - Accent3 2 7 2" xfId="337" xr:uid="{00000000-0005-0000-0000-0000AA000000}"/>
    <cellStyle name="20% - Accent3 2 7 2 2" xfId="338" xr:uid="{00000000-0005-0000-0000-0000AB000000}"/>
    <cellStyle name="20% - Accent3 2 7 2 2 2" xfId="4793" xr:uid="{5E289ED3-D30B-4ED5-B6F8-71834AC674FA}"/>
    <cellStyle name="20% - Accent3 2 7 2 3" xfId="4792" xr:uid="{71479689-F1DD-449A-96A5-8A9E78ACC4D4}"/>
    <cellStyle name="20% - Accent3 2 7 3" xfId="339" xr:uid="{00000000-0005-0000-0000-0000AC000000}"/>
    <cellStyle name="20% - Accent3 2 7 3 2" xfId="4794" xr:uid="{64AB9E6D-527C-4E23-92F9-83B0AD4CC808}"/>
    <cellStyle name="20% - Accent3 2 7 4" xfId="4791" xr:uid="{003B186B-47DD-48A7-8D65-6DD6CDF081B0}"/>
    <cellStyle name="20% - Accent3 2 8" xfId="340" xr:uid="{00000000-0005-0000-0000-0000AD000000}"/>
    <cellStyle name="20% - Accent3 2 8 2" xfId="341" xr:uid="{00000000-0005-0000-0000-0000AE000000}"/>
    <cellStyle name="20% - Accent3 2 8 2 2" xfId="4796" xr:uid="{88451403-5762-4CB8-A069-FF9B0140EC74}"/>
    <cellStyle name="20% - Accent3 2 8 3" xfId="4795" xr:uid="{D8127852-B8AD-4D51-A53E-FF15109187CF}"/>
    <cellStyle name="20% - Accent3 2 9" xfId="342" xr:uid="{00000000-0005-0000-0000-0000AF000000}"/>
    <cellStyle name="20% - Accent3 2 9 2" xfId="4797" xr:uid="{FFDD016F-EAD9-47B5-B7BB-64B9FE38060F}"/>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2 2 2" xfId="4800" xr:uid="{CD8244C0-598D-4CDD-8564-B42A685E7190}"/>
    <cellStyle name="20% - Accent4 2 2 2 3" xfId="4799" xr:uid="{D9AE680C-5A4D-4EFD-9E8A-85D9DF9DF6C5}"/>
    <cellStyle name="20% - Accent4 2 2 3" xfId="362" xr:uid="{00000000-0005-0000-0000-0000C4000000}"/>
    <cellStyle name="20% - Accent4 2 2 3 2" xfId="4801" xr:uid="{9177B675-807E-4359-841E-94899E324FCA}"/>
    <cellStyle name="20% - Accent4 2 2 4" xfId="4798" xr:uid="{DBC945B6-9995-4674-A422-0BE9192ACB7A}"/>
    <cellStyle name="20% - Accent4 2 3" xfId="363" xr:uid="{00000000-0005-0000-0000-0000C5000000}"/>
    <cellStyle name="20% - Accent4 2 3 2" xfId="364" xr:uid="{00000000-0005-0000-0000-0000C6000000}"/>
    <cellStyle name="20% - Accent4 2 3 2 2" xfId="365" xr:uid="{00000000-0005-0000-0000-0000C7000000}"/>
    <cellStyle name="20% - Accent4 2 3 2 2 2" xfId="4804" xr:uid="{9DD5D0E3-8BAA-4012-8CAC-B1441BB06A4E}"/>
    <cellStyle name="20% - Accent4 2 3 2 3" xfId="4803" xr:uid="{768B5FF5-1241-4BED-9B70-FB8EBC74CAA0}"/>
    <cellStyle name="20% - Accent4 2 3 3" xfId="366" xr:uid="{00000000-0005-0000-0000-0000C8000000}"/>
    <cellStyle name="20% - Accent4 2 3 3 2" xfId="4805" xr:uid="{16E831C6-0DDD-44A1-9748-9A366BADEDE5}"/>
    <cellStyle name="20% - Accent4 2 3 4" xfId="4802" xr:uid="{7E49BE6A-AEBF-432E-ACA9-F50FE00B44A9}"/>
    <cellStyle name="20% - Accent4 2 4" xfId="367" xr:uid="{00000000-0005-0000-0000-0000C9000000}"/>
    <cellStyle name="20% - Accent4 2 4 2" xfId="368" xr:uid="{00000000-0005-0000-0000-0000CA000000}"/>
    <cellStyle name="20% - Accent4 2 4 2 2" xfId="369" xr:uid="{00000000-0005-0000-0000-0000CB000000}"/>
    <cellStyle name="20% - Accent4 2 4 2 2 2" xfId="4808" xr:uid="{E601E5E9-527A-402C-9460-94120EDB8B03}"/>
    <cellStyle name="20% - Accent4 2 4 2 3" xfId="4807" xr:uid="{D0BCC424-3A0B-45B6-9C74-BF1F147D6FB8}"/>
    <cellStyle name="20% - Accent4 2 4 3" xfId="370" xr:uid="{00000000-0005-0000-0000-0000CC000000}"/>
    <cellStyle name="20% - Accent4 2 4 3 2" xfId="4809" xr:uid="{321622D0-CE21-4EDC-91E8-03BD51997315}"/>
    <cellStyle name="20% - Accent4 2 4 4" xfId="4806" xr:uid="{5CC2094E-FD27-42C5-A884-FD3473132026}"/>
    <cellStyle name="20% - Accent4 2 5" xfId="371" xr:uid="{00000000-0005-0000-0000-0000CD000000}"/>
    <cellStyle name="20% - Accent4 2 5 2" xfId="372" xr:uid="{00000000-0005-0000-0000-0000CE000000}"/>
    <cellStyle name="20% - Accent4 2 5 2 2" xfId="373" xr:uid="{00000000-0005-0000-0000-0000CF000000}"/>
    <cellStyle name="20% - Accent4 2 5 2 2 2" xfId="4812" xr:uid="{5F31C470-BEE9-41D1-A5FE-C06F4B32EA12}"/>
    <cellStyle name="20% - Accent4 2 5 2 3" xfId="4811" xr:uid="{915E009F-3CCA-4D50-9437-C47CECE36573}"/>
    <cellStyle name="20% - Accent4 2 5 3" xfId="374" xr:uid="{00000000-0005-0000-0000-0000D0000000}"/>
    <cellStyle name="20% - Accent4 2 5 3 2" xfId="4813" xr:uid="{3B2ADCF2-6498-4B85-9DED-049139101452}"/>
    <cellStyle name="20% - Accent4 2 5 4" xfId="4810" xr:uid="{4D753D0C-BC3C-42BB-B78A-2234540BF573}"/>
    <cellStyle name="20% - Accent4 2 6" xfId="375" xr:uid="{00000000-0005-0000-0000-0000D1000000}"/>
    <cellStyle name="20% - Accent4 2 6 2" xfId="376" xr:uid="{00000000-0005-0000-0000-0000D2000000}"/>
    <cellStyle name="20% - Accent4 2 6 2 2" xfId="377" xr:uid="{00000000-0005-0000-0000-0000D3000000}"/>
    <cellStyle name="20% - Accent4 2 6 2 2 2" xfId="4816" xr:uid="{4A39C26C-6A6D-4C49-BCAE-E07EE391229C}"/>
    <cellStyle name="20% - Accent4 2 6 2 3" xfId="4815" xr:uid="{D195FD41-9DE1-4B9F-AB43-676CCDBA4B1B}"/>
    <cellStyle name="20% - Accent4 2 6 3" xfId="378" xr:uid="{00000000-0005-0000-0000-0000D4000000}"/>
    <cellStyle name="20% - Accent4 2 6 3 2" xfId="4817" xr:uid="{52A252AF-002A-4C68-BBF3-B48885A3BEC1}"/>
    <cellStyle name="20% - Accent4 2 6 4" xfId="4814" xr:uid="{C5FA2082-B8A4-4FAE-9B18-0A58863B5635}"/>
    <cellStyle name="20% - Accent4 2 7" xfId="379" xr:uid="{00000000-0005-0000-0000-0000D5000000}"/>
    <cellStyle name="20% - Accent4 2 7 2" xfId="380" xr:uid="{00000000-0005-0000-0000-0000D6000000}"/>
    <cellStyle name="20% - Accent4 2 7 2 2" xfId="381" xr:uid="{00000000-0005-0000-0000-0000D7000000}"/>
    <cellStyle name="20% - Accent4 2 7 2 2 2" xfId="4820" xr:uid="{C46256C2-8A56-45AD-85B0-2A240625A69F}"/>
    <cellStyle name="20% - Accent4 2 7 2 3" xfId="4819" xr:uid="{A78A1572-2493-4527-A232-4F31F0569E24}"/>
    <cellStyle name="20% - Accent4 2 7 3" xfId="382" xr:uid="{00000000-0005-0000-0000-0000D8000000}"/>
    <cellStyle name="20% - Accent4 2 7 3 2" xfId="4821" xr:uid="{EB7470EB-BA61-4CD0-BE52-6BDC0BE72A4F}"/>
    <cellStyle name="20% - Accent4 2 7 4" xfId="4818" xr:uid="{14048955-9D7C-41B0-B8AB-4B7C76A5ED1C}"/>
    <cellStyle name="20% - Accent4 2 8" xfId="383" xr:uid="{00000000-0005-0000-0000-0000D9000000}"/>
    <cellStyle name="20% - Accent4 2 8 2" xfId="384" xr:uid="{00000000-0005-0000-0000-0000DA000000}"/>
    <cellStyle name="20% - Accent4 2 8 2 2" xfId="4823" xr:uid="{8D881267-5538-423B-9180-4E51281E28E0}"/>
    <cellStyle name="20% - Accent4 2 8 3" xfId="4822" xr:uid="{5942EA7D-AB04-4E50-8D1B-7A1543ED1119}"/>
    <cellStyle name="20% - Accent4 2 9" xfId="385" xr:uid="{00000000-0005-0000-0000-0000DB000000}"/>
    <cellStyle name="20% - Accent4 2 9 2" xfId="4824" xr:uid="{4F7FA043-1FEF-44B4-B44E-9A0BD4011934}"/>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2 2 2" xfId="4827" xr:uid="{2AC997D7-9E63-42D2-A174-3DD5B04037BE}"/>
    <cellStyle name="20% - Accent5 2 2 2 3" xfId="4826" xr:uid="{C0C59136-B802-44EC-91AF-535AF8260B0A}"/>
    <cellStyle name="20% - Accent5 2 2 3" xfId="405" xr:uid="{00000000-0005-0000-0000-0000F0000000}"/>
    <cellStyle name="20% - Accent5 2 2 3 2" xfId="4828" xr:uid="{D2D19BBF-4BBE-4262-8318-5E20B129B1B7}"/>
    <cellStyle name="20% - Accent5 2 2 4" xfId="4825" xr:uid="{455BC399-C6DA-420C-97F0-10CC9F02D376}"/>
    <cellStyle name="20% - Accent5 2 3" xfId="406" xr:uid="{00000000-0005-0000-0000-0000F1000000}"/>
    <cellStyle name="20% - Accent5 2 3 2" xfId="407" xr:uid="{00000000-0005-0000-0000-0000F2000000}"/>
    <cellStyle name="20% - Accent5 2 3 2 2" xfId="408" xr:uid="{00000000-0005-0000-0000-0000F3000000}"/>
    <cellStyle name="20% - Accent5 2 3 2 2 2" xfId="4831" xr:uid="{724DEA68-A293-4297-B1D7-29234A085B6B}"/>
    <cellStyle name="20% - Accent5 2 3 2 3" xfId="4830" xr:uid="{D511F50E-11EB-4337-95B6-5156D10B14F5}"/>
    <cellStyle name="20% - Accent5 2 3 3" xfId="409" xr:uid="{00000000-0005-0000-0000-0000F4000000}"/>
    <cellStyle name="20% - Accent5 2 3 3 2" xfId="4832" xr:uid="{17C62792-788B-4982-93EB-721EE42F3671}"/>
    <cellStyle name="20% - Accent5 2 3 4" xfId="4829" xr:uid="{9CC638A9-EAC5-48C2-9EFD-CC07DECB3989}"/>
    <cellStyle name="20% - Accent5 2 4" xfId="410" xr:uid="{00000000-0005-0000-0000-0000F5000000}"/>
    <cellStyle name="20% - Accent5 2 4 2" xfId="411" xr:uid="{00000000-0005-0000-0000-0000F6000000}"/>
    <cellStyle name="20% - Accent5 2 4 2 2" xfId="412" xr:uid="{00000000-0005-0000-0000-0000F7000000}"/>
    <cellStyle name="20% - Accent5 2 4 2 2 2" xfId="4835" xr:uid="{3D39F590-7394-4622-BEAE-2384D47A39AB}"/>
    <cellStyle name="20% - Accent5 2 4 2 3" xfId="4834" xr:uid="{C1D2C14A-863C-4F7D-BFE9-174325A94551}"/>
    <cellStyle name="20% - Accent5 2 4 3" xfId="413" xr:uid="{00000000-0005-0000-0000-0000F8000000}"/>
    <cellStyle name="20% - Accent5 2 4 3 2" xfId="4836" xr:uid="{34EBA966-7296-439D-8D64-104BEA7B60AE}"/>
    <cellStyle name="20% - Accent5 2 4 4" xfId="4833" xr:uid="{72122057-3741-4067-BA8B-3FE455345282}"/>
    <cellStyle name="20% - Accent5 2 5" xfId="414" xr:uid="{00000000-0005-0000-0000-0000F9000000}"/>
    <cellStyle name="20% - Accent5 2 5 2" xfId="415" xr:uid="{00000000-0005-0000-0000-0000FA000000}"/>
    <cellStyle name="20% - Accent5 2 5 2 2" xfId="416" xr:uid="{00000000-0005-0000-0000-0000FB000000}"/>
    <cellStyle name="20% - Accent5 2 5 2 2 2" xfId="4839" xr:uid="{FAE6DC67-52BE-4D9D-9652-BF84D1247653}"/>
    <cellStyle name="20% - Accent5 2 5 2 3" xfId="4838" xr:uid="{A765E055-A570-4685-AAD6-1AB093C8F00A}"/>
    <cellStyle name="20% - Accent5 2 5 3" xfId="417" xr:uid="{00000000-0005-0000-0000-0000FC000000}"/>
    <cellStyle name="20% - Accent5 2 5 3 2" xfId="4840" xr:uid="{40BE2A21-4C22-4824-B01E-AC4D98FBA79E}"/>
    <cellStyle name="20% - Accent5 2 5 4" xfId="4837" xr:uid="{7C22D803-AD4C-4139-9C03-2AB36CDB71C6}"/>
    <cellStyle name="20% - Accent5 2 6" xfId="418" xr:uid="{00000000-0005-0000-0000-0000FD000000}"/>
    <cellStyle name="20% - Accent5 2 6 2" xfId="419" xr:uid="{00000000-0005-0000-0000-0000FE000000}"/>
    <cellStyle name="20% - Accent5 2 6 2 2" xfId="420" xr:uid="{00000000-0005-0000-0000-0000FF000000}"/>
    <cellStyle name="20% - Accent5 2 6 2 2 2" xfId="4843" xr:uid="{0CB7715C-E2DE-495A-A218-F898A9CDE836}"/>
    <cellStyle name="20% - Accent5 2 6 2 3" xfId="4842" xr:uid="{055ED14C-D6DF-4BDF-A42E-CCDF1D7D1959}"/>
    <cellStyle name="20% - Accent5 2 6 3" xfId="421" xr:uid="{00000000-0005-0000-0000-000000010000}"/>
    <cellStyle name="20% - Accent5 2 6 3 2" xfId="4844" xr:uid="{25A872EA-1475-4026-9CE0-D633C95BDFDE}"/>
    <cellStyle name="20% - Accent5 2 6 4" xfId="4841" xr:uid="{007B8EF0-E7F9-4CB1-BC84-019ED6F34682}"/>
    <cellStyle name="20% - Accent5 2 7" xfId="422" xr:uid="{00000000-0005-0000-0000-000001010000}"/>
    <cellStyle name="20% - Accent5 2 7 2" xfId="423" xr:uid="{00000000-0005-0000-0000-000002010000}"/>
    <cellStyle name="20% - Accent5 2 7 2 2" xfId="424" xr:uid="{00000000-0005-0000-0000-000003010000}"/>
    <cellStyle name="20% - Accent5 2 7 2 2 2" xfId="4847" xr:uid="{5AEC1302-2F04-42AA-BC71-8A4510843F1B}"/>
    <cellStyle name="20% - Accent5 2 7 2 3" xfId="4846" xr:uid="{79EE2772-91D3-4348-8D21-AD3B8346CB99}"/>
    <cellStyle name="20% - Accent5 2 7 3" xfId="425" xr:uid="{00000000-0005-0000-0000-000004010000}"/>
    <cellStyle name="20% - Accent5 2 7 3 2" xfId="4848" xr:uid="{DD69A7D4-ADF2-4117-B3B8-E012CA6F5DF1}"/>
    <cellStyle name="20% - Accent5 2 7 4" xfId="4845" xr:uid="{5C283D22-32F4-429B-AE16-5E276B30E447}"/>
    <cellStyle name="20% - Accent5 2 8" xfId="426" xr:uid="{00000000-0005-0000-0000-000005010000}"/>
    <cellStyle name="20% - Accent5 2 8 2" xfId="427" xr:uid="{00000000-0005-0000-0000-000006010000}"/>
    <cellStyle name="20% - Accent5 2 8 2 2" xfId="4850" xr:uid="{C02C30B9-B2F7-4DBB-BE0B-C2A4D127A9E1}"/>
    <cellStyle name="20% - Accent5 2 8 3" xfId="4849" xr:uid="{FED854E0-4B69-491F-99CC-405EF70A0402}"/>
    <cellStyle name="20% - Accent5 2 9" xfId="428" xr:uid="{00000000-0005-0000-0000-000007010000}"/>
    <cellStyle name="20% - Accent5 2 9 2" xfId="4851" xr:uid="{1ED61BD3-4736-4581-BBE7-881F643EAD3C}"/>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2 2 2" xfId="4854" xr:uid="{7C21D940-274F-4529-9A5E-6A86048C76E5}"/>
    <cellStyle name="20% - Accent6 2 2 2 3" xfId="4853" xr:uid="{504F8867-FBA6-4F6A-B19C-AD4833E45A99}"/>
    <cellStyle name="20% - Accent6 2 2 3" xfId="448" xr:uid="{00000000-0005-0000-0000-00001C010000}"/>
    <cellStyle name="20% - Accent6 2 2 3 2" xfId="4855" xr:uid="{B3A9810F-5403-483E-A1E1-99BFDD1CFD2D}"/>
    <cellStyle name="20% - Accent6 2 2 4" xfId="4852" xr:uid="{EABFCBBD-51D6-4EF1-A09E-7E318395A1D7}"/>
    <cellStyle name="20% - Accent6 2 3" xfId="449" xr:uid="{00000000-0005-0000-0000-00001D010000}"/>
    <cellStyle name="20% - Accent6 2 3 2" xfId="450" xr:uid="{00000000-0005-0000-0000-00001E010000}"/>
    <cellStyle name="20% - Accent6 2 3 2 2" xfId="451" xr:uid="{00000000-0005-0000-0000-00001F010000}"/>
    <cellStyle name="20% - Accent6 2 3 2 2 2" xfId="4858" xr:uid="{34326B33-4B05-496F-A278-6DF9668D8E10}"/>
    <cellStyle name="20% - Accent6 2 3 2 3" xfId="4857" xr:uid="{9C25EAC8-B08F-48F6-90F3-F19AC6B1903E}"/>
    <cellStyle name="20% - Accent6 2 3 3" xfId="452" xr:uid="{00000000-0005-0000-0000-000020010000}"/>
    <cellStyle name="20% - Accent6 2 3 3 2" xfId="4859" xr:uid="{9095C9AB-0FCE-4DC2-B438-429E6361BE65}"/>
    <cellStyle name="20% - Accent6 2 3 4" xfId="4856" xr:uid="{E4836A10-46C2-4059-9C9E-EB5E1A71848D}"/>
    <cellStyle name="20% - Accent6 2 4" xfId="453" xr:uid="{00000000-0005-0000-0000-000021010000}"/>
    <cellStyle name="20% - Accent6 2 4 2" xfId="454" xr:uid="{00000000-0005-0000-0000-000022010000}"/>
    <cellStyle name="20% - Accent6 2 4 2 2" xfId="455" xr:uid="{00000000-0005-0000-0000-000023010000}"/>
    <cellStyle name="20% - Accent6 2 4 2 2 2" xfId="4862" xr:uid="{BC65C824-A916-485F-8FD8-3D56F070B7A0}"/>
    <cellStyle name="20% - Accent6 2 4 2 3" xfId="4861" xr:uid="{71B3B062-1B84-403E-95C5-D16790A6F7AA}"/>
    <cellStyle name="20% - Accent6 2 4 3" xfId="456" xr:uid="{00000000-0005-0000-0000-000024010000}"/>
    <cellStyle name="20% - Accent6 2 4 3 2" xfId="4863" xr:uid="{D10AEB77-F7C8-4933-BB6A-41CE492ABB10}"/>
    <cellStyle name="20% - Accent6 2 4 4" xfId="4860" xr:uid="{4F664BF3-9A28-4C64-A9B7-8EFB7E6C8A49}"/>
    <cellStyle name="20% - Accent6 2 5" xfId="457" xr:uid="{00000000-0005-0000-0000-000025010000}"/>
    <cellStyle name="20% - Accent6 2 5 2" xfId="458" xr:uid="{00000000-0005-0000-0000-000026010000}"/>
    <cellStyle name="20% - Accent6 2 5 2 2" xfId="459" xr:uid="{00000000-0005-0000-0000-000027010000}"/>
    <cellStyle name="20% - Accent6 2 5 2 2 2" xfId="4866" xr:uid="{C12A1E82-6B56-4399-A8FF-4170E499E24A}"/>
    <cellStyle name="20% - Accent6 2 5 2 3" xfId="4865" xr:uid="{999F3169-13C9-4670-9825-F64F02CED403}"/>
    <cellStyle name="20% - Accent6 2 5 3" xfId="460" xr:uid="{00000000-0005-0000-0000-000028010000}"/>
    <cellStyle name="20% - Accent6 2 5 3 2" xfId="4867" xr:uid="{7DEC0AA3-7420-4C8A-AA9C-9F50C451BA2C}"/>
    <cellStyle name="20% - Accent6 2 5 4" xfId="4864" xr:uid="{3EB227F2-C6A5-455A-BEC5-936F212FCB26}"/>
    <cellStyle name="20% - Accent6 2 6" xfId="461" xr:uid="{00000000-0005-0000-0000-000029010000}"/>
    <cellStyle name="20% - Accent6 2 6 2" xfId="462" xr:uid="{00000000-0005-0000-0000-00002A010000}"/>
    <cellStyle name="20% - Accent6 2 6 2 2" xfId="463" xr:uid="{00000000-0005-0000-0000-00002B010000}"/>
    <cellStyle name="20% - Accent6 2 6 2 2 2" xfId="4870" xr:uid="{C9B3FC03-18AB-4480-9F24-AA8414D45534}"/>
    <cellStyle name="20% - Accent6 2 6 2 3" xfId="4869" xr:uid="{79A036BC-CA58-4AFB-8AA5-C570C2EF694C}"/>
    <cellStyle name="20% - Accent6 2 6 3" xfId="464" xr:uid="{00000000-0005-0000-0000-00002C010000}"/>
    <cellStyle name="20% - Accent6 2 6 3 2" xfId="4871" xr:uid="{330ECF10-3F24-421D-9723-5ACDF9AF61DA}"/>
    <cellStyle name="20% - Accent6 2 6 4" xfId="4868" xr:uid="{3919324F-F7C5-46B6-AD70-A7A06443EB0F}"/>
    <cellStyle name="20% - Accent6 2 7" xfId="465" xr:uid="{00000000-0005-0000-0000-00002D010000}"/>
    <cellStyle name="20% - Accent6 2 7 2" xfId="466" xr:uid="{00000000-0005-0000-0000-00002E010000}"/>
    <cellStyle name="20% - Accent6 2 7 2 2" xfId="467" xr:uid="{00000000-0005-0000-0000-00002F010000}"/>
    <cellStyle name="20% - Accent6 2 7 2 2 2" xfId="4874" xr:uid="{1D0C2D87-4B55-4893-8DB0-FF4CA2E75A11}"/>
    <cellStyle name="20% - Accent6 2 7 2 3" xfId="4873" xr:uid="{D44FA054-B762-43E5-B02D-326E78570A3E}"/>
    <cellStyle name="20% - Accent6 2 7 3" xfId="468" xr:uid="{00000000-0005-0000-0000-000030010000}"/>
    <cellStyle name="20% - Accent6 2 7 3 2" xfId="4875" xr:uid="{BAB0403C-35F6-40F2-BB47-F0D9694C0F50}"/>
    <cellStyle name="20% - Accent6 2 7 4" xfId="4872" xr:uid="{527D2635-EFD0-4E14-83FB-B9B91E0045EC}"/>
    <cellStyle name="20% - Accent6 2 8" xfId="469" xr:uid="{00000000-0005-0000-0000-000031010000}"/>
    <cellStyle name="20% - Accent6 2 8 2" xfId="470" xr:uid="{00000000-0005-0000-0000-000032010000}"/>
    <cellStyle name="20% - Accent6 2 8 2 2" xfId="4877" xr:uid="{E5C1B5ED-918E-4B59-9B79-BFDC27BCC9FC}"/>
    <cellStyle name="20% - Accent6 2 8 3" xfId="4876" xr:uid="{FAF492D9-ADC9-41F6-AF50-2563F54380A9}"/>
    <cellStyle name="20% - Accent6 2 9" xfId="471" xr:uid="{00000000-0005-0000-0000-000033010000}"/>
    <cellStyle name="20% - Accent6 2 9 2" xfId="4878" xr:uid="{0F7953AC-ACD0-4ECE-8B3C-ABBF2F66517B}"/>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2 2 2" xfId="4881" xr:uid="{44C9AE57-46C4-4291-8E6C-637E1B6BCECC}"/>
    <cellStyle name="40% - Accent1 2 2 2 3" xfId="4880" xr:uid="{430CBB09-153A-4B77-8B33-1D0B713D1AC4}"/>
    <cellStyle name="40% - Accent1 2 2 3" xfId="491" xr:uid="{00000000-0005-0000-0000-000048010000}"/>
    <cellStyle name="40% - Accent1 2 2 3 2" xfId="4882" xr:uid="{4900FF63-E2E1-4C7E-9C46-A1FB18CC2110}"/>
    <cellStyle name="40% - Accent1 2 2 4" xfId="4879" xr:uid="{1575ACA1-3B24-45FB-B76E-716C21708D83}"/>
    <cellStyle name="40% - Accent1 2 3" xfId="492" xr:uid="{00000000-0005-0000-0000-000049010000}"/>
    <cellStyle name="40% - Accent1 2 3 2" xfId="493" xr:uid="{00000000-0005-0000-0000-00004A010000}"/>
    <cellStyle name="40% - Accent1 2 3 2 2" xfId="494" xr:uid="{00000000-0005-0000-0000-00004B010000}"/>
    <cellStyle name="40% - Accent1 2 3 2 2 2" xfId="4885" xr:uid="{78A02FE3-923E-4B4C-B757-9FB06CF7517B}"/>
    <cellStyle name="40% - Accent1 2 3 2 3" xfId="4884" xr:uid="{A18229E8-D123-42E2-A38A-4A47C7FC29B1}"/>
    <cellStyle name="40% - Accent1 2 3 3" xfId="495" xr:uid="{00000000-0005-0000-0000-00004C010000}"/>
    <cellStyle name="40% - Accent1 2 3 3 2" xfId="4886" xr:uid="{2B2693A5-1938-43A7-87AD-5BC8DCE50EB9}"/>
    <cellStyle name="40% - Accent1 2 3 4" xfId="4883" xr:uid="{FC559889-9AEA-4CD5-8A97-A74722162AE6}"/>
    <cellStyle name="40% - Accent1 2 4" xfId="496" xr:uid="{00000000-0005-0000-0000-00004D010000}"/>
    <cellStyle name="40% - Accent1 2 4 2" xfId="497" xr:uid="{00000000-0005-0000-0000-00004E010000}"/>
    <cellStyle name="40% - Accent1 2 4 2 2" xfId="498" xr:uid="{00000000-0005-0000-0000-00004F010000}"/>
    <cellStyle name="40% - Accent1 2 4 2 2 2" xfId="4889" xr:uid="{C79FE2C2-40E5-4566-8562-9FC04D375090}"/>
    <cellStyle name="40% - Accent1 2 4 2 3" xfId="4888" xr:uid="{F5946F97-1B29-451F-B561-080ECE75E994}"/>
    <cellStyle name="40% - Accent1 2 4 3" xfId="499" xr:uid="{00000000-0005-0000-0000-000050010000}"/>
    <cellStyle name="40% - Accent1 2 4 3 2" xfId="4890" xr:uid="{872EDAFB-4B45-4495-872C-129998ED79A1}"/>
    <cellStyle name="40% - Accent1 2 4 4" xfId="4887" xr:uid="{56791185-F0EC-4B4A-AC47-E45BA59596EA}"/>
    <cellStyle name="40% - Accent1 2 5" xfId="500" xr:uid="{00000000-0005-0000-0000-000051010000}"/>
    <cellStyle name="40% - Accent1 2 5 2" xfId="501" xr:uid="{00000000-0005-0000-0000-000052010000}"/>
    <cellStyle name="40% - Accent1 2 5 2 2" xfId="502" xr:uid="{00000000-0005-0000-0000-000053010000}"/>
    <cellStyle name="40% - Accent1 2 5 2 2 2" xfId="4893" xr:uid="{0A18DE8A-2644-4CE3-B0F3-CFA072C811D1}"/>
    <cellStyle name="40% - Accent1 2 5 2 3" xfId="4892" xr:uid="{2CFD84A3-F785-4EA3-B6CE-497EE3DD04FD}"/>
    <cellStyle name="40% - Accent1 2 5 3" xfId="503" xr:uid="{00000000-0005-0000-0000-000054010000}"/>
    <cellStyle name="40% - Accent1 2 5 3 2" xfId="4894" xr:uid="{1317486A-0572-47E7-9FFA-C9535BA77503}"/>
    <cellStyle name="40% - Accent1 2 5 4" xfId="4891" xr:uid="{AB1EDB7A-463C-46BF-A060-00BFA5DA2DD0}"/>
    <cellStyle name="40% - Accent1 2 6" xfId="504" xr:uid="{00000000-0005-0000-0000-000055010000}"/>
    <cellStyle name="40% - Accent1 2 6 2" xfId="505" xr:uid="{00000000-0005-0000-0000-000056010000}"/>
    <cellStyle name="40% - Accent1 2 6 2 2" xfId="506" xr:uid="{00000000-0005-0000-0000-000057010000}"/>
    <cellStyle name="40% - Accent1 2 6 2 2 2" xfId="4897" xr:uid="{F72280C7-FA6E-46D9-9039-231EAFEFF6BE}"/>
    <cellStyle name="40% - Accent1 2 6 2 3" xfId="4896" xr:uid="{B3E39A1F-3144-4248-B71F-2A9A5104E6C7}"/>
    <cellStyle name="40% - Accent1 2 6 3" xfId="507" xr:uid="{00000000-0005-0000-0000-000058010000}"/>
    <cellStyle name="40% - Accent1 2 6 3 2" xfId="4898" xr:uid="{729945B8-7110-4DCD-AA88-B80F226A5F1F}"/>
    <cellStyle name="40% - Accent1 2 6 4" xfId="4895" xr:uid="{91D3D7B6-710A-4478-9A3D-545CE2BAFD61}"/>
    <cellStyle name="40% - Accent1 2 7" xfId="508" xr:uid="{00000000-0005-0000-0000-000059010000}"/>
    <cellStyle name="40% - Accent1 2 7 2" xfId="509" xr:uid="{00000000-0005-0000-0000-00005A010000}"/>
    <cellStyle name="40% - Accent1 2 7 2 2" xfId="510" xr:uid="{00000000-0005-0000-0000-00005B010000}"/>
    <cellStyle name="40% - Accent1 2 7 2 2 2" xfId="4901" xr:uid="{7FB3773F-DD0F-48F3-A39D-1C7FFECFAD84}"/>
    <cellStyle name="40% - Accent1 2 7 2 3" xfId="4900" xr:uid="{64D449FB-F8D0-4A4A-A55E-84866BD4545E}"/>
    <cellStyle name="40% - Accent1 2 7 3" xfId="511" xr:uid="{00000000-0005-0000-0000-00005C010000}"/>
    <cellStyle name="40% - Accent1 2 7 3 2" xfId="4902" xr:uid="{79BE1518-A6AE-426B-A849-2104B11617CE}"/>
    <cellStyle name="40% - Accent1 2 7 4" xfId="4899" xr:uid="{0D215A81-E56F-478A-A29A-04913AFADCDD}"/>
    <cellStyle name="40% - Accent1 2 8" xfId="512" xr:uid="{00000000-0005-0000-0000-00005D010000}"/>
    <cellStyle name="40% - Accent1 2 8 2" xfId="513" xr:uid="{00000000-0005-0000-0000-00005E010000}"/>
    <cellStyle name="40% - Accent1 2 8 2 2" xfId="4904" xr:uid="{37FF23F2-DF9E-4ED0-A6E2-51541F6DE8A8}"/>
    <cellStyle name="40% - Accent1 2 8 3" xfId="4903" xr:uid="{9E1AD6CB-BC1C-4124-9330-4416631F96B7}"/>
    <cellStyle name="40% - Accent1 2 9" xfId="514" xr:uid="{00000000-0005-0000-0000-00005F010000}"/>
    <cellStyle name="40% - Accent1 2 9 2" xfId="4905" xr:uid="{2B13DF74-B509-4DF0-85F2-1CEA00D2BF73}"/>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2 2 2" xfId="4908" xr:uid="{BA2B12FE-EFBD-4B16-A8DA-5FFF534666B3}"/>
    <cellStyle name="40% - Accent2 2 2 2 3" xfId="4907" xr:uid="{D90CDCB3-21FE-4233-A3E7-BFD5476C7E25}"/>
    <cellStyle name="40% - Accent2 2 2 3" xfId="534" xr:uid="{00000000-0005-0000-0000-000074010000}"/>
    <cellStyle name="40% - Accent2 2 2 3 2" xfId="4909" xr:uid="{05B3FD5F-1FD9-4DF9-9E0D-5063A53ED2F3}"/>
    <cellStyle name="40% - Accent2 2 2 4" xfId="4906" xr:uid="{94536BC7-F24F-4EA9-AF42-34F03C0E4E1A}"/>
    <cellStyle name="40% - Accent2 2 3" xfId="535" xr:uid="{00000000-0005-0000-0000-000075010000}"/>
    <cellStyle name="40% - Accent2 2 3 2" xfId="536" xr:uid="{00000000-0005-0000-0000-000076010000}"/>
    <cellStyle name="40% - Accent2 2 3 2 2" xfId="537" xr:uid="{00000000-0005-0000-0000-000077010000}"/>
    <cellStyle name="40% - Accent2 2 3 2 2 2" xfId="4912" xr:uid="{FE69ED8F-0929-4BD2-9BD6-DB630D0238BB}"/>
    <cellStyle name="40% - Accent2 2 3 2 3" xfId="4911" xr:uid="{4B21B22F-6441-4CD6-9D0A-9EB258F492AD}"/>
    <cellStyle name="40% - Accent2 2 3 3" xfId="538" xr:uid="{00000000-0005-0000-0000-000078010000}"/>
    <cellStyle name="40% - Accent2 2 3 3 2" xfId="4913" xr:uid="{C5104D16-E772-4B7E-AA95-11F70E9E9EB0}"/>
    <cellStyle name="40% - Accent2 2 3 4" xfId="4910" xr:uid="{44083052-8943-4D68-B261-9053CAE90A0A}"/>
    <cellStyle name="40% - Accent2 2 4" xfId="539" xr:uid="{00000000-0005-0000-0000-000079010000}"/>
    <cellStyle name="40% - Accent2 2 4 2" xfId="540" xr:uid="{00000000-0005-0000-0000-00007A010000}"/>
    <cellStyle name="40% - Accent2 2 4 2 2" xfId="541" xr:uid="{00000000-0005-0000-0000-00007B010000}"/>
    <cellStyle name="40% - Accent2 2 4 2 2 2" xfId="4916" xr:uid="{FEE63C3C-827A-4C8D-93CE-D31FCFC25F83}"/>
    <cellStyle name="40% - Accent2 2 4 2 3" xfId="4915" xr:uid="{84EA3068-A667-446F-BAB0-72ADACF014D8}"/>
    <cellStyle name="40% - Accent2 2 4 3" xfId="542" xr:uid="{00000000-0005-0000-0000-00007C010000}"/>
    <cellStyle name="40% - Accent2 2 4 3 2" xfId="4917" xr:uid="{CECDA4B5-630C-4B81-BEBF-193E3714E9C8}"/>
    <cellStyle name="40% - Accent2 2 4 4" xfId="4914" xr:uid="{779E0C9B-B0DE-4642-B2C6-8145A85D2EB3}"/>
    <cellStyle name="40% - Accent2 2 5" xfId="543" xr:uid="{00000000-0005-0000-0000-00007D010000}"/>
    <cellStyle name="40% - Accent2 2 5 2" xfId="544" xr:uid="{00000000-0005-0000-0000-00007E010000}"/>
    <cellStyle name="40% - Accent2 2 5 2 2" xfId="545" xr:uid="{00000000-0005-0000-0000-00007F010000}"/>
    <cellStyle name="40% - Accent2 2 5 2 2 2" xfId="4920" xr:uid="{E3D01F31-C99F-4ACE-89C4-742A4A6F41B0}"/>
    <cellStyle name="40% - Accent2 2 5 2 3" xfId="4919" xr:uid="{4FDB085B-914E-4CDF-94B8-04EA46271D0A}"/>
    <cellStyle name="40% - Accent2 2 5 3" xfId="546" xr:uid="{00000000-0005-0000-0000-000080010000}"/>
    <cellStyle name="40% - Accent2 2 5 3 2" xfId="4921" xr:uid="{212CEC00-8A2A-403B-9060-A012AA3CE492}"/>
    <cellStyle name="40% - Accent2 2 5 4" xfId="4918" xr:uid="{7735A578-94A8-4E03-A61F-39D2BFB09F22}"/>
    <cellStyle name="40% - Accent2 2 6" xfId="547" xr:uid="{00000000-0005-0000-0000-000081010000}"/>
    <cellStyle name="40% - Accent2 2 6 2" xfId="548" xr:uid="{00000000-0005-0000-0000-000082010000}"/>
    <cellStyle name="40% - Accent2 2 6 2 2" xfId="549" xr:uid="{00000000-0005-0000-0000-000083010000}"/>
    <cellStyle name="40% - Accent2 2 6 2 2 2" xfId="4924" xr:uid="{7766BD27-F796-4B33-8326-04A83C28CD84}"/>
    <cellStyle name="40% - Accent2 2 6 2 3" xfId="4923" xr:uid="{6E6B8A9A-93A4-4508-88B1-DF4F069290F8}"/>
    <cellStyle name="40% - Accent2 2 6 3" xfId="550" xr:uid="{00000000-0005-0000-0000-000084010000}"/>
    <cellStyle name="40% - Accent2 2 6 3 2" xfId="4925" xr:uid="{F3D88EC6-412C-458E-BE99-815B0AFB210A}"/>
    <cellStyle name="40% - Accent2 2 6 4" xfId="4922" xr:uid="{B0EBFBA4-9B85-4678-8226-7441A3364C19}"/>
    <cellStyle name="40% - Accent2 2 7" xfId="551" xr:uid="{00000000-0005-0000-0000-000085010000}"/>
    <cellStyle name="40% - Accent2 2 7 2" xfId="552" xr:uid="{00000000-0005-0000-0000-000086010000}"/>
    <cellStyle name="40% - Accent2 2 7 2 2" xfId="553" xr:uid="{00000000-0005-0000-0000-000087010000}"/>
    <cellStyle name="40% - Accent2 2 7 2 2 2" xfId="4928" xr:uid="{02D9CB0B-061E-4CF6-8E8D-013688E820C3}"/>
    <cellStyle name="40% - Accent2 2 7 2 3" xfId="4927" xr:uid="{CDFAD9CC-6C87-432E-845C-D278D22ACFA8}"/>
    <cellStyle name="40% - Accent2 2 7 3" xfId="554" xr:uid="{00000000-0005-0000-0000-000088010000}"/>
    <cellStyle name="40% - Accent2 2 7 3 2" xfId="4929" xr:uid="{323073E9-4DBB-45FC-BEAA-87ED8ED470AF}"/>
    <cellStyle name="40% - Accent2 2 7 4" xfId="4926" xr:uid="{77A8F297-CE78-477E-8045-A1517C56ECCE}"/>
    <cellStyle name="40% - Accent2 2 8" xfId="555" xr:uid="{00000000-0005-0000-0000-000089010000}"/>
    <cellStyle name="40% - Accent2 2 8 2" xfId="556" xr:uid="{00000000-0005-0000-0000-00008A010000}"/>
    <cellStyle name="40% - Accent2 2 8 2 2" xfId="4931" xr:uid="{72830230-09A4-42A8-A981-986F5CD77D22}"/>
    <cellStyle name="40% - Accent2 2 8 3" xfId="4930" xr:uid="{49A8A086-A11C-4589-A1E3-67A303AB5ADD}"/>
    <cellStyle name="40% - Accent2 2 9" xfId="557" xr:uid="{00000000-0005-0000-0000-00008B010000}"/>
    <cellStyle name="40% - Accent2 2 9 2" xfId="4932" xr:uid="{D373BBC3-D2AE-41C8-A40C-B76A055E42E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2 2 2" xfId="4935" xr:uid="{82CAB890-AF46-40BC-9D56-EBB493D42D61}"/>
    <cellStyle name="40% - Accent3 2 2 2 3" xfId="4934" xr:uid="{26248E19-EB97-4E81-8B6B-1ACFF34C13DB}"/>
    <cellStyle name="40% - Accent3 2 2 3" xfId="577" xr:uid="{00000000-0005-0000-0000-0000A0010000}"/>
    <cellStyle name="40% - Accent3 2 2 3 2" xfId="4936" xr:uid="{09501173-0533-4A8E-8F59-EC0D573C0513}"/>
    <cellStyle name="40% - Accent3 2 2 4" xfId="4933" xr:uid="{445DD0D7-590D-41C3-A0EF-B849271971E8}"/>
    <cellStyle name="40% - Accent3 2 3" xfId="578" xr:uid="{00000000-0005-0000-0000-0000A1010000}"/>
    <cellStyle name="40% - Accent3 2 3 2" xfId="579" xr:uid="{00000000-0005-0000-0000-0000A2010000}"/>
    <cellStyle name="40% - Accent3 2 3 2 2" xfId="580" xr:uid="{00000000-0005-0000-0000-0000A3010000}"/>
    <cellStyle name="40% - Accent3 2 3 2 2 2" xfId="4939" xr:uid="{CAEB1750-1B4E-4A9D-9DDD-A8D3A293ADE1}"/>
    <cellStyle name="40% - Accent3 2 3 2 3" xfId="4938" xr:uid="{BC8D9D1D-C10C-47C3-A13B-FE5D5B667AB4}"/>
    <cellStyle name="40% - Accent3 2 3 3" xfId="581" xr:uid="{00000000-0005-0000-0000-0000A4010000}"/>
    <cellStyle name="40% - Accent3 2 3 3 2" xfId="4940" xr:uid="{486732DB-F0C4-4A86-9E77-E3B3A83967A8}"/>
    <cellStyle name="40% - Accent3 2 3 4" xfId="4937" xr:uid="{97760049-3151-4DB0-9A1C-984D51A17D8E}"/>
    <cellStyle name="40% - Accent3 2 4" xfId="582" xr:uid="{00000000-0005-0000-0000-0000A5010000}"/>
    <cellStyle name="40% - Accent3 2 4 2" xfId="583" xr:uid="{00000000-0005-0000-0000-0000A6010000}"/>
    <cellStyle name="40% - Accent3 2 4 2 2" xfId="584" xr:uid="{00000000-0005-0000-0000-0000A7010000}"/>
    <cellStyle name="40% - Accent3 2 4 2 2 2" xfId="4943" xr:uid="{B70150D9-C506-4D2E-BB26-0D41D3E435E5}"/>
    <cellStyle name="40% - Accent3 2 4 2 3" xfId="4942" xr:uid="{53AE0FBD-67AE-499B-8229-0B59DCD1F999}"/>
    <cellStyle name="40% - Accent3 2 4 3" xfId="585" xr:uid="{00000000-0005-0000-0000-0000A8010000}"/>
    <cellStyle name="40% - Accent3 2 4 3 2" xfId="4944" xr:uid="{DACC489D-3140-4F58-B7AE-DDF4ECDAFB28}"/>
    <cellStyle name="40% - Accent3 2 4 4" xfId="4941" xr:uid="{A4CE602F-5775-4CA8-817E-D5C5CACA4982}"/>
    <cellStyle name="40% - Accent3 2 5" xfId="586" xr:uid="{00000000-0005-0000-0000-0000A9010000}"/>
    <cellStyle name="40% - Accent3 2 5 2" xfId="587" xr:uid="{00000000-0005-0000-0000-0000AA010000}"/>
    <cellStyle name="40% - Accent3 2 5 2 2" xfId="588" xr:uid="{00000000-0005-0000-0000-0000AB010000}"/>
    <cellStyle name="40% - Accent3 2 5 2 2 2" xfId="4947" xr:uid="{F70738EF-14AA-493D-9B27-3A9C5F599470}"/>
    <cellStyle name="40% - Accent3 2 5 2 3" xfId="4946" xr:uid="{BC3C6BAC-783F-4526-BB2E-BFD3A2FF8167}"/>
    <cellStyle name="40% - Accent3 2 5 3" xfId="589" xr:uid="{00000000-0005-0000-0000-0000AC010000}"/>
    <cellStyle name="40% - Accent3 2 5 3 2" xfId="4948" xr:uid="{DDD1B224-7A85-4519-97CC-D79996B93BC4}"/>
    <cellStyle name="40% - Accent3 2 5 4" xfId="4945" xr:uid="{8A009157-4F86-4285-BC14-A54E5E985F30}"/>
    <cellStyle name="40% - Accent3 2 6" xfId="590" xr:uid="{00000000-0005-0000-0000-0000AD010000}"/>
    <cellStyle name="40% - Accent3 2 6 2" xfId="591" xr:uid="{00000000-0005-0000-0000-0000AE010000}"/>
    <cellStyle name="40% - Accent3 2 6 2 2" xfId="592" xr:uid="{00000000-0005-0000-0000-0000AF010000}"/>
    <cellStyle name="40% - Accent3 2 6 2 2 2" xfId="4951" xr:uid="{12A29B9F-CB79-454D-AF6B-B8673AB82DB8}"/>
    <cellStyle name="40% - Accent3 2 6 2 3" xfId="4950" xr:uid="{0E2065AD-8C92-41A4-93C9-03F6776CEF51}"/>
    <cellStyle name="40% - Accent3 2 6 3" xfId="593" xr:uid="{00000000-0005-0000-0000-0000B0010000}"/>
    <cellStyle name="40% - Accent3 2 6 3 2" xfId="4952" xr:uid="{B7108B0D-FCEE-4666-A005-82D080B85DB8}"/>
    <cellStyle name="40% - Accent3 2 6 4" xfId="4949" xr:uid="{B8A791C6-FB78-4502-BBFA-4AA2FB379E49}"/>
    <cellStyle name="40% - Accent3 2 7" xfId="594" xr:uid="{00000000-0005-0000-0000-0000B1010000}"/>
    <cellStyle name="40% - Accent3 2 7 2" xfId="595" xr:uid="{00000000-0005-0000-0000-0000B2010000}"/>
    <cellStyle name="40% - Accent3 2 7 2 2" xfId="596" xr:uid="{00000000-0005-0000-0000-0000B3010000}"/>
    <cellStyle name="40% - Accent3 2 7 2 2 2" xfId="4955" xr:uid="{949E8052-CE35-49DA-9D32-3CD2B53CFC81}"/>
    <cellStyle name="40% - Accent3 2 7 2 3" xfId="4954" xr:uid="{F0DABF4A-0C97-4172-AE10-31B2FFC2EE39}"/>
    <cellStyle name="40% - Accent3 2 7 3" xfId="597" xr:uid="{00000000-0005-0000-0000-0000B4010000}"/>
    <cellStyle name="40% - Accent3 2 7 3 2" xfId="4956" xr:uid="{DDE8C956-3EC7-43AD-B7B8-79977F60A33B}"/>
    <cellStyle name="40% - Accent3 2 7 4" xfId="4953" xr:uid="{F2A71EB4-F22F-4FF9-9CC7-7E657009DA97}"/>
    <cellStyle name="40% - Accent3 2 8" xfId="598" xr:uid="{00000000-0005-0000-0000-0000B5010000}"/>
    <cellStyle name="40% - Accent3 2 8 2" xfId="599" xr:uid="{00000000-0005-0000-0000-0000B6010000}"/>
    <cellStyle name="40% - Accent3 2 8 2 2" xfId="4958" xr:uid="{EF0492F1-4972-414A-B8AF-EF6E573F1366}"/>
    <cellStyle name="40% - Accent3 2 8 3" xfId="4957" xr:uid="{2E05F803-5543-4A76-855A-EB61089CC7AC}"/>
    <cellStyle name="40% - Accent3 2 9" xfId="600" xr:uid="{00000000-0005-0000-0000-0000B7010000}"/>
    <cellStyle name="40% - Accent3 2 9 2" xfId="4959" xr:uid="{7DE7A3AC-B338-4DB7-A5AC-8098FA26E6AD}"/>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2 2 2" xfId="4962" xr:uid="{7016B6BF-C44B-4702-AA73-39552757BDA0}"/>
    <cellStyle name="40% - Accent4 2 2 2 3" xfId="4961" xr:uid="{8A70D503-003B-434D-87AA-699406FD9039}"/>
    <cellStyle name="40% - Accent4 2 2 3" xfId="620" xr:uid="{00000000-0005-0000-0000-0000CC010000}"/>
    <cellStyle name="40% - Accent4 2 2 3 2" xfId="4963" xr:uid="{608C74CC-A60A-49FF-B9A7-7633502DB40D}"/>
    <cellStyle name="40% - Accent4 2 2 4" xfId="4960" xr:uid="{E6BEDF59-0E1D-4A9B-804A-7042112C1DA9}"/>
    <cellStyle name="40% - Accent4 2 3" xfId="621" xr:uid="{00000000-0005-0000-0000-0000CD010000}"/>
    <cellStyle name="40% - Accent4 2 3 2" xfId="622" xr:uid="{00000000-0005-0000-0000-0000CE010000}"/>
    <cellStyle name="40% - Accent4 2 3 2 2" xfId="623" xr:uid="{00000000-0005-0000-0000-0000CF010000}"/>
    <cellStyle name="40% - Accent4 2 3 2 2 2" xfId="4966" xr:uid="{AA20B05F-E392-40CE-8E23-D042AC3FE5C9}"/>
    <cellStyle name="40% - Accent4 2 3 2 3" xfId="4965" xr:uid="{7DB0EDD9-5AF0-4558-AC22-28C2FC0089BA}"/>
    <cellStyle name="40% - Accent4 2 3 3" xfId="624" xr:uid="{00000000-0005-0000-0000-0000D0010000}"/>
    <cellStyle name="40% - Accent4 2 3 3 2" xfId="4967" xr:uid="{6674E6D6-DD36-43FD-A3AD-6206EB95A003}"/>
    <cellStyle name="40% - Accent4 2 3 4" xfId="4964" xr:uid="{B144B894-0010-424E-83EC-FB90EC634198}"/>
    <cellStyle name="40% - Accent4 2 4" xfId="625" xr:uid="{00000000-0005-0000-0000-0000D1010000}"/>
    <cellStyle name="40% - Accent4 2 4 2" xfId="626" xr:uid="{00000000-0005-0000-0000-0000D2010000}"/>
    <cellStyle name="40% - Accent4 2 4 2 2" xfId="627" xr:uid="{00000000-0005-0000-0000-0000D3010000}"/>
    <cellStyle name="40% - Accent4 2 4 2 2 2" xfId="4970" xr:uid="{F0B75EBB-0DD1-4169-AB3D-E5489B801FB0}"/>
    <cellStyle name="40% - Accent4 2 4 2 3" xfId="4969" xr:uid="{5C207E9D-502F-44CC-B137-2A6415A17BD5}"/>
    <cellStyle name="40% - Accent4 2 4 3" xfId="628" xr:uid="{00000000-0005-0000-0000-0000D4010000}"/>
    <cellStyle name="40% - Accent4 2 4 3 2" xfId="4971" xr:uid="{5719E14E-2E66-41F9-AA3C-4E50685EB8B1}"/>
    <cellStyle name="40% - Accent4 2 4 4" xfId="4968" xr:uid="{6CB3393A-CC93-413D-86D7-44755DE3030D}"/>
    <cellStyle name="40% - Accent4 2 5" xfId="629" xr:uid="{00000000-0005-0000-0000-0000D5010000}"/>
    <cellStyle name="40% - Accent4 2 5 2" xfId="630" xr:uid="{00000000-0005-0000-0000-0000D6010000}"/>
    <cellStyle name="40% - Accent4 2 5 2 2" xfId="631" xr:uid="{00000000-0005-0000-0000-0000D7010000}"/>
    <cellStyle name="40% - Accent4 2 5 2 2 2" xfId="4974" xr:uid="{D0D70166-E57A-4CE0-98C1-C448F863D782}"/>
    <cellStyle name="40% - Accent4 2 5 2 3" xfId="4973" xr:uid="{050814D8-7896-43EF-8C08-D6582419E25D}"/>
    <cellStyle name="40% - Accent4 2 5 3" xfId="632" xr:uid="{00000000-0005-0000-0000-0000D8010000}"/>
    <cellStyle name="40% - Accent4 2 5 3 2" xfId="4975" xr:uid="{B0AAB9E4-DE13-4326-B02C-3C6522E4E902}"/>
    <cellStyle name="40% - Accent4 2 5 4" xfId="4972" xr:uid="{28A77AD4-DA9C-4B3A-BF6F-1F4CC394C331}"/>
    <cellStyle name="40% - Accent4 2 6" xfId="633" xr:uid="{00000000-0005-0000-0000-0000D9010000}"/>
    <cellStyle name="40% - Accent4 2 6 2" xfId="634" xr:uid="{00000000-0005-0000-0000-0000DA010000}"/>
    <cellStyle name="40% - Accent4 2 6 2 2" xfId="635" xr:uid="{00000000-0005-0000-0000-0000DB010000}"/>
    <cellStyle name="40% - Accent4 2 6 2 2 2" xfId="4978" xr:uid="{4F53C749-8CB4-4942-BCC4-702FF8FB62FA}"/>
    <cellStyle name="40% - Accent4 2 6 2 3" xfId="4977" xr:uid="{654543C7-B9A8-4DC2-A30D-013A81AB9688}"/>
    <cellStyle name="40% - Accent4 2 6 3" xfId="636" xr:uid="{00000000-0005-0000-0000-0000DC010000}"/>
    <cellStyle name="40% - Accent4 2 6 3 2" xfId="4979" xr:uid="{5FA55865-2605-4344-809D-67021D04B515}"/>
    <cellStyle name="40% - Accent4 2 6 4" xfId="4976" xr:uid="{7ECD0221-6DCF-437B-93DB-BD2B30B0E03B}"/>
    <cellStyle name="40% - Accent4 2 7" xfId="637" xr:uid="{00000000-0005-0000-0000-0000DD010000}"/>
    <cellStyle name="40% - Accent4 2 7 2" xfId="638" xr:uid="{00000000-0005-0000-0000-0000DE010000}"/>
    <cellStyle name="40% - Accent4 2 7 2 2" xfId="639" xr:uid="{00000000-0005-0000-0000-0000DF010000}"/>
    <cellStyle name="40% - Accent4 2 7 2 2 2" xfId="4982" xr:uid="{1F7600B1-A665-489D-A1F0-4FB2B89C9C34}"/>
    <cellStyle name="40% - Accent4 2 7 2 3" xfId="4981" xr:uid="{304C3146-DA00-43E1-857A-0F139606754E}"/>
    <cellStyle name="40% - Accent4 2 7 3" xfId="640" xr:uid="{00000000-0005-0000-0000-0000E0010000}"/>
    <cellStyle name="40% - Accent4 2 7 3 2" xfId="4983" xr:uid="{E84BE9C7-1E71-46E3-A326-828C1CBA4D6E}"/>
    <cellStyle name="40% - Accent4 2 7 4" xfId="4980" xr:uid="{167D1CA6-395A-4DB1-8D3C-239B07E7452A}"/>
    <cellStyle name="40% - Accent4 2 8" xfId="641" xr:uid="{00000000-0005-0000-0000-0000E1010000}"/>
    <cellStyle name="40% - Accent4 2 8 2" xfId="642" xr:uid="{00000000-0005-0000-0000-0000E2010000}"/>
    <cellStyle name="40% - Accent4 2 8 2 2" xfId="4985" xr:uid="{A41521F9-F447-410F-A2E1-0AF7B7291C70}"/>
    <cellStyle name="40% - Accent4 2 8 3" xfId="4984" xr:uid="{257A1A1A-06E7-4B3D-A595-E8A94BFC86EA}"/>
    <cellStyle name="40% - Accent4 2 9" xfId="643" xr:uid="{00000000-0005-0000-0000-0000E3010000}"/>
    <cellStyle name="40% - Accent4 2 9 2" xfId="4986" xr:uid="{DCD99451-C312-48A0-9F8E-7D5E2F7AB048}"/>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2 2 2" xfId="4989" xr:uid="{21584468-25D2-4553-8AFE-1906E830EECB}"/>
    <cellStyle name="40% - Accent5 2 2 2 3" xfId="4988" xr:uid="{F88B470C-4FB7-4C0F-B7FF-7256A8A1475E}"/>
    <cellStyle name="40% - Accent5 2 2 3" xfId="663" xr:uid="{00000000-0005-0000-0000-0000F8010000}"/>
    <cellStyle name="40% - Accent5 2 2 3 2" xfId="4990" xr:uid="{3B807CF6-5D05-4675-A5B1-23E784498CFC}"/>
    <cellStyle name="40% - Accent5 2 2 4" xfId="4987" xr:uid="{5279FBCB-518D-40F6-B04D-36AC48802623}"/>
    <cellStyle name="40% - Accent5 2 3" xfId="664" xr:uid="{00000000-0005-0000-0000-0000F9010000}"/>
    <cellStyle name="40% - Accent5 2 3 2" xfId="665" xr:uid="{00000000-0005-0000-0000-0000FA010000}"/>
    <cellStyle name="40% - Accent5 2 3 2 2" xfId="666" xr:uid="{00000000-0005-0000-0000-0000FB010000}"/>
    <cellStyle name="40% - Accent5 2 3 2 2 2" xfId="4993" xr:uid="{2957A01A-C996-4515-B125-7EF66517C02A}"/>
    <cellStyle name="40% - Accent5 2 3 2 3" xfId="4992" xr:uid="{3E199CE4-CBA6-439D-8E8A-2EF0B2B4E2D0}"/>
    <cellStyle name="40% - Accent5 2 3 3" xfId="667" xr:uid="{00000000-0005-0000-0000-0000FC010000}"/>
    <cellStyle name="40% - Accent5 2 3 3 2" xfId="4994" xr:uid="{45F666DD-8104-4FBB-AE1C-FF06703F1472}"/>
    <cellStyle name="40% - Accent5 2 3 4" xfId="4991" xr:uid="{3E083C4B-9F90-4ED6-851B-3557E35E5A7A}"/>
    <cellStyle name="40% - Accent5 2 4" xfId="668" xr:uid="{00000000-0005-0000-0000-0000FD010000}"/>
    <cellStyle name="40% - Accent5 2 4 2" xfId="669" xr:uid="{00000000-0005-0000-0000-0000FE010000}"/>
    <cellStyle name="40% - Accent5 2 4 2 2" xfId="670" xr:uid="{00000000-0005-0000-0000-0000FF010000}"/>
    <cellStyle name="40% - Accent5 2 4 2 2 2" xfId="4997" xr:uid="{DD31B780-6AEF-4E72-A65B-7FB208EBAED3}"/>
    <cellStyle name="40% - Accent5 2 4 2 3" xfId="4996" xr:uid="{049914DA-08A4-4F85-91D1-DCECC8ECDADA}"/>
    <cellStyle name="40% - Accent5 2 4 3" xfId="671" xr:uid="{00000000-0005-0000-0000-000000020000}"/>
    <cellStyle name="40% - Accent5 2 4 3 2" xfId="4998" xr:uid="{C95954A6-0EEC-4243-B44D-3456F4D3A5A5}"/>
    <cellStyle name="40% - Accent5 2 4 4" xfId="4995" xr:uid="{2A3E5112-2D92-47E4-9E9D-DE80DC1AFA46}"/>
    <cellStyle name="40% - Accent5 2 5" xfId="672" xr:uid="{00000000-0005-0000-0000-000001020000}"/>
    <cellStyle name="40% - Accent5 2 5 2" xfId="673" xr:uid="{00000000-0005-0000-0000-000002020000}"/>
    <cellStyle name="40% - Accent5 2 5 2 2" xfId="674" xr:uid="{00000000-0005-0000-0000-000003020000}"/>
    <cellStyle name="40% - Accent5 2 5 2 2 2" xfId="5001" xr:uid="{A4E3E3FA-562F-4D3A-9E69-B32326879A5F}"/>
    <cellStyle name="40% - Accent5 2 5 2 3" xfId="5000" xr:uid="{E020A6F3-FF37-4DF1-8BC7-754AAE13B6FC}"/>
    <cellStyle name="40% - Accent5 2 5 3" xfId="675" xr:uid="{00000000-0005-0000-0000-000004020000}"/>
    <cellStyle name="40% - Accent5 2 5 3 2" xfId="5002" xr:uid="{3925A969-A919-4119-A580-471403B8CE10}"/>
    <cellStyle name="40% - Accent5 2 5 4" xfId="4999" xr:uid="{891B8237-61E9-4B7F-8413-4A758D2912D2}"/>
    <cellStyle name="40% - Accent5 2 6" xfId="676" xr:uid="{00000000-0005-0000-0000-000005020000}"/>
    <cellStyle name="40% - Accent5 2 6 2" xfId="677" xr:uid="{00000000-0005-0000-0000-000006020000}"/>
    <cellStyle name="40% - Accent5 2 6 2 2" xfId="678" xr:uid="{00000000-0005-0000-0000-000007020000}"/>
    <cellStyle name="40% - Accent5 2 6 2 2 2" xfId="5005" xr:uid="{08333D96-898D-4A2C-80CD-84B29604C6F6}"/>
    <cellStyle name="40% - Accent5 2 6 2 3" xfId="5004" xr:uid="{CE034C44-C454-4301-B7EA-70B72CEC5C0A}"/>
    <cellStyle name="40% - Accent5 2 6 3" xfId="679" xr:uid="{00000000-0005-0000-0000-000008020000}"/>
    <cellStyle name="40% - Accent5 2 6 3 2" xfId="5006" xr:uid="{6D025A51-7E2E-4EA9-A559-7E2D54CB1A76}"/>
    <cellStyle name="40% - Accent5 2 6 4" xfId="5003" xr:uid="{6E1BB8D1-A835-49A9-BA98-DBB568955648}"/>
    <cellStyle name="40% - Accent5 2 7" xfId="680" xr:uid="{00000000-0005-0000-0000-000009020000}"/>
    <cellStyle name="40% - Accent5 2 7 2" xfId="681" xr:uid="{00000000-0005-0000-0000-00000A020000}"/>
    <cellStyle name="40% - Accent5 2 7 2 2" xfId="682" xr:uid="{00000000-0005-0000-0000-00000B020000}"/>
    <cellStyle name="40% - Accent5 2 7 2 2 2" xfId="5009" xr:uid="{FC9EC7BE-D1FD-4251-804E-D4CE448BD7F6}"/>
    <cellStyle name="40% - Accent5 2 7 2 3" xfId="5008" xr:uid="{6B10E2D5-1591-4F1C-A635-239B1AA03F53}"/>
    <cellStyle name="40% - Accent5 2 7 3" xfId="683" xr:uid="{00000000-0005-0000-0000-00000C020000}"/>
    <cellStyle name="40% - Accent5 2 7 3 2" xfId="5010" xr:uid="{5D47BE06-977F-48B4-997C-B7C6C65E5725}"/>
    <cellStyle name="40% - Accent5 2 7 4" xfId="5007" xr:uid="{2E0BCEA7-05B3-41E6-8BB6-87D2E3657D8D}"/>
    <cellStyle name="40% - Accent5 2 8" xfId="684" xr:uid="{00000000-0005-0000-0000-00000D020000}"/>
    <cellStyle name="40% - Accent5 2 8 2" xfId="685" xr:uid="{00000000-0005-0000-0000-00000E020000}"/>
    <cellStyle name="40% - Accent5 2 8 2 2" xfId="5012" xr:uid="{8FFDF944-631C-41E6-9A19-BA25C6A45AE4}"/>
    <cellStyle name="40% - Accent5 2 8 3" xfId="5011" xr:uid="{01CC8130-6FF3-42E0-891F-43B8C3EE2DB6}"/>
    <cellStyle name="40% - Accent5 2 9" xfId="686" xr:uid="{00000000-0005-0000-0000-00000F020000}"/>
    <cellStyle name="40% - Accent5 2 9 2" xfId="5013" xr:uid="{1C51C39B-D06F-428E-8829-569205C2AF37}"/>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2 2 2" xfId="5016" xr:uid="{0491DC3F-4D42-460D-8A5B-ADE7649E638C}"/>
    <cellStyle name="40% - Accent6 2 2 2 3" xfId="5015" xr:uid="{64D85749-A0BC-4E10-892A-0BB99A834B84}"/>
    <cellStyle name="40% - Accent6 2 2 3" xfId="706" xr:uid="{00000000-0005-0000-0000-000024020000}"/>
    <cellStyle name="40% - Accent6 2 2 3 2" xfId="5017" xr:uid="{0BC5C90B-8429-45CA-A7D1-23EC2348006F}"/>
    <cellStyle name="40% - Accent6 2 2 4" xfId="5014" xr:uid="{9B2DB0D7-6652-4F5B-8086-F2E40CE4E15A}"/>
    <cellStyle name="40% - Accent6 2 3" xfId="707" xr:uid="{00000000-0005-0000-0000-000025020000}"/>
    <cellStyle name="40% - Accent6 2 3 2" xfId="708" xr:uid="{00000000-0005-0000-0000-000026020000}"/>
    <cellStyle name="40% - Accent6 2 3 2 2" xfId="709" xr:uid="{00000000-0005-0000-0000-000027020000}"/>
    <cellStyle name="40% - Accent6 2 3 2 2 2" xfId="5020" xr:uid="{2312F780-99E1-4084-AFC6-32CBDE0B4DA0}"/>
    <cellStyle name="40% - Accent6 2 3 2 3" xfId="5019" xr:uid="{3299FD5C-345F-4788-A913-3323A6931C8E}"/>
    <cellStyle name="40% - Accent6 2 3 3" xfId="710" xr:uid="{00000000-0005-0000-0000-000028020000}"/>
    <cellStyle name="40% - Accent6 2 3 3 2" xfId="5021" xr:uid="{21808AA1-6AF3-4707-A70E-EAB957962843}"/>
    <cellStyle name="40% - Accent6 2 3 4" xfId="5018" xr:uid="{D6420F1F-809F-450B-B8C6-D1170647D2C3}"/>
    <cellStyle name="40% - Accent6 2 4" xfId="711" xr:uid="{00000000-0005-0000-0000-000029020000}"/>
    <cellStyle name="40% - Accent6 2 4 2" xfId="712" xr:uid="{00000000-0005-0000-0000-00002A020000}"/>
    <cellStyle name="40% - Accent6 2 4 2 2" xfId="713" xr:uid="{00000000-0005-0000-0000-00002B020000}"/>
    <cellStyle name="40% - Accent6 2 4 2 2 2" xfId="5024" xr:uid="{D9A6E44D-43ED-40A0-9691-1262730A4EEC}"/>
    <cellStyle name="40% - Accent6 2 4 2 3" xfId="5023" xr:uid="{1348BFD1-3CC0-43FC-8B28-03A088D2C94E}"/>
    <cellStyle name="40% - Accent6 2 4 3" xfId="714" xr:uid="{00000000-0005-0000-0000-00002C020000}"/>
    <cellStyle name="40% - Accent6 2 4 3 2" xfId="5025" xr:uid="{B7E6D36C-0054-4BA6-AC1E-321CC9246FD7}"/>
    <cellStyle name="40% - Accent6 2 4 4" xfId="5022" xr:uid="{10D57BC0-3D4B-4E1E-A791-7DB21B1F8FB4}"/>
    <cellStyle name="40% - Accent6 2 5" xfId="715" xr:uid="{00000000-0005-0000-0000-00002D020000}"/>
    <cellStyle name="40% - Accent6 2 5 2" xfId="716" xr:uid="{00000000-0005-0000-0000-00002E020000}"/>
    <cellStyle name="40% - Accent6 2 5 2 2" xfId="717" xr:uid="{00000000-0005-0000-0000-00002F020000}"/>
    <cellStyle name="40% - Accent6 2 5 2 2 2" xfId="5028" xr:uid="{78DBC590-B09C-4FE8-ADFF-AAB268CDC3D3}"/>
    <cellStyle name="40% - Accent6 2 5 2 3" xfId="5027" xr:uid="{C0BC1044-8231-44DC-85D5-09F1D82F682A}"/>
    <cellStyle name="40% - Accent6 2 5 3" xfId="718" xr:uid="{00000000-0005-0000-0000-000030020000}"/>
    <cellStyle name="40% - Accent6 2 5 3 2" xfId="5029" xr:uid="{BBC9292A-BB3C-4A6E-A0E7-5C87D27890EB}"/>
    <cellStyle name="40% - Accent6 2 5 4" xfId="5026" xr:uid="{75579A87-2B41-4177-903B-D681AF73A70A}"/>
    <cellStyle name="40% - Accent6 2 6" xfId="719" xr:uid="{00000000-0005-0000-0000-000031020000}"/>
    <cellStyle name="40% - Accent6 2 6 2" xfId="720" xr:uid="{00000000-0005-0000-0000-000032020000}"/>
    <cellStyle name="40% - Accent6 2 6 2 2" xfId="721" xr:uid="{00000000-0005-0000-0000-000033020000}"/>
    <cellStyle name="40% - Accent6 2 6 2 2 2" xfId="5032" xr:uid="{08E0AE30-13FF-4424-BF76-DB96D69DA36B}"/>
    <cellStyle name="40% - Accent6 2 6 2 3" xfId="5031" xr:uid="{78887B99-A698-4FE1-AE10-18A068D97D1A}"/>
    <cellStyle name="40% - Accent6 2 6 3" xfId="722" xr:uid="{00000000-0005-0000-0000-000034020000}"/>
    <cellStyle name="40% - Accent6 2 6 3 2" xfId="5033" xr:uid="{FF0BCC89-F9AB-4292-B964-F93185998FED}"/>
    <cellStyle name="40% - Accent6 2 6 4" xfId="5030" xr:uid="{6C5D2576-1322-4F51-A852-00B80A9280C4}"/>
    <cellStyle name="40% - Accent6 2 7" xfId="723" xr:uid="{00000000-0005-0000-0000-000035020000}"/>
    <cellStyle name="40% - Accent6 2 7 2" xfId="724" xr:uid="{00000000-0005-0000-0000-000036020000}"/>
    <cellStyle name="40% - Accent6 2 7 2 2" xfId="725" xr:uid="{00000000-0005-0000-0000-000037020000}"/>
    <cellStyle name="40% - Accent6 2 7 2 2 2" xfId="5036" xr:uid="{A4E24DBB-8979-4E15-A6A4-C9492F2C837A}"/>
    <cellStyle name="40% - Accent6 2 7 2 3" xfId="5035" xr:uid="{5384541A-EB30-4107-9300-CEDD2DC73A90}"/>
    <cellStyle name="40% - Accent6 2 7 3" xfId="726" xr:uid="{00000000-0005-0000-0000-000038020000}"/>
    <cellStyle name="40% - Accent6 2 7 3 2" xfId="5037" xr:uid="{6DA2A19D-A040-4255-9010-B9021F015E91}"/>
    <cellStyle name="40% - Accent6 2 7 4" xfId="5034" xr:uid="{8A093BF7-1B54-44FA-AFA3-E7360801D912}"/>
    <cellStyle name="40% - Accent6 2 8" xfId="727" xr:uid="{00000000-0005-0000-0000-000039020000}"/>
    <cellStyle name="40% - Accent6 2 8 2" xfId="728" xr:uid="{00000000-0005-0000-0000-00003A020000}"/>
    <cellStyle name="40% - Accent6 2 8 2 2" xfId="5039" xr:uid="{31C50449-B75B-46E6-96F9-38B0971405BA}"/>
    <cellStyle name="40% - Accent6 2 8 3" xfId="5038" xr:uid="{792989B1-3E92-4D93-B556-0ACEC1C9A655}"/>
    <cellStyle name="40% - Accent6 2 9" xfId="729" xr:uid="{00000000-0005-0000-0000-00003B020000}"/>
    <cellStyle name="40% - Accent6 2 9 2" xfId="5040" xr:uid="{29725B3A-F1A5-4776-9684-4F3C5DB55294}"/>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2 2" xfId="5199" xr:uid="{78F793BE-CF90-441F-928E-A462B62B36F2}"/>
    <cellStyle name="Comma [0] 3" xfId="4173" xr:uid="{00000000-0005-0000-0000-0000CA030000}"/>
    <cellStyle name="Comma [0] 3 2" xfId="4683" xr:uid="{00000000-0005-0000-0000-0000CB030000}"/>
    <cellStyle name="Comma [0] 3 2 2" xfId="5170" xr:uid="{A95D4AA4-34A2-47C0-91AA-FF84C67C5157}"/>
    <cellStyle name="Comma [0] 4" xfId="4174" xr:uid="{00000000-0005-0000-0000-0000CC030000}"/>
    <cellStyle name="Comma [0] 4 2" xfId="5065" xr:uid="{DD79B8A0-6BDF-482D-96A7-ABBB311BF2F1}"/>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4 2" xfId="5085" xr:uid="{73A6FC0D-4991-490A-82DC-43D87812A472}"/>
    <cellStyle name="Comma 10 5" xfId="4499" xr:uid="{00000000-0005-0000-0000-0000DA030000}"/>
    <cellStyle name="Comma 10 5 2" xfId="5086" xr:uid="{7B01B3E0-E6D6-4386-A2FB-7830C2F9DCD8}"/>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2 2 2" xfId="5179" xr:uid="{D0AFE493-D542-4BA1-8483-E9B2FD738761}"/>
    <cellStyle name="Comma 12 2 3" xfId="5171" xr:uid="{47A26428-715E-4EEF-8DB4-AFEB4211FBF6}"/>
    <cellStyle name="Comma 12 3" xfId="4678" xr:uid="{00000000-0005-0000-0000-0000E0030000}"/>
    <cellStyle name="Comma 12 3 2" xfId="5166" xr:uid="{AE8856E0-30DC-4711-8F65-7EF40873A5FF}"/>
    <cellStyle name="Comma 13" xfId="1043" xr:uid="{00000000-0005-0000-0000-0000E1030000}"/>
    <cellStyle name="Comma 13 2" xfId="4681" xr:uid="{00000000-0005-0000-0000-0000E2030000}"/>
    <cellStyle name="Comma 13 2 2" xfId="4691" xr:uid="{00000000-0005-0000-0000-0000E3030000}"/>
    <cellStyle name="Comma 13 2 2 2" xfId="5178" xr:uid="{53828E4F-3B46-4E59-84DF-7BE50834C8A3}"/>
    <cellStyle name="Comma 13 2 3" xfId="5168" xr:uid="{909073AE-4BCD-4413-96A6-62012638A1E5}"/>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2 2 2" xfId="5172" xr:uid="{8AF565E4-E492-401E-A90C-85CFCB829DFE}"/>
    <cellStyle name="Comma 2 2 3" xfId="5191" xr:uid="{A548F502-553A-4749-889D-56DAAFD9889F}"/>
    <cellStyle name="Comma 2 3" xfId="1051" xr:uid="{00000000-0005-0000-0000-0000ED030000}"/>
    <cellStyle name="Comma 2 3 2" xfId="1052" xr:uid="{00000000-0005-0000-0000-0000EE030000}"/>
    <cellStyle name="Comma 2 3 2 2" xfId="1053" xr:uid="{00000000-0005-0000-0000-0000EF030000}"/>
    <cellStyle name="Comma 2 3 2 2 2" xfId="5043" xr:uid="{03174522-3AC1-40B0-AEC3-275EFB8724EC}"/>
    <cellStyle name="Comma 2 3 2 3" xfId="5042" xr:uid="{2D8B559E-8E8A-4502-B239-361F741C5A8E}"/>
    <cellStyle name="Comma 2 3 3" xfId="1054" xr:uid="{00000000-0005-0000-0000-0000F0030000}"/>
    <cellStyle name="Comma 2 3 3 2" xfId="5044" xr:uid="{70EBC189-9E1C-41AA-9F17-747B95AF403D}"/>
    <cellStyle name="Comma 2 3 4" xfId="5041" xr:uid="{E04FA670-A59A-4305-ACFB-A6E9B85FB618}"/>
    <cellStyle name="Comma 2 3 5" xfId="5188" xr:uid="{4F030278-7A0E-4C74-97F2-0BE0FD2C170C}"/>
    <cellStyle name="Comma 2 4" xfId="1055" xr:uid="{00000000-0005-0000-0000-0000F1030000}"/>
    <cellStyle name="Comma 2 5" xfId="1056" xr:uid="{00000000-0005-0000-0000-0000F2030000}"/>
    <cellStyle name="Comma 2 6" xfId="5184" xr:uid="{3BDEAA41-F965-40C6-AE0D-2035D1363912}"/>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 5" xfId="4699" xr:uid="{DB823005-E88E-4F4A-AEF5-A2CCCB2190E1}"/>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 3" xfId="5196" xr:uid="{A3BD82CF-EB47-4C19-99B3-EE943BE8ADF7}"/>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 3" xfId="5187" xr:uid="{028D2BA4-F51E-47C4-A32B-CA204B13B017}"/>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3 2" xfId="5087" xr:uid="{CC814FC0-A5EB-4CFA-907E-B68F65854AE0}"/>
    <cellStyle name="Comma 8 2 4" xfId="4502" xr:uid="{00000000-0005-0000-0000-000058040000}"/>
    <cellStyle name="Comma 8 2 4 2" xfId="5088" xr:uid="{EE2087B8-2F16-45C8-9455-C55F5C3AA7FE}"/>
    <cellStyle name="Comma 8 2 5" xfId="4503" xr:uid="{00000000-0005-0000-0000-000059040000}"/>
    <cellStyle name="Comma 8 2 5 2" xfId="5089" xr:uid="{6476372E-D004-4B9F-8426-84D603AF5844}"/>
    <cellStyle name="Comma 8 3" xfId="4504" xr:uid="{00000000-0005-0000-0000-00005A040000}"/>
    <cellStyle name="Comma 8 4" xfId="4505" xr:uid="{00000000-0005-0000-0000-00005B040000}"/>
    <cellStyle name="Comma 8 4 2" xfId="5090" xr:uid="{FF39DC76-50A5-4718-930E-FF69DC3C093F}"/>
    <cellStyle name="Comma 8 5" xfId="4506" xr:uid="{00000000-0005-0000-0000-00005C040000}"/>
    <cellStyle name="Comma 8 5 2" xfId="5091" xr:uid="{8786C11B-0A7F-4C4D-98CF-FE35D6E647F9}"/>
    <cellStyle name="Comma 8 6" xfId="4507" xr:uid="{00000000-0005-0000-0000-00005D040000}"/>
    <cellStyle name="Comma 8 6 2" xfId="5092" xr:uid="{8C158337-ABA5-41FA-A1A6-F0855C878C72}"/>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5 2" xfId="5083" xr:uid="{2A4508F6-457A-475F-9209-B8F77EAD732F}"/>
    <cellStyle name="Comma 96" xfId="4696" xr:uid="{B2BEB86B-46E3-411E-8261-E06CDF5055CF}"/>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0] 2" xfId="5198" xr:uid="{08B23D0E-6593-4204-A4F1-94C7DA609F53}"/>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2 2 2" xfId="5046" xr:uid="{B093541B-D302-4B33-8533-E76BC78C40A5}"/>
    <cellStyle name="Currency 2 3 2 3" xfId="5045" xr:uid="{AE513916-AF46-4D6E-8679-3D866983CD84}"/>
    <cellStyle name="Currency 2 3 3" xfId="1328" xr:uid="{00000000-0005-0000-0000-00002B050000}"/>
    <cellStyle name="Currency 2 3 3 2" xfId="1329" xr:uid="{00000000-0005-0000-0000-00002C050000}"/>
    <cellStyle name="Currency 2 3 3 2 2" xfId="5048" xr:uid="{C71876ED-4EFF-4FE8-8F8F-D20D0816F77E}"/>
    <cellStyle name="Currency 2 3 3 3" xfId="5047" xr:uid="{49178631-690C-4C76-9C6C-3B08916655E1}"/>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2 4 2" xfId="5093" xr:uid="{AA1C5471-2DBD-463A-BE10-ADC89A9C571E}"/>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16" xfId="5189" xr:uid="{032A0F98-B01C-4695-B1AE-0AFD35B61B4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2 4 2 2" xfId="5180" xr:uid="{13875E6D-EA80-4FD2-B151-4914312BB7B9}"/>
    <cellStyle name="Normal 12 2 4 3" xfId="5164" xr:uid="{1B62140D-C673-4602-9E9A-4B6F1C794567}"/>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2 2 2 2" xfId="5177" xr:uid="{6014AADE-DA2E-4E26-A376-AA9B884BA9AD}"/>
    <cellStyle name="Normal 13 2 2 3" xfId="5167" xr:uid="{05AED2A8-79AA-4425-BD77-D1B6756B2F7A}"/>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5 2 2 2" xfId="5174" xr:uid="{005C1652-DC44-40C3-B806-3CA4731CD432}"/>
    <cellStyle name="Normal 15 2 3" xfId="5173" xr:uid="{02DD12A9-0DD2-414B-ABEC-B11E5DAFDB7F}"/>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60 3 2 2" xfId="5181" xr:uid="{B05DA904-90F2-4496-8212-549169CAA7FF}"/>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2 2 2" xfId="5052" xr:uid="{1DE15ED7-D229-417F-8AEF-FED413D5AE77}"/>
    <cellStyle name="Normal 17 2 2 2 3" xfId="5051" xr:uid="{37835546-A457-4D57-8F0D-94270B39AA33}"/>
    <cellStyle name="Normal 17 2 2 3" xfId="2284" xr:uid="{00000000-0005-0000-0000-000067090000}"/>
    <cellStyle name="Normal 17 2 2 3 2" xfId="5053" xr:uid="{B027AA23-F7B1-4231-9DDB-72A0491757D2}"/>
    <cellStyle name="Normal 17 2 2 4" xfId="5050" xr:uid="{E1ACE704-3CC5-44B1-A45A-F0A1ED5725DD}"/>
    <cellStyle name="Normal 17 2 3" xfId="2285" xr:uid="{00000000-0005-0000-0000-000068090000}"/>
    <cellStyle name="Normal 17 2 3 2" xfId="2286" xr:uid="{00000000-0005-0000-0000-000069090000}"/>
    <cellStyle name="Normal 17 2 3 2 2" xfId="2287" xr:uid="{00000000-0005-0000-0000-00006A090000}"/>
    <cellStyle name="Normal 17 2 3 2 2 2" xfId="5056" xr:uid="{D7AAF21A-BD28-4F72-8B2B-2266A2648797}"/>
    <cellStyle name="Normal 17 2 3 2 3" xfId="5055" xr:uid="{08676839-BD60-408C-A834-02CF48C9B074}"/>
    <cellStyle name="Normal 17 2 3 3" xfId="2288" xr:uid="{00000000-0005-0000-0000-00006B090000}"/>
    <cellStyle name="Normal 17 2 3 3 2" xfId="5057" xr:uid="{4161AF7C-E0D1-49DF-91CF-F69D5D717A65}"/>
    <cellStyle name="Normal 17 2 3 4" xfId="5054" xr:uid="{6D92A11F-5966-4A2C-91DB-589245404E17}"/>
    <cellStyle name="Normal 17 2 4" xfId="2289" xr:uid="{00000000-0005-0000-0000-00006C090000}"/>
    <cellStyle name="Normal 17 2 4 2" xfId="2290" xr:uid="{00000000-0005-0000-0000-00006D090000}"/>
    <cellStyle name="Normal 17 2 4 2 2" xfId="5059" xr:uid="{953D8F54-064C-4712-AADF-4AC85CEF88A5}"/>
    <cellStyle name="Normal 17 2 4 3" xfId="5058" xr:uid="{8962969D-3EC5-4937-A6E9-F2D5DDDE3F61}"/>
    <cellStyle name="Normal 17 2 5" xfId="2291" xr:uid="{00000000-0005-0000-0000-00006E090000}"/>
    <cellStyle name="Normal 17 2 5 2" xfId="5060" xr:uid="{86731518-1F20-4613-91EB-573F352EA327}"/>
    <cellStyle name="Normal 17 2 6" xfId="5049" xr:uid="{3B4C87CA-A294-48F4-A340-F53F657C0CCC}"/>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2 2 2" xfId="5063" xr:uid="{5D6ABC0F-4A06-4C37-AC13-5E7B00908832}"/>
    <cellStyle name="Normal 2 19 2 3" xfId="5062" xr:uid="{ECA5C4E4-2519-4055-8CD2-9830F0248B0C}"/>
    <cellStyle name="Normal 2 19 3" xfId="2474" xr:uid="{00000000-0005-0000-0000-0000260A0000}"/>
    <cellStyle name="Normal 2 19 3 2" xfId="5064" xr:uid="{94D095E2-C49B-4F11-9E4E-88021F2CE8F8}"/>
    <cellStyle name="Normal 2 19 4" xfId="5061" xr:uid="{273F4C8C-9D2B-4A7A-9381-68A7E83D303F}"/>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24" xfId="5183" xr:uid="{C671FE24-3048-49DE-855D-11C4F7E49B23}"/>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3 4" xfId="5190" xr:uid="{E0D1D2E6-EE36-4633-8ADB-9B0A35655DA4}"/>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2 5" xfId="5185" xr:uid="{1939013C-0E27-4F13-A00B-ADA766386545}"/>
    <cellStyle name="Normal 3 3" xfId="3164" xr:uid="{00000000-0005-0000-0000-0000DC0C0000}"/>
    <cellStyle name="Normal 3 3 2" xfId="3165" xr:uid="{00000000-0005-0000-0000-0000DD0C0000}"/>
    <cellStyle name="Normal 3 3 3" xfId="5192" xr:uid="{C20A9425-7E9D-4F8D-8785-D028C34153B4}"/>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 8" xfId="4700" xr:uid="{8B29C84E-CDF4-4053-BE33-8A8782002E7E}"/>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2 5" xfId="5193" xr:uid="{35BF9A7E-C836-4360-964E-9F75B7E0CC8A}"/>
    <cellStyle name="Normal 4 20" xfId="5182" xr:uid="{F2345D15-7680-4C52-A468-354452E2A544}"/>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49 2" xfId="5067" xr:uid="{C9BE331F-4F7B-427F-A722-20CEA73F1F6D}"/>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2 6" xfId="5195" xr:uid="{2E2E3D76-0A48-4822-BC71-8F1767A79605}"/>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0 2" xfId="5068" xr:uid="{234B9559-1715-4AC6-9192-BCE740322898}"/>
    <cellStyle name="Normal 51" xfId="4328" xr:uid="{00000000-0005-0000-0000-0000A50E0000}"/>
    <cellStyle name="Normal 51 2" xfId="5069" xr:uid="{0200DB37-1921-4C72-A657-1687644AF513}"/>
    <cellStyle name="Normal 52" xfId="4329" xr:uid="{00000000-0005-0000-0000-0000A60E0000}"/>
    <cellStyle name="Normal 52 2" xfId="5070" xr:uid="{DCF08285-F6FE-40DC-BFF7-9EE6A4890E48}"/>
    <cellStyle name="Normal 53" xfId="4330" xr:uid="{00000000-0005-0000-0000-0000A70E0000}"/>
    <cellStyle name="Normal 53 2" xfId="5071" xr:uid="{747F703C-F8DD-4906-B907-7070A885374B}"/>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8 2" xfId="5072" xr:uid="{D344F7AB-8DA2-4516-8C0E-D6956FBA3860}"/>
    <cellStyle name="Normal 59" xfId="4338" xr:uid="{00000000-0005-0000-0000-0000AF0E0000}"/>
    <cellStyle name="Normal 59 2" xfId="5073" xr:uid="{B2A61135-5106-4CAB-8B24-191266E17781}"/>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2 2" xfId="5096" xr:uid="{467DFED4-FF9C-4044-B94E-9AFF85AE1436}"/>
    <cellStyle name="Normal 6 2 2 2 2 3" xfId="4533" xr:uid="{00000000-0005-0000-0000-0000B60E0000}"/>
    <cellStyle name="Normal 6 2 2 2 2 3 2" xfId="5097" xr:uid="{5091A13A-E956-4ABF-8359-59CD29DDF5E7}"/>
    <cellStyle name="Normal 6 2 2 2 2 4" xfId="4534" xr:uid="{00000000-0005-0000-0000-0000B70E0000}"/>
    <cellStyle name="Normal 6 2 2 2 2 4 2" xfId="5098" xr:uid="{163B4073-689B-4B2D-90A6-8AACF39388F2}"/>
    <cellStyle name="Normal 6 2 2 2 2 5" xfId="5095" xr:uid="{9A2D5E8A-F3D6-4A29-A128-9A92AF39D0EB}"/>
    <cellStyle name="Normal 6 2 2 2 3" xfId="4535" xr:uid="{00000000-0005-0000-0000-0000B80E0000}"/>
    <cellStyle name="Normal 6 2 2 2 3 2" xfId="5099" xr:uid="{0BAB63AC-F2CB-4A93-B4F4-8642FC36FA1E}"/>
    <cellStyle name="Normal 6 2 2 2 4" xfId="4536" xr:uid="{00000000-0005-0000-0000-0000B90E0000}"/>
    <cellStyle name="Normal 6 2 2 2 4 2" xfId="5100" xr:uid="{EAE754E0-58EF-4F6C-9DAC-651516A605DA}"/>
    <cellStyle name="Normal 6 2 2 2 5" xfId="4537" xr:uid="{00000000-0005-0000-0000-0000BA0E0000}"/>
    <cellStyle name="Normal 6 2 2 2 5 2" xfId="5101" xr:uid="{2A8B815B-FEC3-406F-BC52-6A644987A350}"/>
    <cellStyle name="Normal 6 2 2 2 6" xfId="5094" xr:uid="{7A194BB7-4EA5-49DF-90B7-C7FEA9E727EF}"/>
    <cellStyle name="Normal 6 2 2 3" xfId="4538" xr:uid="{00000000-0005-0000-0000-0000BB0E0000}"/>
    <cellStyle name="Normal 6 2 2 3 2" xfId="4539" xr:uid="{00000000-0005-0000-0000-0000BC0E0000}"/>
    <cellStyle name="Normal 6 2 2 3 2 2" xfId="5103" xr:uid="{059C6CAD-9B0B-48E6-85B1-1D028706EC53}"/>
    <cellStyle name="Normal 6 2 2 3 3" xfId="4540" xr:uid="{00000000-0005-0000-0000-0000BD0E0000}"/>
    <cellStyle name="Normal 6 2 2 3 3 2" xfId="5104" xr:uid="{D7CD9399-4470-44C6-ABC0-651C8367A2BE}"/>
    <cellStyle name="Normal 6 2 2 3 4" xfId="4541" xr:uid="{00000000-0005-0000-0000-0000BE0E0000}"/>
    <cellStyle name="Normal 6 2 2 3 4 2" xfId="5105" xr:uid="{58F037F1-F931-4D4A-B9E0-97B308B8EE02}"/>
    <cellStyle name="Normal 6 2 2 3 5" xfId="5102" xr:uid="{1E9EA0BF-E1A8-41F2-8BF4-C3C96F1C582B}"/>
    <cellStyle name="Normal 6 2 2 4" xfId="4542" xr:uid="{00000000-0005-0000-0000-0000BF0E0000}"/>
    <cellStyle name="Normal 6 2 2 4 2" xfId="5106" xr:uid="{CA12EE41-B69F-4F67-90C4-B8020803AB32}"/>
    <cellStyle name="Normal 6 2 2 5" xfId="4543" xr:uid="{00000000-0005-0000-0000-0000C00E0000}"/>
    <cellStyle name="Normal 6 2 2 5 2" xfId="5107" xr:uid="{C80FA8EE-11BA-4E05-B92F-F3A11B96DA75}"/>
    <cellStyle name="Normal 6 2 2 6" xfId="4544" xr:uid="{00000000-0005-0000-0000-0000C10E0000}"/>
    <cellStyle name="Normal 6 2 2 6 2" xfId="5108" xr:uid="{5859B333-762D-48DF-A246-24D219A941F7}"/>
    <cellStyle name="Normal 6 2 3" xfId="4545" xr:uid="{00000000-0005-0000-0000-0000C20E0000}"/>
    <cellStyle name="Normal 6 2 3 2" xfId="4546" xr:uid="{00000000-0005-0000-0000-0000C30E0000}"/>
    <cellStyle name="Normal 6 2 3 2 2" xfId="4547" xr:uid="{00000000-0005-0000-0000-0000C40E0000}"/>
    <cellStyle name="Normal 6 2 3 2 2 2" xfId="5111" xr:uid="{6F2F939C-0A6A-4AC0-B718-5B27008005B4}"/>
    <cellStyle name="Normal 6 2 3 2 3" xfId="4548" xr:uid="{00000000-0005-0000-0000-0000C50E0000}"/>
    <cellStyle name="Normal 6 2 3 2 3 2" xfId="5112" xr:uid="{27CB2E06-6CA0-4C4C-B764-3B371A8525BE}"/>
    <cellStyle name="Normal 6 2 3 2 4" xfId="4549" xr:uid="{00000000-0005-0000-0000-0000C60E0000}"/>
    <cellStyle name="Normal 6 2 3 2 4 2" xfId="5113" xr:uid="{06FA5E7B-A4CB-4F15-A20D-41C54443670D}"/>
    <cellStyle name="Normal 6 2 3 2 5" xfId="5110" xr:uid="{26440CA4-0432-4F4B-9B7B-2BD7CD4A6405}"/>
    <cellStyle name="Normal 6 2 3 3" xfId="4550" xr:uid="{00000000-0005-0000-0000-0000C70E0000}"/>
    <cellStyle name="Normal 6 2 3 3 2" xfId="5114" xr:uid="{15794966-A307-41DA-B9B0-927D1299DC02}"/>
    <cellStyle name="Normal 6 2 3 4" xfId="4551" xr:uid="{00000000-0005-0000-0000-0000C80E0000}"/>
    <cellStyle name="Normal 6 2 3 4 2" xfId="5115" xr:uid="{43ADCB5C-6E39-43A4-8EF0-80AA3A7662EC}"/>
    <cellStyle name="Normal 6 2 3 5" xfId="4552" xr:uid="{00000000-0005-0000-0000-0000C90E0000}"/>
    <cellStyle name="Normal 6 2 3 5 2" xfId="5116" xr:uid="{55A2AB3D-18B1-4110-A59C-AFF98E7F520D}"/>
    <cellStyle name="Normal 6 2 3 6" xfId="5109" xr:uid="{83050151-2838-4178-87DE-574664A9788B}"/>
    <cellStyle name="Normal 6 2 4" xfId="4553" xr:uid="{00000000-0005-0000-0000-0000CA0E0000}"/>
    <cellStyle name="Normal 6 2 4 2" xfId="4554" xr:uid="{00000000-0005-0000-0000-0000CB0E0000}"/>
    <cellStyle name="Normal 6 2 4 2 2" xfId="5118" xr:uid="{D5B67E71-A603-47AA-A22B-81F8F025298A}"/>
    <cellStyle name="Normal 6 2 4 3" xfId="4555" xr:uid="{00000000-0005-0000-0000-0000CC0E0000}"/>
    <cellStyle name="Normal 6 2 4 3 2" xfId="5119" xr:uid="{B8BE7956-D70E-42BB-B609-DE06580E4FB1}"/>
    <cellStyle name="Normal 6 2 4 4" xfId="4556" xr:uid="{00000000-0005-0000-0000-0000CD0E0000}"/>
    <cellStyle name="Normal 6 2 4 4 2" xfId="5120" xr:uid="{1116CBAE-89B7-41FB-8C47-E2B7CE8C9576}"/>
    <cellStyle name="Normal 6 2 4 5" xfId="5117" xr:uid="{572467F5-9D38-42BF-BDB6-B6D80D4C883D}"/>
    <cellStyle name="Normal 6 2 5" xfId="4557" xr:uid="{00000000-0005-0000-0000-0000CE0E0000}"/>
    <cellStyle name="Normal 6 2 5 2" xfId="5121" xr:uid="{C9260328-E6A6-4F22-A2E3-B11C196BD98F}"/>
    <cellStyle name="Normal 6 2 6" xfId="4558" xr:uid="{00000000-0005-0000-0000-0000CF0E0000}"/>
    <cellStyle name="Normal 6 2 6 2" xfId="5122" xr:uid="{D309C359-39DB-46C6-A3A7-A06E85AB21B9}"/>
    <cellStyle name="Normal 6 2 7" xfId="4559" xr:uid="{00000000-0005-0000-0000-0000D00E0000}"/>
    <cellStyle name="Normal 6 2 7 2" xfId="5123" xr:uid="{5B9B723A-8F4D-4CB3-8326-890162F0E75C}"/>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2 2" xfId="5125" xr:uid="{88DA6B22-FA3F-46F2-8DCE-E6AF76759565}"/>
    <cellStyle name="Normal 6 3 2 2 3" xfId="4562" xr:uid="{00000000-0005-0000-0000-0000D50E0000}"/>
    <cellStyle name="Normal 6 3 2 2 3 2" xfId="5126" xr:uid="{7BC0367F-9BD3-4D98-A585-97FD8D12C29F}"/>
    <cellStyle name="Normal 6 3 2 2 4" xfId="4563" xr:uid="{00000000-0005-0000-0000-0000D60E0000}"/>
    <cellStyle name="Normal 6 3 2 2 4 2" xfId="5127" xr:uid="{D5C33828-C5C4-4038-A5A1-207AD32B511A}"/>
    <cellStyle name="Normal 6 3 2 2 5" xfId="5124" xr:uid="{5B8A7B57-2978-46BE-A26C-E34A963E7832}"/>
    <cellStyle name="Normal 6 3 2 3" xfId="4564" xr:uid="{00000000-0005-0000-0000-0000D70E0000}"/>
    <cellStyle name="Normal 6 3 2 3 2" xfId="5128" xr:uid="{2120008D-0752-468C-B483-219D82CBA93D}"/>
    <cellStyle name="Normal 6 3 2 4" xfId="4565" xr:uid="{00000000-0005-0000-0000-0000D80E0000}"/>
    <cellStyle name="Normal 6 3 2 4 2" xfId="5129" xr:uid="{4F7FEFC0-E5BF-4690-B78D-87F490C2698E}"/>
    <cellStyle name="Normal 6 3 2 5" xfId="4566" xr:uid="{00000000-0005-0000-0000-0000D90E0000}"/>
    <cellStyle name="Normal 6 3 2 5 2" xfId="5130" xr:uid="{33149BE9-1194-45BE-A066-3ED6EC80F32A}"/>
    <cellStyle name="Normal 6 3 3" xfId="4567" xr:uid="{00000000-0005-0000-0000-0000DA0E0000}"/>
    <cellStyle name="Normal 6 3 3 2" xfId="4568" xr:uid="{00000000-0005-0000-0000-0000DB0E0000}"/>
    <cellStyle name="Normal 6 3 3 2 2" xfId="5132" xr:uid="{22F12151-4C2A-4851-BC79-12B58D8FD724}"/>
    <cellStyle name="Normal 6 3 3 3" xfId="4569" xr:uid="{00000000-0005-0000-0000-0000DC0E0000}"/>
    <cellStyle name="Normal 6 3 3 3 2" xfId="5133" xr:uid="{139AC0EC-7C7D-4367-920C-A3FAC809CAAE}"/>
    <cellStyle name="Normal 6 3 3 4" xfId="4570" xr:uid="{00000000-0005-0000-0000-0000DD0E0000}"/>
    <cellStyle name="Normal 6 3 3 4 2" xfId="5134" xr:uid="{6B7FBD61-AF62-4790-9DB9-A0890D8C4252}"/>
    <cellStyle name="Normal 6 3 3 5" xfId="5131" xr:uid="{268B3A89-313F-41F4-8B6B-A30598AC0F61}"/>
    <cellStyle name="Normal 6 3 4" xfId="4571" xr:uid="{00000000-0005-0000-0000-0000DE0E0000}"/>
    <cellStyle name="Normal 6 3 4 2" xfId="5135" xr:uid="{EC8F2BB4-3A17-43BC-AD07-C0BD617B590B}"/>
    <cellStyle name="Normal 6 3 5" xfId="4572" xr:uid="{00000000-0005-0000-0000-0000DF0E0000}"/>
    <cellStyle name="Normal 6 3 5 2" xfId="5136" xr:uid="{2D30DE7F-C401-48E5-A84A-C38E9FD229E6}"/>
    <cellStyle name="Normal 6 3 6" xfId="4573" xr:uid="{00000000-0005-0000-0000-0000E00E0000}"/>
    <cellStyle name="Normal 6 3 6 2" xfId="5137" xr:uid="{FCBBD341-7C69-4A57-A359-7703C5A11843}"/>
    <cellStyle name="Normal 6 4" xfId="3621" xr:uid="{00000000-0005-0000-0000-0000E10E0000}"/>
    <cellStyle name="Normal 6 4 2" xfId="3622" xr:uid="{00000000-0005-0000-0000-0000E20E0000}"/>
    <cellStyle name="Normal 6 4 2 2" xfId="4574" xr:uid="{00000000-0005-0000-0000-0000E30E0000}"/>
    <cellStyle name="Normal 6 4 2 2 2" xfId="5138" xr:uid="{3C5FF966-BFA5-48B8-A500-28D9DD8C2B8E}"/>
    <cellStyle name="Normal 6 4 2 3" xfId="4575" xr:uid="{00000000-0005-0000-0000-0000E40E0000}"/>
    <cellStyle name="Normal 6 4 2 3 2" xfId="5139" xr:uid="{41DC9AE5-EE49-4BF9-A1CD-594C5DF92225}"/>
    <cellStyle name="Normal 6 4 2 4" xfId="4576" xr:uid="{00000000-0005-0000-0000-0000E50E0000}"/>
    <cellStyle name="Normal 6 4 2 4 2" xfId="5140" xr:uid="{CF98AFD6-E09E-4E6C-B66C-927EB5D561D7}"/>
    <cellStyle name="Normal 6 4 3" xfId="4577" xr:uid="{00000000-0005-0000-0000-0000E60E0000}"/>
    <cellStyle name="Normal 6 4 3 2" xfId="5141" xr:uid="{732DDFFC-5B31-4D1F-9F44-390E93B2DF16}"/>
    <cellStyle name="Normal 6 4 4" xfId="4578" xr:uid="{00000000-0005-0000-0000-0000E70E0000}"/>
    <cellStyle name="Normal 6 4 4 2" xfId="5142" xr:uid="{D2CA5EFF-8381-4CC0-B5C6-79C46071CD1B}"/>
    <cellStyle name="Normal 6 4 5" xfId="4579" xr:uid="{00000000-0005-0000-0000-0000E80E0000}"/>
    <cellStyle name="Normal 6 4 5 2" xfId="5143" xr:uid="{E380C589-EDAB-4AF7-9BFD-4781ED8E290F}"/>
    <cellStyle name="Normal 6 5" xfId="3623" xr:uid="{00000000-0005-0000-0000-0000E90E0000}"/>
    <cellStyle name="Normal 6 5 2" xfId="3624" xr:uid="{00000000-0005-0000-0000-0000EA0E0000}"/>
    <cellStyle name="Normal 6 5 3" xfId="4580" xr:uid="{00000000-0005-0000-0000-0000EB0E0000}"/>
    <cellStyle name="Normal 6 5 3 2" xfId="5144" xr:uid="{0E7C9707-D6A0-45B6-B36C-77742DBBD253}"/>
    <cellStyle name="Normal 6 5 4" xfId="4581" xr:uid="{00000000-0005-0000-0000-0000EC0E0000}"/>
    <cellStyle name="Normal 6 5 4 2" xfId="5145" xr:uid="{42BF7719-9753-4A34-B88B-F89BEF04C5AF}"/>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 9 2" xfId="5169" xr:uid="{15F02D56-15D8-4A34-9DFE-3A42FB15B556}"/>
    <cellStyle name="Normal 60" xfId="4339" xr:uid="{00000000-0005-0000-0000-0000F10E0000}"/>
    <cellStyle name="Normal 60 2" xfId="5074" xr:uid="{9AC4361F-8E8B-495E-842B-89299AFCE22D}"/>
    <cellStyle name="Normal 61" xfId="4340" xr:uid="{00000000-0005-0000-0000-0000F20E0000}"/>
    <cellStyle name="Normal 61 2" xfId="5075" xr:uid="{6CFF79E1-9D4C-4A7F-8ABE-9687B7017F85}"/>
    <cellStyle name="Normal 62" xfId="4341" xr:uid="{00000000-0005-0000-0000-0000F30E0000}"/>
    <cellStyle name="Normal 62 2" xfId="5076" xr:uid="{B11007EF-2AB7-4813-BAE7-FEDF5CAC84C2}"/>
    <cellStyle name="Normal 63" xfId="4342" xr:uid="{00000000-0005-0000-0000-0000F40E0000}"/>
    <cellStyle name="Normal 63 2" xfId="5077" xr:uid="{7E7DED31-A3FC-4531-ACBE-38462AF53BDC}"/>
    <cellStyle name="Normal 64" xfId="4343" xr:uid="{00000000-0005-0000-0000-0000F50E0000}"/>
    <cellStyle name="Normal 64 2" xfId="5078" xr:uid="{8EDD7DA8-FAA9-4351-A1C4-24855EB6D81D}"/>
    <cellStyle name="Normal 65" xfId="4470" xr:uid="{00000000-0005-0000-0000-0000F60E0000}"/>
    <cellStyle name="Normal 65 2" xfId="5082" xr:uid="{38EEE2C7-2E6F-4FF4-AF78-327B4D48662B}"/>
    <cellStyle name="Normal 66" xfId="4667" xr:uid="{00000000-0005-0000-0000-0000F70E0000}"/>
    <cellStyle name="Normal 67" xfId="4671" xr:uid="{00000000-0005-0000-0000-0000F80E0000}"/>
    <cellStyle name="Normal 67 2" xfId="5162" xr:uid="{8E7B1C8B-65BE-40EF-BF7B-EEE2D3962EC5}"/>
    <cellStyle name="Normal 68" xfId="4695" xr:uid="{930C09BD-5977-4784-89E7-46D7EC3F37FF}"/>
    <cellStyle name="Normal 69" xfId="4344" xr:uid="{00000000-0005-0000-0000-0000F90E0000}"/>
    <cellStyle name="Normal 69 2" xfId="5079" xr:uid="{E71A68F8-A764-4483-BB5D-4B39FF9A02B7}"/>
    <cellStyle name="Normal 69 3" xfId="4345" xr:uid="{00000000-0005-0000-0000-0000FA0E0000}"/>
    <cellStyle name="Normal 69 3 2" xfId="5080" xr:uid="{C88320AF-5201-492E-897A-3C57D0CDBA27}"/>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 8" xfId="5186" xr:uid="{FD59F593-E24E-4128-B0F1-83C57D2910E9}"/>
    <cellStyle name="Normal 72" xfId="4346" xr:uid="{00000000-0005-0000-0000-0000060F0000}"/>
    <cellStyle name="Normal 732" xfId="5197" xr:uid="{5389142D-8C03-4818-9723-7663AA0B0F6E}"/>
    <cellStyle name="Normal 8" xfId="3638" xr:uid="{00000000-0005-0000-0000-0000070F0000}"/>
    <cellStyle name="Normal 8 14" xfId="4673" xr:uid="{00000000-0005-0000-0000-0000080F0000}"/>
    <cellStyle name="Normal 8 14 2" xfId="5163" xr:uid="{E2BC7546-62D2-4E2C-9842-17BFA87F2A93}"/>
    <cellStyle name="Normal 8 2" xfId="3639" xr:uid="{00000000-0005-0000-0000-0000090F0000}"/>
    <cellStyle name="Normal 8 2 2" xfId="3640" xr:uid="{00000000-0005-0000-0000-00000A0F0000}"/>
    <cellStyle name="Normal 8 2 2 2" xfId="4582" xr:uid="{00000000-0005-0000-0000-00000B0F0000}"/>
    <cellStyle name="Normal 8 2 2 2 2" xfId="5146" xr:uid="{5EE19058-AF62-4E8B-AB8F-51A98FB7A6E2}"/>
    <cellStyle name="Normal 8 2 2 3" xfId="4583" xr:uid="{00000000-0005-0000-0000-00000C0F0000}"/>
    <cellStyle name="Normal 8 2 2 3 2" xfId="5147" xr:uid="{B12EFBD6-B143-41D9-85DE-239BFC5A0323}"/>
    <cellStyle name="Normal 8 2 2 4" xfId="4584" xr:uid="{00000000-0005-0000-0000-00000D0F0000}"/>
    <cellStyle name="Normal 8 2 2 4 2" xfId="5148" xr:uid="{1BA93B33-24C3-4E61-A4E7-A42DF1151A6A}"/>
    <cellStyle name="Normal 8 2 3" xfId="4585" xr:uid="{00000000-0005-0000-0000-00000E0F0000}"/>
    <cellStyle name="Normal 8 2 3 2" xfId="5149" xr:uid="{8164126A-4ED2-4623-9480-4935C4265935}"/>
    <cellStyle name="Normal 8 2 4" xfId="4586" xr:uid="{00000000-0005-0000-0000-00000F0F0000}"/>
    <cellStyle name="Normal 8 2 4 2" xfId="5150" xr:uid="{920FFF12-1262-4E0D-9498-86F12E3EB163}"/>
    <cellStyle name="Normal 8 2 5" xfId="4587" xr:uid="{00000000-0005-0000-0000-0000100F0000}"/>
    <cellStyle name="Normal 8 2 5 2" xfId="5151" xr:uid="{D67E79CE-A8A4-413C-9BD0-1153AC9F208C}"/>
    <cellStyle name="Normal 8 3" xfId="3641" xr:uid="{00000000-0005-0000-0000-0000110F0000}"/>
    <cellStyle name="Normal 8 3 2" xfId="3642" xr:uid="{00000000-0005-0000-0000-0000120F0000}"/>
    <cellStyle name="Normal 8 3 3" xfId="4588" xr:uid="{00000000-0005-0000-0000-0000130F0000}"/>
    <cellStyle name="Normal 8 3 3 2" xfId="5152" xr:uid="{C940DD4B-C5B6-4A26-982B-267D4BC57374}"/>
    <cellStyle name="Normal 8 3 4" xfId="4589" xr:uid="{00000000-0005-0000-0000-0000140F0000}"/>
    <cellStyle name="Normal 8 3 4 2" xfId="5153" xr:uid="{83FDD09B-2B9E-44BC-8261-ADEF8F9B0B7B}"/>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3 2" xfId="5154" xr:uid="{57E18E6A-8B82-4340-867A-DABF0AD1277A}"/>
    <cellStyle name="Normal 9 2 2 4" xfId="4591" xr:uid="{00000000-0005-0000-0000-00003A0F0000}"/>
    <cellStyle name="Normal 9 2 2 4 2" xfId="5155" xr:uid="{1134DB59-1FC6-4DBD-9D56-3246D6D2CC19}"/>
    <cellStyle name="Normal 9 2 3" xfId="3679" xr:uid="{00000000-0005-0000-0000-00003B0F0000}"/>
    <cellStyle name="Normal 9 2 4" xfId="4592" xr:uid="{00000000-0005-0000-0000-00003C0F0000}"/>
    <cellStyle name="Normal 9 2 4 2" xfId="5156" xr:uid="{BF3A0A01-C10A-4C82-975B-5C0138BF63D7}"/>
    <cellStyle name="Normal 9 2 5" xfId="4593" xr:uid="{00000000-0005-0000-0000-00003D0F0000}"/>
    <cellStyle name="Normal 9 2 5 2" xfId="5157" xr:uid="{25A69DC8-E1D6-4140-882F-FCEBFF472683}"/>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3 4 2" xfId="5158" xr:uid="{D2EEBB3E-866A-4E59-9332-8FC1EB869718}"/>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 5" xfId="5194" xr:uid="{87785256-262E-4833-8311-E9D05036F91F}"/>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3 2" xfId="5159" xr:uid="{264F9486-63FB-4E5C-80E3-1A32CF76D8FD}"/>
    <cellStyle name="Percent 6 4" xfId="4652" xr:uid="{00000000-0005-0000-0000-000068110000}"/>
    <cellStyle name="Percent 6 4 2" xfId="5160" xr:uid="{3035A268-9E2B-4F13-AB07-7C8DEA4BBA28}"/>
    <cellStyle name="Percent 6 5" xfId="4653" xr:uid="{00000000-0005-0000-0000-000069110000}"/>
    <cellStyle name="Percent 6 5 2" xfId="5161" xr:uid="{12B5A3AD-1051-4476-9173-07CD3C769357}"/>
    <cellStyle name="Percent 60" xfId="4405" xr:uid="{00000000-0005-0000-0000-00006A110000}"/>
    <cellStyle name="Percent 60 2" xfId="4475" xr:uid="{00000000-0005-0000-0000-00006B110000}"/>
    <cellStyle name="Percent 60 2 2" xfId="5084" xr:uid="{E4D9F0BE-24D8-43DB-A87D-809B07504C33}"/>
    <cellStyle name="Percent 61" xfId="4406" xr:uid="{00000000-0005-0000-0000-00006C110000}"/>
    <cellStyle name="Percent 62" xfId="4407" xr:uid="{00000000-0005-0000-0000-00006D110000}"/>
    <cellStyle name="Percent 63" xfId="4697" xr:uid="{63099E72-3016-40D8-835C-DB8915A59847}"/>
    <cellStyle name="Percent 7" xfId="4247" xr:uid="{00000000-0005-0000-0000-00006E110000}"/>
    <cellStyle name="Percent 7 2" xfId="4654" xr:uid="{00000000-0005-0000-0000-00006F110000}"/>
    <cellStyle name="Percent 7 3" xfId="5066" xr:uid="{B3CB873B-7856-4BD5-B920-CCE7D6C09EA5}"/>
    <cellStyle name="Percent 70" xfId="4408" xr:uid="{00000000-0005-0000-0000-000070110000}"/>
    <cellStyle name="Percent 70 2" xfId="5081" xr:uid="{CCDB43FA-6FB8-40E3-9344-959EFE998485}"/>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2 2 2" xfId="5165" xr:uid="{8B4807AB-AB0A-481E-92AD-E5B02B69B2C8}"/>
    <cellStyle name="Percent 9 2 3" xfId="5175" xr:uid="{3573B92E-4A6C-4146-B008-E14257B8A03E}"/>
    <cellStyle name="Percent 9 3" xfId="4689" xr:uid="{00000000-0005-0000-0000-000075110000}"/>
    <cellStyle name="Percent 9 3 2" xfId="5176" xr:uid="{90D7A2B5-9304-4211-A326-4E43C3497012}"/>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color rgb="FFCC99FF"/>
      <color rgb="FF0000FF"/>
      <color rgb="FFFF99FF"/>
      <color rgb="FF99FFCC"/>
      <color rgb="FF0000CC"/>
      <color rgb="FF66FFCC"/>
      <color rgb="FF000099"/>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zoomScale="80" zoomScaleNormal="80" workbookViewId="0">
      <selection activeCell="G41" sqref="G41"/>
    </sheetView>
  </sheetViews>
  <sheetFormatPr defaultColWidth="8.6328125" defaultRowHeight="15.6"/>
  <cols>
    <col min="1" max="1" width="23.6328125" style="175" customWidth="1"/>
    <col min="2" max="2" width="36.6328125" style="175" customWidth="1"/>
    <col min="3" max="3" width="67" style="175" bestFit="1" customWidth="1"/>
    <col min="4" max="4" width="18.6328125" style="175" customWidth="1"/>
    <col min="5" max="16384" width="8.6328125" style="175"/>
  </cols>
  <sheetData>
    <row r="1" spans="1:5" ht="20.399999999999999">
      <c r="A1" s="900" t="s">
        <v>912</v>
      </c>
      <c r="B1" s="900"/>
      <c r="C1" s="900"/>
      <c r="D1" s="900"/>
      <c r="E1" s="900"/>
    </row>
    <row r="2" spans="1:5" ht="20.399999999999999">
      <c r="A2" s="900" t="s">
        <v>427</v>
      </c>
      <c r="B2" s="900"/>
      <c r="C2" s="900"/>
      <c r="D2" s="900"/>
      <c r="E2" s="900"/>
    </row>
    <row r="3" spans="1:5">
      <c r="A3" s="176"/>
    </row>
    <row r="4" spans="1:5" ht="20.399999999999999">
      <c r="A4" s="900" t="s">
        <v>237</v>
      </c>
      <c r="B4" s="900"/>
      <c r="C4" s="900"/>
      <c r="D4" s="900"/>
      <c r="E4" s="900"/>
    </row>
    <row r="5" spans="1:5">
      <c r="A5" s="176"/>
      <c r="E5" s="177" t="s">
        <v>515</v>
      </c>
    </row>
    <row r="6" spans="1:5">
      <c r="A6" s="176" t="s">
        <v>238</v>
      </c>
    </row>
    <row r="7" spans="1:5" ht="47.25" customHeight="1">
      <c r="A7" s="898" t="s">
        <v>1081</v>
      </c>
      <c r="B7" s="898"/>
      <c r="C7" s="898"/>
      <c r="D7" s="898"/>
      <c r="E7" s="898"/>
    </row>
    <row r="8" spans="1:5">
      <c r="A8" s="178"/>
      <c r="B8" s="178"/>
      <c r="C8" s="178"/>
      <c r="D8" s="178"/>
      <c r="E8" s="178"/>
    </row>
    <row r="9" spans="1:5" ht="36.75" customHeight="1">
      <c r="A9" s="898" t="s">
        <v>1237</v>
      </c>
      <c r="B9" s="898"/>
      <c r="C9" s="898"/>
      <c r="D9" s="898"/>
      <c r="E9" s="898"/>
    </row>
    <row r="10" spans="1:5">
      <c r="A10" s="176"/>
    </row>
    <row r="11" spans="1:5" ht="51.75" customHeight="1">
      <c r="A11" s="898" t="s">
        <v>913</v>
      </c>
      <c r="B11" s="898"/>
      <c r="C11" s="898"/>
      <c r="D11" s="898"/>
      <c r="E11" s="898"/>
    </row>
    <row r="12" spans="1:5" ht="32.25" customHeight="1">
      <c r="A12" s="179"/>
      <c r="B12" s="899" t="s">
        <v>239</v>
      </c>
      <c r="C12" s="899"/>
      <c r="D12" s="899"/>
      <c r="E12" s="899"/>
    </row>
    <row r="13" spans="1:5" ht="19.5" customHeight="1">
      <c r="A13" s="180"/>
      <c r="B13" s="181" t="s">
        <v>516</v>
      </c>
      <c r="C13" s="181"/>
      <c r="D13" s="181"/>
      <c r="E13" s="181"/>
    </row>
    <row r="14" spans="1:5">
      <c r="A14" s="176"/>
      <c r="C14" s="175" t="s">
        <v>240</v>
      </c>
    </row>
    <row r="16" spans="1:5" ht="16.2" thickBot="1">
      <c r="A16" s="182" t="s">
        <v>241</v>
      </c>
      <c r="B16" s="182" t="s">
        <v>242</v>
      </c>
      <c r="C16" s="182" t="s">
        <v>159</v>
      </c>
      <c r="D16" s="183" t="s">
        <v>243</v>
      </c>
      <c r="E16" s="182"/>
    </row>
    <row r="17" spans="1:4">
      <c r="D17" s="184"/>
    </row>
    <row r="18" spans="1:4">
      <c r="A18" s="185"/>
      <c r="D18" s="186"/>
    </row>
    <row r="19" spans="1:4">
      <c r="D19" s="184"/>
    </row>
    <row r="20" spans="1:4">
      <c r="A20" s="187" t="s">
        <v>401</v>
      </c>
      <c r="B20" s="175" t="s">
        <v>369</v>
      </c>
      <c r="C20" s="175" t="s">
        <v>420</v>
      </c>
      <c r="D20" s="186" t="s">
        <v>150</v>
      </c>
    </row>
    <row r="21" spans="1:4" ht="17.25" customHeight="1">
      <c r="D21" s="184"/>
    </row>
    <row r="22" spans="1:4">
      <c r="A22" s="187" t="s">
        <v>402</v>
      </c>
      <c r="B22" s="175" t="s">
        <v>411</v>
      </c>
      <c r="C22" s="175" t="s">
        <v>244</v>
      </c>
      <c r="D22" s="186" t="s">
        <v>150</v>
      </c>
    </row>
    <row r="23" spans="1:4">
      <c r="D23" s="186"/>
    </row>
    <row r="24" spans="1:4">
      <c r="A24" s="187" t="s">
        <v>403</v>
      </c>
      <c r="B24" s="175" t="s">
        <v>412</v>
      </c>
      <c r="C24" s="175" t="s">
        <v>421</v>
      </c>
      <c r="D24" s="186" t="s">
        <v>150</v>
      </c>
    </row>
    <row r="25" spans="1:4">
      <c r="D25" s="186"/>
    </row>
    <row r="26" spans="1:4">
      <c r="A26" s="187" t="s">
        <v>404</v>
      </c>
      <c r="B26" s="175" t="s">
        <v>413</v>
      </c>
      <c r="C26" s="175" t="s">
        <v>425</v>
      </c>
      <c r="D26" s="186" t="s">
        <v>150</v>
      </c>
    </row>
    <row r="27" spans="1:4">
      <c r="A27" s="187"/>
      <c r="D27" s="186"/>
    </row>
    <row r="28" spans="1:4">
      <c r="A28" s="798" t="s">
        <v>1026</v>
      </c>
      <c r="B28" s="799" t="s">
        <v>1009</v>
      </c>
      <c r="C28" s="799" t="s">
        <v>1027</v>
      </c>
      <c r="D28" s="800" t="s">
        <v>150</v>
      </c>
    </row>
    <row r="29" spans="1:4">
      <c r="A29" s="798"/>
      <c r="B29" s="799"/>
      <c r="C29" s="799"/>
      <c r="D29" s="800"/>
    </row>
    <row r="30" spans="1:4">
      <c r="A30" s="798" t="s">
        <v>1028</v>
      </c>
      <c r="B30" s="799" t="s">
        <v>1024</v>
      </c>
      <c r="C30" s="799" t="s">
        <v>1029</v>
      </c>
      <c r="D30" s="800" t="s">
        <v>586</v>
      </c>
    </row>
    <row r="31" spans="1:4">
      <c r="D31" s="186"/>
    </row>
    <row r="32" spans="1:4">
      <c r="A32" s="187" t="s">
        <v>405</v>
      </c>
      <c r="B32" s="175" t="s">
        <v>414</v>
      </c>
      <c r="C32" s="175" t="s">
        <v>426</v>
      </c>
      <c r="D32" s="186" t="s">
        <v>150</v>
      </c>
    </row>
    <row r="33" spans="1:4">
      <c r="D33" s="186"/>
    </row>
    <row r="34" spans="1:4">
      <c r="A34" s="187" t="s">
        <v>406</v>
      </c>
      <c r="B34" s="175" t="s">
        <v>415</v>
      </c>
      <c r="C34" s="175" t="s">
        <v>422</v>
      </c>
      <c r="D34" s="186" t="s">
        <v>150</v>
      </c>
    </row>
    <row r="35" spans="1:4">
      <c r="D35" s="186"/>
    </row>
    <row r="36" spans="1:4">
      <c r="A36" s="187" t="s">
        <v>407</v>
      </c>
      <c r="B36" s="175" t="s">
        <v>416</v>
      </c>
      <c r="C36" s="175" t="s">
        <v>423</v>
      </c>
      <c r="D36" s="186" t="s">
        <v>150</v>
      </c>
    </row>
    <row r="37" spans="1:4">
      <c r="D37" s="186"/>
    </row>
    <row r="38" spans="1:4">
      <c r="A38" s="175" t="s">
        <v>553</v>
      </c>
      <c r="B38" s="175" t="s">
        <v>524</v>
      </c>
      <c r="C38" s="175" t="s">
        <v>554</v>
      </c>
      <c r="D38" s="186" t="s">
        <v>150</v>
      </c>
    </row>
    <row r="39" spans="1:4">
      <c r="D39" s="186"/>
    </row>
    <row r="40" spans="1:4">
      <c r="A40" s="175" t="s">
        <v>758</v>
      </c>
      <c r="B40" s="175" t="s">
        <v>757</v>
      </c>
      <c r="C40" s="175" t="s">
        <v>722</v>
      </c>
      <c r="D40" s="186" t="s">
        <v>150</v>
      </c>
    </row>
    <row r="41" spans="1:4">
      <c r="D41" s="186"/>
    </row>
    <row r="42" spans="1:4">
      <c r="A42" s="187" t="s">
        <v>245</v>
      </c>
      <c r="B42" s="175" t="s">
        <v>246</v>
      </c>
      <c r="C42" s="175" t="s">
        <v>1238</v>
      </c>
      <c r="D42" s="186" t="s">
        <v>586</v>
      </c>
    </row>
    <row r="43" spans="1:4">
      <c r="D43" s="186"/>
    </row>
    <row r="44" spans="1:4">
      <c r="A44" s="187" t="s">
        <v>408</v>
      </c>
      <c r="B44" s="175" t="s">
        <v>370</v>
      </c>
      <c r="C44" s="175" t="s">
        <v>424</v>
      </c>
      <c r="D44" s="186" t="s">
        <v>587</v>
      </c>
    </row>
    <row r="45" spans="1:4">
      <c r="D45" s="186"/>
    </row>
    <row r="46" spans="1:4">
      <c r="A46" s="187" t="s">
        <v>409</v>
      </c>
      <c r="B46" s="175" t="s">
        <v>417</v>
      </c>
      <c r="C46" s="175" t="s">
        <v>247</v>
      </c>
      <c r="D46" s="186" t="s">
        <v>587</v>
      </c>
    </row>
    <row r="47" spans="1:4">
      <c r="D47" s="186"/>
    </row>
    <row r="48" spans="1:4">
      <c r="A48" s="187" t="s">
        <v>410</v>
      </c>
      <c r="B48" s="175" t="s">
        <v>418</v>
      </c>
      <c r="C48" s="175" t="s">
        <v>248</v>
      </c>
      <c r="D48" s="186" t="s">
        <v>587</v>
      </c>
    </row>
    <row r="49" spans="1:4">
      <c r="D49" s="186"/>
    </row>
    <row r="50" spans="1:4">
      <c r="A50" s="187" t="s">
        <v>1231</v>
      </c>
      <c r="B50" s="175" t="s">
        <v>419</v>
      </c>
      <c r="C50" s="175" t="s">
        <v>249</v>
      </c>
      <c r="D50" s="186" t="s">
        <v>587</v>
      </c>
    </row>
    <row r="51" spans="1:4">
      <c r="A51" s="188"/>
      <c r="B51" s="188"/>
      <c r="C51" s="188"/>
      <c r="D51" s="189"/>
    </row>
    <row r="52" spans="1:4">
      <c r="A52" s="187" t="s">
        <v>555</v>
      </c>
      <c r="B52" s="175" t="s">
        <v>556</v>
      </c>
      <c r="C52" s="175" t="s">
        <v>546</v>
      </c>
      <c r="D52" s="186" t="s">
        <v>587</v>
      </c>
    </row>
    <row r="53" spans="1:4">
      <c r="A53" s="188"/>
      <c r="B53" s="188"/>
      <c r="C53" s="188"/>
      <c r="D53" s="189"/>
    </row>
    <row r="54" spans="1:4">
      <c r="A54" s="187" t="s">
        <v>661</v>
      </c>
      <c r="B54" s="175" t="s">
        <v>649</v>
      </c>
      <c r="C54" s="175" t="s">
        <v>662</v>
      </c>
      <c r="D54" s="186" t="s">
        <v>587</v>
      </c>
    </row>
    <row r="55" spans="1:4">
      <c r="A55" s="188"/>
      <c r="B55" s="188"/>
      <c r="C55" s="188"/>
      <c r="D55" s="189"/>
    </row>
    <row r="56" spans="1:4">
      <c r="A56" s="187" t="s">
        <v>564</v>
      </c>
      <c r="B56" s="175" t="s">
        <v>564</v>
      </c>
      <c r="C56" s="175" t="s">
        <v>565</v>
      </c>
      <c r="D56" s="186" t="s">
        <v>586</v>
      </c>
    </row>
  </sheetData>
  <mergeCells count="7">
    <mergeCell ref="A7:E7"/>
    <mergeCell ref="A9:E9"/>
    <mergeCell ref="A11:E11"/>
    <mergeCell ref="B12:E12"/>
    <mergeCell ref="A1:E1"/>
    <mergeCell ref="A2:E2"/>
    <mergeCell ref="A4:E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34"/>
  <sheetViews>
    <sheetView zoomScale="80" zoomScaleNormal="80" workbookViewId="0">
      <selection activeCell="D34" sqref="D34"/>
    </sheetView>
  </sheetViews>
  <sheetFormatPr defaultColWidth="7.08984375" defaultRowHeight="13.2"/>
  <cols>
    <col min="1" max="1" width="2.08984375" style="190" customWidth="1"/>
    <col min="2" max="2" width="4.6328125" style="190" customWidth="1"/>
    <col min="3" max="3" width="11.1796875" style="190" customWidth="1"/>
    <col min="4" max="4" width="9.453125" style="190" bestFit="1" customWidth="1"/>
    <col min="5" max="5" width="13.08984375" style="190" customWidth="1"/>
    <col min="6" max="6" width="14.26953125" style="190" customWidth="1"/>
    <col min="7" max="7" width="15.1796875" style="190" customWidth="1"/>
    <col min="8" max="8" width="8.1796875" style="205"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8" ht="14.25" customHeight="1">
      <c r="A1" s="925" t="s">
        <v>416</v>
      </c>
      <c r="B1" s="925"/>
      <c r="C1" s="925"/>
      <c r="D1" s="925"/>
      <c r="E1" s="925"/>
      <c r="F1" s="925"/>
      <c r="G1" s="925"/>
      <c r="H1" s="206"/>
    </row>
    <row r="2" spans="1:8">
      <c r="A2" s="925" t="s">
        <v>1232</v>
      </c>
      <c r="B2" s="925"/>
      <c r="C2" s="925"/>
      <c r="D2" s="925"/>
      <c r="E2" s="925"/>
      <c r="F2" s="925"/>
      <c r="G2" s="925"/>
      <c r="H2" s="206"/>
    </row>
    <row r="3" spans="1:8">
      <c r="A3" s="926" t="str">
        <f>'Act Att-H'!C7</f>
        <v>Black Hills Colorado Electric, LLC</v>
      </c>
      <c r="B3" s="926"/>
      <c r="C3" s="926"/>
      <c r="D3" s="926"/>
      <c r="E3" s="926"/>
      <c r="F3" s="926"/>
      <c r="G3" s="926"/>
      <c r="H3" s="218"/>
    </row>
    <row r="4" spans="1:8">
      <c r="F4" s="2"/>
      <c r="G4" s="192" t="s">
        <v>515</v>
      </c>
    </row>
    <row r="5" spans="1:8">
      <c r="A5" s="206"/>
      <c r="B5" s="206"/>
      <c r="C5" s="206"/>
      <c r="D5" s="206"/>
      <c r="E5" s="206"/>
      <c r="F5" s="206"/>
      <c r="G5" s="206"/>
      <c r="H5" s="206"/>
    </row>
    <row r="6" spans="1:8" ht="73.2" customHeight="1">
      <c r="B6" s="116" t="s">
        <v>4</v>
      </c>
      <c r="C6" s="116" t="s">
        <v>219</v>
      </c>
      <c r="D6" s="219" t="s">
        <v>220</v>
      </c>
      <c r="E6" s="219" t="s">
        <v>1222</v>
      </c>
      <c r="F6" s="219" t="s">
        <v>1223</v>
      </c>
      <c r="G6" s="219" t="s">
        <v>1070</v>
      </c>
      <c r="H6" s="190"/>
    </row>
    <row r="7" spans="1:8" ht="15" customHeight="1">
      <c r="B7" s="215"/>
      <c r="C7" s="220" t="s">
        <v>138</v>
      </c>
      <c r="D7" s="221" t="s">
        <v>139</v>
      </c>
      <c r="E7" s="221" t="s">
        <v>140</v>
      </c>
      <c r="F7" s="221" t="s">
        <v>141</v>
      </c>
      <c r="G7" s="221" t="s">
        <v>142</v>
      </c>
      <c r="H7" s="190"/>
    </row>
    <row r="8" spans="1:8" ht="15" customHeight="1">
      <c r="B8" s="193">
        <v>1</v>
      </c>
      <c r="C8" s="391" t="s">
        <v>146</v>
      </c>
      <c r="D8" s="390">
        <v>2024</v>
      </c>
      <c r="E8" s="662">
        <f>(311+18+63)*1000</f>
        <v>392000</v>
      </c>
      <c r="F8" s="222">
        <f>E8</f>
        <v>392000</v>
      </c>
      <c r="G8" s="223"/>
      <c r="H8" s="190"/>
    </row>
    <row r="9" spans="1:8" ht="15" customHeight="1">
      <c r="B9" s="193">
        <v>2</v>
      </c>
      <c r="C9" s="391" t="s">
        <v>147</v>
      </c>
      <c r="D9" s="392">
        <f>D8</f>
        <v>2024</v>
      </c>
      <c r="E9" s="662">
        <f>(263+13+63)*1000</f>
        <v>339000</v>
      </c>
      <c r="F9" s="222">
        <f t="shared" ref="F9:F15" si="0">E9</f>
        <v>339000</v>
      </c>
      <c r="G9" s="223"/>
      <c r="H9" s="190"/>
    </row>
    <row r="10" spans="1:8" ht="15" customHeight="1">
      <c r="B10" s="193">
        <v>3</v>
      </c>
      <c r="C10" s="391" t="s">
        <v>397</v>
      </c>
      <c r="D10" s="392">
        <f t="shared" ref="D10:D19" si="1">D9</f>
        <v>2024</v>
      </c>
      <c r="E10" s="662">
        <f>(248+12+63)*1000</f>
        <v>323000</v>
      </c>
      <c r="F10" s="222">
        <f t="shared" si="0"/>
        <v>323000</v>
      </c>
      <c r="G10" s="223"/>
      <c r="H10" s="190"/>
    </row>
    <row r="11" spans="1:8" ht="15" customHeight="1">
      <c r="B11" s="193">
        <v>4</v>
      </c>
      <c r="C11" s="391" t="s">
        <v>148</v>
      </c>
      <c r="D11" s="392">
        <f t="shared" si="1"/>
        <v>2024</v>
      </c>
      <c r="E11" s="662">
        <f>(234+10+63)*1000</f>
        <v>307000</v>
      </c>
      <c r="F11" s="222">
        <f t="shared" si="0"/>
        <v>307000</v>
      </c>
      <c r="G11" s="223"/>
      <c r="H11" s="190"/>
    </row>
    <row r="12" spans="1:8" ht="15" customHeight="1">
      <c r="B12" s="193">
        <v>5</v>
      </c>
      <c r="C12" s="391" t="s">
        <v>149</v>
      </c>
      <c r="D12" s="392">
        <f t="shared" si="1"/>
        <v>2024</v>
      </c>
      <c r="E12" s="662">
        <f>(264+11+63)*1000</f>
        <v>338000</v>
      </c>
      <c r="F12" s="222">
        <f t="shared" si="0"/>
        <v>338000</v>
      </c>
      <c r="G12" s="223"/>
      <c r="H12" s="190"/>
    </row>
    <row r="13" spans="1:8" ht="15" customHeight="1">
      <c r="B13" s="193">
        <v>6</v>
      </c>
      <c r="C13" s="391" t="s">
        <v>150</v>
      </c>
      <c r="D13" s="392">
        <f t="shared" si="1"/>
        <v>2024</v>
      </c>
      <c r="E13" s="662">
        <f>(367+14+63)*1000</f>
        <v>444000</v>
      </c>
      <c r="F13" s="222">
        <f t="shared" si="0"/>
        <v>444000</v>
      </c>
      <c r="G13" s="223"/>
      <c r="H13" s="190"/>
    </row>
    <row r="14" spans="1:8" ht="15" customHeight="1">
      <c r="B14" s="193">
        <v>7</v>
      </c>
      <c r="C14" s="391" t="s">
        <v>151</v>
      </c>
      <c r="D14" s="392">
        <f t="shared" si="1"/>
        <v>2024</v>
      </c>
      <c r="E14" s="662">
        <f>(387+16+63)*1000</f>
        <v>466000</v>
      </c>
      <c r="F14" s="222">
        <f t="shared" si="0"/>
        <v>466000</v>
      </c>
      <c r="G14" s="223"/>
      <c r="H14" s="190"/>
    </row>
    <row r="15" spans="1:8" ht="15" customHeight="1">
      <c r="B15" s="193">
        <v>8</v>
      </c>
      <c r="C15" s="391" t="s">
        <v>398</v>
      </c>
      <c r="D15" s="392">
        <f t="shared" si="1"/>
        <v>2024</v>
      </c>
      <c r="E15" s="662">
        <f>(397+16+63)*1000</f>
        <v>476000</v>
      </c>
      <c r="F15" s="222">
        <f t="shared" si="0"/>
        <v>476000</v>
      </c>
      <c r="G15" s="223"/>
      <c r="H15" s="190"/>
    </row>
    <row r="16" spans="1:8" ht="15" customHeight="1">
      <c r="B16" s="193">
        <v>9</v>
      </c>
      <c r="C16" s="391" t="s">
        <v>152</v>
      </c>
      <c r="D16" s="392">
        <f t="shared" si="1"/>
        <v>2024</v>
      </c>
      <c r="E16" s="662">
        <f>(344+13+63)*1000</f>
        <v>420000</v>
      </c>
      <c r="F16" s="224"/>
      <c r="G16" s="225">
        <f>E16/F22</f>
        <v>1.0891410048622365</v>
      </c>
      <c r="H16" s="190"/>
    </row>
    <row r="17" spans="2:9" ht="15.6">
      <c r="B17" s="193">
        <v>10</v>
      </c>
      <c r="C17" s="391" t="s">
        <v>153</v>
      </c>
      <c r="D17" s="392">
        <f t="shared" si="1"/>
        <v>2024</v>
      </c>
      <c r="E17" s="662">
        <f>(278+10+58)*1000</f>
        <v>346000</v>
      </c>
      <c r="F17" s="224"/>
      <c r="G17" s="225">
        <f>E17/F22</f>
        <v>0.89724473257698545</v>
      </c>
      <c r="H17" s="190"/>
    </row>
    <row r="18" spans="2:9" ht="15.6">
      <c r="B18" s="193">
        <v>11</v>
      </c>
      <c r="C18" s="391" t="s">
        <v>154</v>
      </c>
      <c r="D18" s="392">
        <f t="shared" si="1"/>
        <v>2024</v>
      </c>
      <c r="E18" s="662">
        <f>(278+13+58)*1000</f>
        <v>349000</v>
      </c>
      <c r="F18" s="224"/>
      <c r="G18" s="225">
        <f>E18/F22</f>
        <v>0.90502431118314419</v>
      </c>
      <c r="H18" s="190"/>
    </row>
    <row r="19" spans="2:9" ht="15.6">
      <c r="B19" s="193">
        <v>12</v>
      </c>
      <c r="C19" s="391" t="s">
        <v>399</v>
      </c>
      <c r="D19" s="392">
        <f t="shared" si="1"/>
        <v>2024</v>
      </c>
      <c r="E19" s="662">
        <f>(277+13+58)*1000</f>
        <v>348000</v>
      </c>
      <c r="F19" s="224"/>
      <c r="G19" s="225">
        <f>E19/F22</f>
        <v>0.90243111831442469</v>
      </c>
      <c r="H19" s="190"/>
    </row>
    <row r="20" spans="2:9">
      <c r="B20" s="193">
        <v>13</v>
      </c>
      <c r="C20" s="226" t="s">
        <v>9</v>
      </c>
      <c r="D20" s="226"/>
      <c r="E20" s="227">
        <f t="shared" ref="E20" si="2">SUM(E8:E19)</f>
        <v>4548000</v>
      </c>
      <c r="G20" s="225"/>
      <c r="H20" s="190"/>
    </row>
    <row r="21" spans="2:9">
      <c r="B21" s="193">
        <v>14</v>
      </c>
      <c r="C21" s="226" t="s">
        <v>164</v>
      </c>
      <c r="D21" s="226"/>
      <c r="E21" s="228">
        <f t="shared" ref="E21" si="3">E20/12</f>
        <v>379000</v>
      </c>
      <c r="G21" s="229"/>
      <c r="H21" s="190"/>
    </row>
    <row r="22" spans="2:9">
      <c r="B22" s="193">
        <v>15</v>
      </c>
      <c r="C22" s="192" t="s">
        <v>438</v>
      </c>
      <c r="F22" s="222">
        <f>AVERAGE(F8:F19)</f>
        <v>385625</v>
      </c>
      <c r="G22" s="217"/>
      <c r="H22" s="190"/>
      <c r="I22" s="216"/>
    </row>
    <row r="23" spans="2:9">
      <c r="B23" s="193"/>
      <c r="H23" s="216"/>
    </row>
    <row r="24" spans="2:9">
      <c r="B24" s="193" t="s">
        <v>155</v>
      </c>
      <c r="H24" s="216"/>
    </row>
    <row r="25" spans="2:9">
      <c r="B25" s="193" t="s">
        <v>76</v>
      </c>
      <c r="C25" s="190" t="s">
        <v>952</v>
      </c>
      <c r="H25" s="216"/>
    </row>
    <row r="26" spans="2:9">
      <c r="B26" s="193" t="s">
        <v>77</v>
      </c>
      <c r="C26" s="550" t="s">
        <v>700</v>
      </c>
      <c r="H26" s="216"/>
    </row>
    <row r="27" spans="2:9">
      <c r="B27" s="193"/>
      <c r="H27" s="216"/>
    </row>
    <row r="28" spans="2:9">
      <c r="B28" s="193"/>
      <c r="H28" s="216"/>
    </row>
    <row r="29" spans="2:9">
      <c r="B29" s="193"/>
      <c r="H29" s="216"/>
    </row>
    <row r="30" spans="2:9">
      <c r="B30" s="193"/>
      <c r="H30" s="216"/>
    </row>
    <row r="31" spans="2:9">
      <c r="B31" s="193"/>
      <c r="H31" s="216"/>
    </row>
    <row r="32" spans="2:9">
      <c r="B32" s="193"/>
      <c r="H32" s="216"/>
    </row>
    <row r="33" spans="2:5">
      <c r="B33" s="193"/>
    </row>
    <row r="34" spans="2:5">
      <c r="B34" s="193"/>
      <c r="E34" s="192"/>
    </row>
  </sheetData>
  <mergeCells count="3">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3" zoomScale="80" zoomScaleNormal="80" workbookViewId="0">
      <selection activeCell="G41" sqref="G41"/>
    </sheetView>
  </sheetViews>
  <sheetFormatPr defaultColWidth="8.6328125" defaultRowHeight="13.8"/>
  <cols>
    <col min="1" max="1" width="5" style="1" bestFit="1" customWidth="1"/>
    <col min="2" max="2" width="6.08984375" style="28" customWidth="1"/>
    <col min="3" max="6" width="12.6328125" style="2" customWidth="1"/>
    <col min="7" max="7" width="1.6328125" style="28" customWidth="1"/>
    <col min="8" max="15" width="12.6328125" style="2" customWidth="1"/>
    <col min="16" max="16" width="10.6328125" style="2" customWidth="1"/>
    <col min="17" max="17" width="8.6328125" style="4"/>
    <col min="18" max="16384" width="8.6328125" style="2"/>
  </cols>
  <sheetData>
    <row r="1" spans="1:19">
      <c r="A1" s="922" t="s">
        <v>524</v>
      </c>
      <c r="B1" s="922"/>
      <c r="C1" s="922"/>
      <c r="D1" s="922"/>
      <c r="E1" s="922"/>
      <c r="F1" s="922"/>
      <c r="G1" s="922"/>
      <c r="H1" s="922"/>
      <c r="I1" s="922"/>
      <c r="J1" s="922"/>
      <c r="K1" s="922"/>
      <c r="L1" s="922"/>
      <c r="M1" s="922"/>
      <c r="N1" s="922"/>
      <c r="O1" s="922"/>
    </row>
    <row r="2" spans="1:19">
      <c r="A2" s="952" t="s">
        <v>525</v>
      </c>
      <c r="B2" s="952"/>
      <c r="C2" s="952"/>
      <c r="D2" s="952"/>
      <c r="E2" s="952"/>
      <c r="F2" s="952"/>
      <c r="G2" s="952"/>
      <c r="H2" s="952"/>
      <c r="I2" s="952"/>
      <c r="J2" s="952"/>
      <c r="K2" s="952"/>
      <c r="L2" s="952"/>
      <c r="M2" s="952"/>
      <c r="N2" s="952"/>
      <c r="O2" s="952"/>
    </row>
    <row r="3" spans="1:19">
      <c r="A3" s="953" t="str">
        <f>'Act Att-H'!C7</f>
        <v>Black Hills Colorado Electric, LLC</v>
      </c>
      <c r="B3" s="953"/>
      <c r="C3" s="953"/>
      <c r="D3" s="953"/>
      <c r="E3" s="953"/>
      <c r="F3" s="953"/>
      <c r="G3" s="953"/>
      <c r="H3" s="953"/>
      <c r="I3" s="953"/>
      <c r="J3" s="953"/>
      <c r="K3" s="953"/>
      <c r="L3" s="953"/>
      <c r="M3" s="953"/>
      <c r="N3" s="953"/>
      <c r="O3" s="953"/>
    </row>
    <row r="4" spans="1:19">
      <c r="A4" s="5"/>
      <c r="C4" s="3"/>
      <c r="D4" s="3"/>
      <c r="E4" s="3"/>
      <c r="F4" s="3"/>
      <c r="G4" s="316"/>
      <c r="H4" s="3"/>
      <c r="I4" s="3"/>
      <c r="O4" s="174" t="s">
        <v>515</v>
      </c>
    </row>
    <row r="5" spans="1:19" ht="15" customHeight="1">
      <c r="A5" s="35"/>
      <c r="C5" s="37"/>
      <c r="D5" s="37"/>
      <c r="E5" s="37"/>
      <c r="F5" s="37"/>
      <c r="G5" s="317"/>
    </row>
    <row r="6" spans="1:19" s="286" customFormat="1">
      <c r="A6" s="320" t="s">
        <v>4</v>
      </c>
      <c r="G6" s="295"/>
      <c r="H6" s="326" t="s">
        <v>533</v>
      </c>
      <c r="I6" s="551" t="s">
        <v>704</v>
      </c>
      <c r="P6" s="2"/>
      <c r="Q6" s="4"/>
      <c r="R6" s="2"/>
      <c r="S6" s="2"/>
    </row>
    <row r="7" spans="1:19" s="286" customFormat="1">
      <c r="A7" s="318">
        <v>1</v>
      </c>
      <c r="B7" s="295"/>
      <c r="G7" s="295"/>
      <c r="H7" s="287" t="s">
        <v>526</v>
      </c>
      <c r="I7" s="308" t="s">
        <v>534</v>
      </c>
      <c r="J7" s="308"/>
      <c r="K7" s="311"/>
      <c r="L7" s="287" t="s">
        <v>526</v>
      </c>
      <c r="M7" s="308" t="s">
        <v>536</v>
      </c>
      <c r="N7" s="308"/>
      <c r="O7" s="332"/>
      <c r="P7" s="2"/>
      <c r="Q7" s="4"/>
      <c r="R7" s="2"/>
      <c r="S7" s="2"/>
    </row>
    <row r="8" spans="1:19" s="286" customFormat="1">
      <c r="A8" s="318">
        <f>A7+1</f>
        <v>2</v>
      </c>
      <c r="B8" s="295"/>
      <c r="G8" s="295"/>
      <c r="H8" s="288" t="s">
        <v>535</v>
      </c>
      <c r="I8" s="309" t="s">
        <v>527</v>
      </c>
      <c r="L8" s="288" t="s">
        <v>535</v>
      </c>
      <c r="M8" s="309" t="s">
        <v>527</v>
      </c>
      <c r="O8" s="289"/>
      <c r="P8" s="2"/>
      <c r="Q8" s="4"/>
      <c r="R8" s="2"/>
      <c r="S8" s="2"/>
    </row>
    <row r="9" spans="1:19" s="286" customFormat="1">
      <c r="A9" s="318">
        <f t="shared" ref="A9:A14" si="0">A8+1</f>
        <v>3</v>
      </c>
      <c r="B9" s="295"/>
      <c r="G9" s="295"/>
      <c r="H9" s="288" t="s">
        <v>528</v>
      </c>
      <c r="I9" s="310">
        <v>0</v>
      </c>
      <c r="J9" s="286" t="s">
        <v>483</v>
      </c>
      <c r="L9" s="288" t="s">
        <v>528</v>
      </c>
      <c r="M9" s="310">
        <v>0</v>
      </c>
      <c r="N9" s="286" t="s">
        <v>483</v>
      </c>
      <c r="O9" s="289"/>
      <c r="P9" s="2"/>
      <c r="Q9" s="4"/>
      <c r="R9" s="2"/>
      <c r="S9" s="2"/>
    </row>
    <row r="10" spans="1:19" s="286" customFormat="1">
      <c r="A10" s="318">
        <f t="shared" si="0"/>
        <v>4</v>
      </c>
      <c r="B10" s="295"/>
      <c r="G10" s="295"/>
      <c r="H10" s="288" t="s">
        <v>529</v>
      </c>
      <c r="I10" s="310">
        <v>0</v>
      </c>
      <c r="J10" s="286" t="s">
        <v>539</v>
      </c>
      <c r="L10" s="288" t="s">
        <v>529</v>
      </c>
      <c r="M10" s="310">
        <v>0</v>
      </c>
      <c r="N10" s="286" t="s">
        <v>539</v>
      </c>
      <c r="O10" s="289"/>
      <c r="P10" s="2"/>
      <c r="Q10" s="4"/>
      <c r="R10" s="2"/>
      <c r="S10" s="2"/>
    </row>
    <row r="11" spans="1:19" s="286" customFormat="1">
      <c r="A11" s="318">
        <f t="shared" si="0"/>
        <v>5</v>
      </c>
      <c r="B11" s="295"/>
      <c r="G11" s="295"/>
      <c r="H11" s="288" t="s">
        <v>549</v>
      </c>
      <c r="I11" s="290">
        <f>I10*'Act Att-H'!E204</f>
        <v>0</v>
      </c>
      <c r="L11" s="288" t="s">
        <v>549</v>
      </c>
      <c r="M11" s="290">
        <f>M10*'Act Att-H'!E204</f>
        <v>0</v>
      </c>
      <c r="O11" s="289"/>
      <c r="P11" s="2"/>
      <c r="Q11" s="4"/>
      <c r="R11" s="2"/>
      <c r="S11" s="2"/>
    </row>
    <row r="12" spans="1:19" s="286" customFormat="1">
      <c r="A12" s="318">
        <f t="shared" si="0"/>
        <v>6</v>
      </c>
      <c r="B12" s="295"/>
      <c r="G12" s="295"/>
      <c r="H12" s="288" t="s">
        <v>530</v>
      </c>
      <c r="I12" s="312"/>
      <c r="L12" s="288" t="s">
        <v>530</v>
      </c>
      <c r="M12" s="312"/>
      <c r="O12" s="289"/>
      <c r="P12" s="2"/>
      <c r="Q12" s="4"/>
      <c r="R12" s="2"/>
      <c r="S12" s="2"/>
    </row>
    <row r="13" spans="1:19" s="286" customFormat="1">
      <c r="A13" s="318">
        <f t="shared" si="0"/>
        <v>7</v>
      </c>
      <c r="G13" s="295"/>
      <c r="H13" s="288"/>
      <c r="L13" s="288"/>
      <c r="O13" s="289"/>
      <c r="P13" s="2"/>
      <c r="Q13" s="4"/>
      <c r="R13" s="2"/>
      <c r="S13" s="2"/>
    </row>
    <row r="14" spans="1:19" s="286" customFormat="1">
      <c r="A14" s="318">
        <f t="shared" si="0"/>
        <v>8</v>
      </c>
      <c r="B14" s="295"/>
      <c r="C14" s="951" t="s">
        <v>9</v>
      </c>
      <c r="D14" s="951"/>
      <c r="E14" s="951"/>
      <c r="F14" s="951"/>
      <c r="G14" s="295"/>
      <c r="H14" s="288"/>
      <c r="L14" s="288"/>
      <c r="O14" s="289"/>
      <c r="P14" s="2"/>
      <c r="Q14" s="4"/>
      <c r="R14" s="2"/>
      <c r="S14" s="2"/>
    </row>
    <row r="15" spans="1:19" s="286" customFormat="1">
      <c r="A15" s="295"/>
      <c r="B15" s="295"/>
      <c r="G15" s="295"/>
      <c r="H15" s="288"/>
      <c r="K15" s="286" t="s">
        <v>796</v>
      </c>
      <c r="L15" s="288"/>
      <c r="O15" s="289" t="s">
        <v>796</v>
      </c>
      <c r="P15" s="2"/>
      <c r="Q15" s="4"/>
      <c r="R15" s="2"/>
      <c r="S15" s="2"/>
    </row>
    <row r="16" spans="1:19" s="286" customFormat="1" ht="57" customHeight="1">
      <c r="A16" s="295"/>
      <c r="B16" s="315" t="s">
        <v>220</v>
      </c>
      <c r="C16" s="315" t="s">
        <v>531</v>
      </c>
      <c r="D16" s="315" t="s">
        <v>375</v>
      </c>
      <c r="E16" s="315" t="s">
        <v>532</v>
      </c>
      <c r="F16" s="315" t="s">
        <v>544</v>
      </c>
      <c r="G16" s="333"/>
      <c r="H16" s="294" t="s">
        <v>531</v>
      </c>
      <c r="I16" s="645" t="s">
        <v>768</v>
      </c>
      <c r="J16" s="295" t="s">
        <v>532</v>
      </c>
      <c r="K16" s="645" t="s">
        <v>798</v>
      </c>
      <c r="L16" s="294" t="s">
        <v>531</v>
      </c>
      <c r="M16" s="645" t="s">
        <v>768</v>
      </c>
      <c r="N16" s="295" t="s">
        <v>532</v>
      </c>
      <c r="O16" s="646"/>
      <c r="P16" s="2"/>
      <c r="Q16" s="4"/>
      <c r="R16" s="2"/>
      <c r="S16" s="2"/>
    </row>
    <row r="17" spans="1:19" s="286" customFormat="1">
      <c r="A17" s="295"/>
      <c r="B17" s="293" t="s">
        <v>138</v>
      </c>
      <c r="C17" s="293" t="s">
        <v>139</v>
      </c>
      <c r="D17" s="293" t="s">
        <v>140</v>
      </c>
      <c r="E17" s="293" t="s">
        <v>141</v>
      </c>
      <c r="F17" s="293" t="s">
        <v>142</v>
      </c>
      <c r="G17" s="291"/>
      <c r="H17" s="293" t="s">
        <v>143</v>
      </c>
      <c r="I17" s="618" t="s">
        <v>144</v>
      </c>
      <c r="J17" s="293" t="s">
        <v>145</v>
      </c>
      <c r="K17" s="647" t="s">
        <v>161</v>
      </c>
      <c r="L17" s="293" t="s">
        <v>162</v>
      </c>
      <c r="M17" s="618" t="s">
        <v>872</v>
      </c>
      <c r="N17" s="293" t="s">
        <v>871</v>
      </c>
      <c r="O17" s="647" t="s">
        <v>929</v>
      </c>
      <c r="P17" s="2"/>
      <c r="Q17" s="4"/>
      <c r="R17" s="2"/>
      <c r="S17" s="2"/>
    </row>
    <row r="18" spans="1:19" s="286" customFormat="1">
      <c r="A18" s="295"/>
      <c r="B18" s="295"/>
      <c r="G18" s="295"/>
      <c r="H18" s="294"/>
      <c r="I18" s="295"/>
      <c r="J18" s="295"/>
      <c r="K18" s="295"/>
      <c r="L18" s="294"/>
      <c r="M18" s="295"/>
      <c r="N18" s="295"/>
      <c r="O18" s="296"/>
      <c r="P18" s="2"/>
      <c r="Q18" s="4"/>
      <c r="R18" s="2"/>
      <c r="S18" s="2"/>
    </row>
    <row r="19" spans="1:19" s="286" customFormat="1">
      <c r="A19" s="318">
        <f>A14+1</f>
        <v>9</v>
      </c>
      <c r="B19" s="717" t="s">
        <v>930</v>
      </c>
      <c r="C19" s="297">
        <f>+H19+L19</f>
        <v>0</v>
      </c>
      <c r="D19" s="297">
        <f>+I19+M19</f>
        <v>0</v>
      </c>
      <c r="E19" s="297">
        <f>+J19+N19</f>
        <v>0</v>
      </c>
      <c r="F19" s="297">
        <f>+K19+O19</f>
        <v>0</v>
      </c>
      <c r="G19" s="318"/>
      <c r="H19" s="313">
        <v>0</v>
      </c>
      <c r="I19" s="314">
        <v>0</v>
      </c>
      <c r="J19" s="619">
        <f>+H19-I19</f>
        <v>0</v>
      </c>
      <c r="K19" s="298">
        <f>ROUND(J19*I$11,2)</f>
        <v>0</v>
      </c>
      <c r="L19" s="313">
        <v>0</v>
      </c>
      <c r="M19" s="314">
        <v>0</v>
      </c>
      <c r="N19" s="619">
        <f>+L19-M19</f>
        <v>0</v>
      </c>
      <c r="O19" s="299">
        <f>ROUND(N19*M$11,2)</f>
        <v>0</v>
      </c>
      <c r="P19" s="2"/>
      <c r="Q19" s="4"/>
      <c r="R19" s="2"/>
      <c r="S19" s="2"/>
    </row>
    <row r="20" spans="1:19" s="286" customFormat="1">
      <c r="A20" s="318">
        <f t="shared" ref="A20:A42" si="1">A19+1</f>
        <v>10</v>
      </c>
      <c r="B20" s="717" t="s">
        <v>930</v>
      </c>
      <c r="C20" s="297">
        <f t="shared" ref="C20:C42" si="2">+H20+L20</f>
        <v>0</v>
      </c>
      <c r="D20" s="297">
        <f t="shared" ref="D20:D42" si="3">+I20+M20</f>
        <v>0</v>
      </c>
      <c r="E20" s="297">
        <f t="shared" ref="E20:E42" si="4">+J20+N20</f>
        <v>0</v>
      </c>
      <c r="F20" s="297">
        <f t="shared" ref="F20:F42" si="5">+K20+O20</f>
        <v>0</v>
      </c>
      <c r="G20" s="318"/>
      <c r="H20" s="313">
        <v>0</v>
      </c>
      <c r="I20" s="619">
        <f>(H20*$I$9)+I19</f>
        <v>0</v>
      </c>
      <c r="J20" s="298">
        <f>+H20-I20</f>
        <v>0</v>
      </c>
      <c r="K20" s="298">
        <f t="shared" ref="K20:K42" si="6">ROUND(J20*I$11,2)</f>
        <v>0</v>
      </c>
      <c r="L20" s="313">
        <v>0</v>
      </c>
      <c r="M20" s="619">
        <f>(L20*$M$9)+M19</f>
        <v>0</v>
      </c>
      <c r="N20" s="298">
        <f>+L20-M20</f>
        <v>0</v>
      </c>
      <c r="O20" s="299">
        <f t="shared" ref="O20:O42" si="7">ROUND(N20*M$11,2)</f>
        <v>0</v>
      </c>
      <c r="P20" s="2"/>
      <c r="Q20" s="4"/>
      <c r="R20" s="2"/>
      <c r="S20" s="2"/>
    </row>
    <row r="21" spans="1:19" s="286" customFormat="1">
      <c r="A21" s="318">
        <f t="shared" si="1"/>
        <v>11</v>
      </c>
      <c r="B21" s="717" t="s">
        <v>930</v>
      </c>
      <c r="C21" s="297">
        <f t="shared" si="2"/>
        <v>0</v>
      </c>
      <c r="D21" s="297">
        <f t="shared" si="3"/>
        <v>0</v>
      </c>
      <c r="E21" s="297">
        <f t="shared" si="4"/>
        <v>0</v>
      </c>
      <c r="F21" s="297">
        <f t="shared" si="5"/>
        <v>0</v>
      </c>
      <c r="G21" s="318"/>
      <c r="H21" s="313">
        <v>0</v>
      </c>
      <c r="I21" s="619">
        <f t="shared" ref="I21:I42" si="8">(H21*$I$9)+I20</f>
        <v>0</v>
      </c>
      <c r="J21" s="298">
        <f>+H21-I21</f>
        <v>0</v>
      </c>
      <c r="K21" s="298">
        <f t="shared" si="6"/>
        <v>0</v>
      </c>
      <c r="L21" s="313">
        <v>0</v>
      </c>
      <c r="M21" s="619">
        <f t="shared" ref="M21:M42" si="9">(L21*$M$9)+M20</f>
        <v>0</v>
      </c>
      <c r="N21" s="298">
        <f>+L21-M21</f>
        <v>0</v>
      </c>
      <c r="O21" s="299">
        <f t="shared" si="7"/>
        <v>0</v>
      </c>
      <c r="P21" s="2"/>
      <c r="Q21" s="4"/>
      <c r="R21" s="2"/>
      <c r="S21" s="2"/>
    </row>
    <row r="22" spans="1:19" s="286" customFormat="1">
      <c r="A22" s="318">
        <f t="shared" si="1"/>
        <v>12</v>
      </c>
      <c r="B22" s="717" t="s">
        <v>930</v>
      </c>
      <c r="C22" s="297">
        <f t="shared" si="2"/>
        <v>0</v>
      </c>
      <c r="D22" s="297">
        <f t="shared" si="3"/>
        <v>0</v>
      </c>
      <c r="E22" s="297">
        <f t="shared" si="4"/>
        <v>0</v>
      </c>
      <c r="F22" s="297">
        <f t="shared" si="5"/>
        <v>0</v>
      </c>
      <c r="G22" s="318"/>
      <c r="H22" s="313">
        <v>0</v>
      </c>
      <c r="I22" s="619">
        <f t="shared" si="8"/>
        <v>0</v>
      </c>
      <c r="J22" s="298">
        <f>+H22-I22</f>
        <v>0</v>
      </c>
      <c r="K22" s="298">
        <f t="shared" si="6"/>
        <v>0</v>
      </c>
      <c r="L22" s="313">
        <v>0</v>
      </c>
      <c r="M22" s="619">
        <f t="shared" si="9"/>
        <v>0</v>
      </c>
      <c r="N22" s="298">
        <f>+L22-M22</f>
        <v>0</v>
      </c>
      <c r="O22" s="299">
        <f t="shared" si="7"/>
        <v>0</v>
      </c>
      <c r="P22" s="2"/>
      <c r="Q22" s="4"/>
      <c r="R22" s="2"/>
      <c r="S22" s="2"/>
    </row>
    <row r="23" spans="1:19" s="286" customFormat="1">
      <c r="A23" s="318">
        <f t="shared" si="1"/>
        <v>13</v>
      </c>
      <c r="B23" s="717" t="s">
        <v>930</v>
      </c>
      <c r="C23" s="297">
        <f t="shared" si="2"/>
        <v>0</v>
      </c>
      <c r="D23" s="297">
        <f t="shared" si="3"/>
        <v>0</v>
      </c>
      <c r="E23" s="297">
        <f t="shared" si="4"/>
        <v>0</v>
      </c>
      <c r="F23" s="297">
        <f t="shared" si="5"/>
        <v>0</v>
      </c>
      <c r="G23" s="318"/>
      <c r="H23" s="313">
        <v>0</v>
      </c>
      <c r="I23" s="619">
        <f t="shared" si="8"/>
        <v>0</v>
      </c>
      <c r="J23" s="298">
        <f t="shared" ref="J23:J42" si="10">+H23-I23</f>
        <v>0</v>
      </c>
      <c r="K23" s="298">
        <f t="shared" si="6"/>
        <v>0</v>
      </c>
      <c r="L23" s="313">
        <v>0</v>
      </c>
      <c r="M23" s="619">
        <f t="shared" si="9"/>
        <v>0</v>
      </c>
      <c r="N23" s="298">
        <f t="shared" ref="N23:N42" si="11">+L23-M23</f>
        <v>0</v>
      </c>
      <c r="O23" s="299">
        <f t="shared" si="7"/>
        <v>0</v>
      </c>
      <c r="P23" s="2"/>
      <c r="Q23" s="4"/>
      <c r="R23" s="2"/>
      <c r="S23" s="2"/>
    </row>
    <row r="24" spans="1:19" s="286" customFormat="1">
      <c r="A24" s="318">
        <f t="shared" si="1"/>
        <v>14</v>
      </c>
      <c r="B24" s="717" t="s">
        <v>930</v>
      </c>
      <c r="C24" s="297">
        <f t="shared" si="2"/>
        <v>0</v>
      </c>
      <c r="D24" s="297">
        <f t="shared" si="3"/>
        <v>0</v>
      </c>
      <c r="E24" s="297">
        <f t="shared" si="4"/>
        <v>0</v>
      </c>
      <c r="F24" s="297">
        <f t="shared" si="5"/>
        <v>0</v>
      </c>
      <c r="G24" s="318"/>
      <c r="H24" s="313">
        <v>0</v>
      </c>
      <c r="I24" s="619">
        <f t="shared" si="8"/>
        <v>0</v>
      </c>
      <c r="J24" s="298">
        <f t="shared" si="10"/>
        <v>0</v>
      </c>
      <c r="K24" s="298">
        <f t="shared" si="6"/>
        <v>0</v>
      </c>
      <c r="L24" s="313">
        <v>0</v>
      </c>
      <c r="M24" s="619">
        <f t="shared" si="9"/>
        <v>0</v>
      </c>
      <c r="N24" s="298">
        <f t="shared" si="11"/>
        <v>0</v>
      </c>
      <c r="O24" s="299">
        <f t="shared" si="7"/>
        <v>0</v>
      </c>
      <c r="P24" s="2"/>
      <c r="Q24" s="4"/>
      <c r="R24" s="2"/>
      <c r="S24" s="2"/>
    </row>
    <row r="25" spans="1:19" s="286" customFormat="1">
      <c r="A25" s="318">
        <f t="shared" si="1"/>
        <v>15</v>
      </c>
      <c r="B25" s="717" t="s">
        <v>930</v>
      </c>
      <c r="C25" s="297">
        <f t="shared" si="2"/>
        <v>0</v>
      </c>
      <c r="D25" s="297">
        <f t="shared" si="3"/>
        <v>0</v>
      </c>
      <c r="E25" s="297">
        <f t="shared" si="4"/>
        <v>0</v>
      </c>
      <c r="F25" s="297">
        <f t="shared" si="5"/>
        <v>0</v>
      </c>
      <c r="G25" s="318"/>
      <c r="H25" s="313">
        <v>0</v>
      </c>
      <c r="I25" s="619">
        <f t="shared" si="8"/>
        <v>0</v>
      </c>
      <c r="J25" s="298">
        <f t="shared" si="10"/>
        <v>0</v>
      </c>
      <c r="K25" s="298">
        <f t="shared" si="6"/>
        <v>0</v>
      </c>
      <c r="L25" s="313">
        <v>0</v>
      </c>
      <c r="M25" s="619">
        <f t="shared" si="9"/>
        <v>0</v>
      </c>
      <c r="N25" s="298">
        <f t="shared" si="11"/>
        <v>0</v>
      </c>
      <c r="O25" s="299">
        <f t="shared" si="7"/>
        <v>0</v>
      </c>
      <c r="P25" s="2"/>
      <c r="Q25" s="4"/>
      <c r="R25" s="2"/>
      <c r="S25" s="2"/>
    </row>
    <row r="26" spans="1:19" s="286" customFormat="1">
      <c r="A26" s="318">
        <f t="shared" si="1"/>
        <v>16</v>
      </c>
      <c r="B26" s="717" t="s">
        <v>930</v>
      </c>
      <c r="C26" s="297">
        <f t="shared" si="2"/>
        <v>0</v>
      </c>
      <c r="D26" s="297">
        <f t="shared" si="3"/>
        <v>0</v>
      </c>
      <c r="E26" s="297">
        <f t="shared" si="4"/>
        <v>0</v>
      </c>
      <c r="F26" s="297">
        <f t="shared" si="5"/>
        <v>0</v>
      </c>
      <c r="G26" s="318"/>
      <c r="H26" s="313">
        <v>0</v>
      </c>
      <c r="I26" s="619">
        <f t="shared" si="8"/>
        <v>0</v>
      </c>
      <c r="J26" s="298">
        <f t="shared" si="10"/>
        <v>0</v>
      </c>
      <c r="K26" s="298">
        <f t="shared" si="6"/>
        <v>0</v>
      </c>
      <c r="L26" s="313">
        <v>0</v>
      </c>
      <c r="M26" s="619">
        <f t="shared" si="9"/>
        <v>0</v>
      </c>
      <c r="N26" s="298">
        <f t="shared" si="11"/>
        <v>0</v>
      </c>
      <c r="O26" s="299">
        <f t="shared" si="7"/>
        <v>0</v>
      </c>
      <c r="P26" s="2"/>
      <c r="Q26" s="4"/>
      <c r="R26" s="2"/>
      <c r="S26" s="2"/>
    </row>
    <row r="27" spans="1:19" s="286" customFormat="1">
      <c r="A27" s="318">
        <f t="shared" si="1"/>
        <v>17</v>
      </c>
      <c r="B27" s="717" t="s">
        <v>930</v>
      </c>
      <c r="C27" s="297">
        <f t="shared" si="2"/>
        <v>0</v>
      </c>
      <c r="D27" s="297">
        <f t="shared" si="3"/>
        <v>0</v>
      </c>
      <c r="E27" s="297">
        <f t="shared" si="4"/>
        <v>0</v>
      </c>
      <c r="F27" s="297">
        <f t="shared" si="5"/>
        <v>0</v>
      </c>
      <c r="G27" s="318"/>
      <c r="H27" s="313">
        <v>0</v>
      </c>
      <c r="I27" s="619">
        <f t="shared" si="8"/>
        <v>0</v>
      </c>
      <c r="J27" s="298">
        <f t="shared" si="10"/>
        <v>0</v>
      </c>
      <c r="K27" s="298">
        <f t="shared" si="6"/>
        <v>0</v>
      </c>
      <c r="L27" s="313">
        <v>0</v>
      </c>
      <c r="M27" s="619">
        <f t="shared" si="9"/>
        <v>0</v>
      </c>
      <c r="N27" s="298">
        <f t="shared" si="11"/>
        <v>0</v>
      </c>
      <c r="O27" s="299">
        <f t="shared" si="7"/>
        <v>0</v>
      </c>
      <c r="P27" s="2"/>
      <c r="Q27" s="4"/>
      <c r="R27" s="2"/>
      <c r="S27" s="2"/>
    </row>
    <row r="28" spans="1:19" s="286" customFormat="1">
      <c r="A28" s="318">
        <f t="shared" si="1"/>
        <v>18</v>
      </c>
      <c r="B28" s="717" t="s">
        <v>930</v>
      </c>
      <c r="C28" s="297">
        <f t="shared" si="2"/>
        <v>0</v>
      </c>
      <c r="D28" s="297">
        <f t="shared" si="3"/>
        <v>0</v>
      </c>
      <c r="E28" s="297">
        <f t="shared" si="4"/>
        <v>0</v>
      </c>
      <c r="F28" s="297">
        <f t="shared" si="5"/>
        <v>0</v>
      </c>
      <c r="G28" s="318"/>
      <c r="H28" s="313">
        <v>0</v>
      </c>
      <c r="I28" s="619">
        <f t="shared" si="8"/>
        <v>0</v>
      </c>
      <c r="J28" s="298">
        <f t="shared" si="10"/>
        <v>0</v>
      </c>
      <c r="K28" s="298">
        <f t="shared" si="6"/>
        <v>0</v>
      </c>
      <c r="L28" s="313">
        <v>0</v>
      </c>
      <c r="M28" s="619">
        <f t="shared" si="9"/>
        <v>0</v>
      </c>
      <c r="N28" s="298">
        <f t="shared" si="11"/>
        <v>0</v>
      </c>
      <c r="O28" s="299">
        <f t="shared" si="7"/>
        <v>0</v>
      </c>
      <c r="P28" s="2"/>
      <c r="Q28" s="4"/>
      <c r="R28" s="2"/>
      <c r="S28" s="2"/>
    </row>
    <row r="29" spans="1:19" s="286" customFormat="1">
      <c r="A29" s="318">
        <f t="shared" si="1"/>
        <v>19</v>
      </c>
      <c r="B29" s="717" t="s">
        <v>930</v>
      </c>
      <c r="C29" s="297">
        <f t="shared" si="2"/>
        <v>0</v>
      </c>
      <c r="D29" s="297">
        <f t="shared" si="3"/>
        <v>0</v>
      </c>
      <c r="E29" s="297">
        <f t="shared" si="4"/>
        <v>0</v>
      </c>
      <c r="F29" s="297">
        <f t="shared" si="5"/>
        <v>0</v>
      </c>
      <c r="G29" s="318"/>
      <c r="H29" s="313">
        <v>0</v>
      </c>
      <c r="I29" s="619">
        <f t="shared" si="8"/>
        <v>0</v>
      </c>
      <c r="J29" s="298">
        <f t="shared" si="10"/>
        <v>0</v>
      </c>
      <c r="K29" s="298">
        <f t="shared" si="6"/>
        <v>0</v>
      </c>
      <c r="L29" s="313">
        <v>0</v>
      </c>
      <c r="M29" s="619">
        <f t="shared" si="9"/>
        <v>0</v>
      </c>
      <c r="N29" s="298">
        <f t="shared" si="11"/>
        <v>0</v>
      </c>
      <c r="O29" s="299">
        <f t="shared" si="7"/>
        <v>0</v>
      </c>
      <c r="P29" s="2"/>
      <c r="Q29" s="4"/>
      <c r="R29" s="2"/>
      <c r="S29" s="2"/>
    </row>
    <row r="30" spans="1:19" s="286" customFormat="1">
      <c r="A30" s="318">
        <f t="shared" si="1"/>
        <v>20</v>
      </c>
      <c r="B30" s="717" t="s">
        <v>930</v>
      </c>
      <c r="C30" s="297">
        <f t="shared" si="2"/>
        <v>0</v>
      </c>
      <c r="D30" s="297">
        <f t="shared" si="3"/>
        <v>0</v>
      </c>
      <c r="E30" s="297">
        <f t="shared" si="4"/>
        <v>0</v>
      </c>
      <c r="F30" s="297">
        <f t="shared" si="5"/>
        <v>0</v>
      </c>
      <c r="G30" s="318"/>
      <c r="H30" s="313">
        <v>0</v>
      </c>
      <c r="I30" s="619">
        <f t="shared" si="8"/>
        <v>0</v>
      </c>
      <c r="J30" s="298">
        <f t="shared" si="10"/>
        <v>0</v>
      </c>
      <c r="K30" s="298">
        <f t="shared" si="6"/>
        <v>0</v>
      </c>
      <c r="L30" s="313">
        <v>0</v>
      </c>
      <c r="M30" s="619">
        <f t="shared" si="9"/>
        <v>0</v>
      </c>
      <c r="N30" s="298">
        <f t="shared" si="11"/>
        <v>0</v>
      </c>
      <c r="O30" s="299">
        <f t="shared" si="7"/>
        <v>0</v>
      </c>
      <c r="P30" s="2"/>
      <c r="Q30" s="4"/>
      <c r="R30" s="2"/>
      <c r="S30" s="2"/>
    </row>
    <row r="31" spans="1:19" s="286" customFormat="1">
      <c r="A31" s="318">
        <f t="shared" si="1"/>
        <v>21</v>
      </c>
      <c r="B31" s="717" t="s">
        <v>930</v>
      </c>
      <c r="C31" s="297">
        <f t="shared" si="2"/>
        <v>0</v>
      </c>
      <c r="D31" s="297">
        <f t="shared" si="3"/>
        <v>0</v>
      </c>
      <c r="E31" s="297">
        <f t="shared" si="4"/>
        <v>0</v>
      </c>
      <c r="F31" s="297">
        <f t="shared" si="5"/>
        <v>0</v>
      </c>
      <c r="G31" s="318"/>
      <c r="H31" s="313">
        <v>0</v>
      </c>
      <c r="I31" s="619">
        <f t="shared" si="8"/>
        <v>0</v>
      </c>
      <c r="J31" s="298">
        <f t="shared" si="10"/>
        <v>0</v>
      </c>
      <c r="K31" s="298">
        <f t="shared" si="6"/>
        <v>0</v>
      </c>
      <c r="L31" s="313">
        <v>0</v>
      </c>
      <c r="M31" s="619">
        <f t="shared" si="9"/>
        <v>0</v>
      </c>
      <c r="N31" s="298">
        <f t="shared" si="11"/>
        <v>0</v>
      </c>
      <c r="O31" s="299">
        <f t="shared" si="7"/>
        <v>0</v>
      </c>
      <c r="P31" s="2"/>
      <c r="Q31" s="4"/>
      <c r="R31" s="2"/>
      <c r="S31" s="2"/>
    </row>
    <row r="32" spans="1:19" s="286" customFormat="1">
      <c r="A32" s="318">
        <f t="shared" si="1"/>
        <v>22</v>
      </c>
      <c r="B32" s="717" t="s">
        <v>930</v>
      </c>
      <c r="C32" s="297">
        <f t="shared" si="2"/>
        <v>0</v>
      </c>
      <c r="D32" s="297">
        <f t="shared" si="3"/>
        <v>0</v>
      </c>
      <c r="E32" s="297">
        <f t="shared" si="4"/>
        <v>0</v>
      </c>
      <c r="F32" s="297">
        <f t="shared" si="5"/>
        <v>0</v>
      </c>
      <c r="G32" s="318"/>
      <c r="H32" s="313">
        <v>0</v>
      </c>
      <c r="I32" s="619">
        <f t="shared" si="8"/>
        <v>0</v>
      </c>
      <c r="J32" s="298">
        <f t="shared" si="10"/>
        <v>0</v>
      </c>
      <c r="K32" s="298">
        <f t="shared" si="6"/>
        <v>0</v>
      </c>
      <c r="L32" s="313">
        <v>0</v>
      </c>
      <c r="M32" s="619">
        <f t="shared" si="9"/>
        <v>0</v>
      </c>
      <c r="N32" s="298">
        <f t="shared" si="11"/>
        <v>0</v>
      </c>
      <c r="O32" s="299">
        <f t="shared" si="7"/>
        <v>0</v>
      </c>
      <c r="P32" s="2"/>
      <c r="Q32" s="4"/>
      <c r="R32" s="2"/>
      <c r="S32" s="2"/>
    </row>
    <row r="33" spans="1:19" s="286" customFormat="1">
      <c r="A33" s="318">
        <f t="shared" si="1"/>
        <v>23</v>
      </c>
      <c r="B33" s="717" t="s">
        <v>930</v>
      </c>
      <c r="C33" s="297">
        <f t="shared" si="2"/>
        <v>0</v>
      </c>
      <c r="D33" s="297">
        <f t="shared" si="3"/>
        <v>0</v>
      </c>
      <c r="E33" s="297">
        <f t="shared" si="4"/>
        <v>0</v>
      </c>
      <c r="F33" s="297">
        <f t="shared" si="5"/>
        <v>0</v>
      </c>
      <c r="G33" s="318"/>
      <c r="H33" s="313">
        <v>0</v>
      </c>
      <c r="I33" s="619">
        <f t="shared" si="8"/>
        <v>0</v>
      </c>
      <c r="J33" s="298">
        <f t="shared" si="10"/>
        <v>0</v>
      </c>
      <c r="K33" s="298">
        <f t="shared" si="6"/>
        <v>0</v>
      </c>
      <c r="L33" s="313">
        <v>0</v>
      </c>
      <c r="M33" s="619">
        <f t="shared" si="9"/>
        <v>0</v>
      </c>
      <c r="N33" s="298">
        <f t="shared" si="11"/>
        <v>0</v>
      </c>
      <c r="O33" s="299">
        <f t="shared" si="7"/>
        <v>0</v>
      </c>
      <c r="P33" s="2"/>
      <c r="Q33" s="4"/>
      <c r="R33" s="2"/>
      <c r="S33" s="2"/>
    </row>
    <row r="34" spans="1:19" s="286" customFormat="1">
      <c r="A34" s="318">
        <f t="shared" si="1"/>
        <v>24</v>
      </c>
      <c r="B34" s="717" t="s">
        <v>930</v>
      </c>
      <c r="C34" s="297">
        <f t="shared" si="2"/>
        <v>0</v>
      </c>
      <c r="D34" s="297">
        <f t="shared" si="3"/>
        <v>0</v>
      </c>
      <c r="E34" s="297">
        <f t="shared" si="4"/>
        <v>0</v>
      </c>
      <c r="F34" s="297">
        <f t="shared" si="5"/>
        <v>0</v>
      </c>
      <c r="G34" s="318"/>
      <c r="H34" s="313">
        <v>0</v>
      </c>
      <c r="I34" s="619">
        <f t="shared" si="8"/>
        <v>0</v>
      </c>
      <c r="J34" s="298">
        <f t="shared" si="10"/>
        <v>0</v>
      </c>
      <c r="K34" s="298">
        <f t="shared" si="6"/>
        <v>0</v>
      </c>
      <c r="L34" s="313">
        <v>0</v>
      </c>
      <c r="M34" s="619">
        <f t="shared" si="9"/>
        <v>0</v>
      </c>
      <c r="N34" s="298">
        <f t="shared" si="11"/>
        <v>0</v>
      </c>
      <c r="O34" s="299">
        <f t="shared" si="7"/>
        <v>0</v>
      </c>
      <c r="P34" s="2"/>
      <c r="Q34" s="4"/>
      <c r="R34" s="2"/>
      <c r="S34" s="2"/>
    </row>
    <row r="35" spans="1:19" s="286" customFormat="1">
      <c r="A35" s="318">
        <f t="shared" si="1"/>
        <v>25</v>
      </c>
      <c r="B35" s="717" t="s">
        <v>930</v>
      </c>
      <c r="C35" s="297">
        <f t="shared" si="2"/>
        <v>0</v>
      </c>
      <c r="D35" s="297">
        <f t="shared" si="3"/>
        <v>0</v>
      </c>
      <c r="E35" s="297">
        <f t="shared" si="4"/>
        <v>0</v>
      </c>
      <c r="F35" s="297">
        <f t="shared" si="5"/>
        <v>0</v>
      </c>
      <c r="G35" s="318"/>
      <c r="H35" s="313">
        <v>0</v>
      </c>
      <c r="I35" s="619">
        <f t="shared" si="8"/>
        <v>0</v>
      </c>
      <c r="J35" s="298">
        <f t="shared" si="10"/>
        <v>0</v>
      </c>
      <c r="K35" s="298">
        <f t="shared" si="6"/>
        <v>0</v>
      </c>
      <c r="L35" s="313">
        <v>0</v>
      </c>
      <c r="M35" s="619">
        <f t="shared" si="9"/>
        <v>0</v>
      </c>
      <c r="N35" s="298">
        <f t="shared" si="11"/>
        <v>0</v>
      </c>
      <c r="O35" s="299">
        <f t="shared" si="7"/>
        <v>0</v>
      </c>
      <c r="P35" s="2"/>
      <c r="Q35" s="4"/>
      <c r="R35" s="2"/>
      <c r="S35" s="2"/>
    </row>
    <row r="36" spans="1:19" s="286" customFormat="1">
      <c r="A36" s="318">
        <f t="shared" si="1"/>
        <v>26</v>
      </c>
      <c r="B36" s="717" t="s">
        <v>930</v>
      </c>
      <c r="C36" s="297">
        <f t="shared" si="2"/>
        <v>0</v>
      </c>
      <c r="D36" s="297">
        <f t="shared" si="3"/>
        <v>0</v>
      </c>
      <c r="E36" s="297">
        <f t="shared" si="4"/>
        <v>0</v>
      </c>
      <c r="F36" s="297">
        <f t="shared" si="5"/>
        <v>0</v>
      </c>
      <c r="G36" s="318"/>
      <c r="H36" s="313">
        <v>0</v>
      </c>
      <c r="I36" s="619">
        <f t="shared" si="8"/>
        <v>0</v>
      </c>
      <c r="J36" s="298">
        <f t="shared" si="10"/>
        <v>0</v>
      </c>
      <c r="K36" s="298">
        <f t="shared" si="6"/>
        <v>0</v>
      </c>
      <c r="L36" s="313">
        <v>0</v>
      </c>
      <c r="M36" s="619">
        <f t="shared" si="9"/>
        <v>0</v>
      </c>
      <c r="N36" s="298">
        <f t="shared" si="11"/>
        <v>0</v>
      </c>
      <c r="O36" s="299">
        <f t="shared" si="7"/>
        <v>0</v>
      </c>
      <c r="P36" s="2"/>
      <c r="Q36" s="4"/>
      <c r="R36" s="2"/>
      <c r="S36" s="2"/>
    </row>
    <row r="37" spans="1:19" s="286" customFormat="1">
      <c r="A37" s="318">
        <f t="shared" si="1"/>
        <v>27</v>
      </c>
      <c r="B37" s="717" t="s">
        <v>930</v>
      </c>
      <c r="C37" s="297">
        <f t="shared" si="2"/>
        <v>0</v>
      </c>
      <c r="D37" s="297">
        <f t="shared" si="3"/>
        <v>0</v>
      </c>
      <c r="E37" s="297">
        <f t="shared" si="4"/>
        <v>0</v>
      </c>
      <c r="F37" s="297">
        <f t="shared" si="5"/>
        <v>0</v>
      </c>
      <c r="G37" s="318"/>
      <c r="H37" s="313">
        <v>0</v>
      </c>
      <c r="I37" s="619">
        <f t="shared" si="8"/>
        <v>0</v>
      </c>
      <c r="J37" s="298">
        <f t="shared" si="10"/>
        <v>0</v>
      </c>
      <c r="K37" s="298">
        <f t="shared" si="6"/>
        <v>0</v>
      </c>
      <c r="L37" s="313">
        <v>0</v>
      </c>
      <c r="M37" s="619">
        <f t="shared" si="9"/>
        <v>0</v>
      </c>
      <c r="N37" s="298">
        <f t="shared" si="11"/>
        <v>0</v>
      </c>
      <c r="O37" s="299">
        <f t="shared" si="7"/>
        <v>0</v>
      </c>
      <c r="P37" s="2"/>
      <c r="Q37" s="4"/>
      <c r="R37" s="2"/>
      <c r="S37" s="2"/>
    </row>
    <row r="38" spans="1:19" s="286" customFormat="1">
      <c r="A38" s="318">
        <f t="shared" si="1"/>
        <v>28</v>
      </c>
      <c r="B38" s="717" t="s">
        <v>930</v>
      </c>
      <c r="C38" s="297">
        <f t="shared" si="2"/>
        <v>0</v>
      </c>
      <c r="D38" s="297">
        <f t="shared" si="3"/>
        <v>0</v>
      </c>
      <c r="E38" s="297">
        <f t="shared" si="4"/>
        <v>0</v>
      </c>
      <c r="F38" s="297">
        <f t="shared" si="5"/>
        <v>0</v>
      </c>
      <c r="G38" s="318"/>
      <c r="H38" s="313">
        <v>0</v>
      </c>
      <c r="I38" s="619">
        <f t="shared" si="8"/>
        <v>0</v>
      </c>
      <c r="J38" s="298">
        <f t="shared" si="10"/>
        <v>0</v>
      </c>
      <c r="K38" s="298">
        <f t="shared" si="6"/>
        <v>0</v>
      </c>
      <c r="L38" s="313">
        <v>0</v>
      </c>
      <c r="M38" s="619">
        <f t="shared" si="9"/>
        <v>0</v>
      </c>
      <c r="N38" s="298">
        <f t="shared" si="11"/>
        <v>0</v>
      </c>
      <c r="O38" s="299">
        <f t="shared" si="7"/>
        <v>0</v>
      </c>
      <c r="P38" s="2"/>
      <c r="Q38" s="4"/>
      <c r="R38" s="2"/>
      <c r="S38" s="2"/>
    </row>
    <row r="39" spans="1:19" s="286" customFormat="1">
      <c r="A39" s="318">
        <f t="shared" si="1"/>
        <v>29</v>
      </c>
      <c r="B39" s="717" t="s">
        <v>930</v>
      </c>
      <c r="C39" s="297">
        <f t="shared" si="2"/>
        <v>0</v>
      </c>
      <c r="D39" s="297">
        <f t="shared" si="3"/>
        <v>0</v>
      </c>
      <c r="E39" s="297">
        <f t="shared" si="4"/>
        <v>0</v>
      </c>
      <c r="F39" s="297">
        <f t="shared" si="5"/>
        <v>0</v>
      </c>
      <c r="G39" s="318"/>
      <c r="H39" s="313">
        <v>0</v>
      </c>
      <c r="I39" s="619">
        <f t="shared" si="8"/>
        <v>0</v>
      </c>
      <c r="J39" s="298">
        <f t="shared" si="10"/>
        <v>0</v>
      </c>
      <c r="K39" s="298">
        <f t="shared" si="6"/>
        <v>0</v>
      </c>
      <c r="L39" s="313">
        <v>0</v>
      </c>
      <c r="M39" s="619">
        <f t="shared" si="9"/>
        <v>0</v>
      </c>
      <c r="N39" s="298">
        <f t="shared" si="11"/>
        <v>0</v>
      </c>
      <c r="O39" s="299">
        <f t="shared" si="7"/>
        <v>0</v>
      </c>
      <c r="P39" s="2"/>
      <c r="Q39" s="4"/>
      <c r="R39" s="2"/>
      <c r="S39" s="2"/>
    </row>
    <row r="40" spans="1:19" s="286" customFormat="1">
      <c r="A40" s="318">
        <f t="shared" si="1"/>
        <v>30</v>
      </c>
      <c r="B40" s="717" t="s">
        <v>930</v>
      </c>
      <c r="C40" s="297">
        <f t="shared" si="2"/>
        <v>0</v>
      </c>
      <c r="D40" s="297">
        <f t="shared" si="3"/>
        <v>0</v>
      </c>
      <c r="E40" s="297">
        <f t="shared" si="4"/>
        <v>0</v>
      </c>
      <c r="F40" s="297">
        <f t="shared" si="5"/>
        <v>0</v>
      </c>
      <c r="G40" s="318"/>
      <c r="H40" s="313">
        <v>0</v>
      </c>
      <c r="I40" s="619">
        <f t="shared" si="8"/>
        <v>0</v>
      </c>
      <c r="J40" s="298">
        <f t="shared" si="10"/>
        <v>0</v>
      </c>
      <c r="K40" s="298">
        <f t="shared" si="6"/>
        <v>0</v>
      </c>
      <c r="L40" s="313">
        <v>0</v>
      </c>
      <c r="M40" s="619">
        <f t="shared" si="9"/>
        <v>0</v>
      </c>
      <c r="N40" s="298">
        <f t="shared" si="11"/>
        <v>0</v>
      </c>
      <c r="O40" s="299">
        <f t="shared" si="7"/>
        <v>0</v>
      </c>
      <c r="P40" s="2"/>
      <c r="Q40" s="4"/>
      <c r="R40" s="2"/>
      <c r="S40" s="2"/>
    </row>
    <row r="41" spans="1:19" s="286" customFormat="1">
      <c r="A41" s="318">
        <f t="shared" si="1"/>
        <v>31</v>
      </c>
      <c r="B41" s="717" t="s">
        <v>930</v>
      </c>
      <c r="C41" s="297">
        <f t="shared" si="2"/>
        <v>0</v>
      </c>
      <c r="D41" s="297">
        <f t="shared" si="3"/>
        <v>0</v>
      </c>
      <c r="E41" s="297">
        <f t="shared" si="4"/>
        <v>0</v>
      </c>
      <c r="F41" s="297">
        <f t="shared" si="5"/>
        <v>0</v>
      </c>
      <c r="G41" s="318"/>
      <c r="H41" s="313">
        <v>0</v>
      </c>
      <c r="I41" s="619">
        <f t="shared" si="8"/>
        <v>0</v>
      </c>
      <c r="J41" s="298">
        <f t="shared" si="10"/>
        <v>0</v>
      </c>
      <c r="K41" s="298">
        <f t="shared" si="6"/>
        <v>0</v>
      </c>
      <c r="L41" s="313">
        <v>0</v>
      </c>
      <c r="M41" s="619">
        <f t="shared" si="9"/>
        <v>0</v>
      </c>
      <c r="N41" s="298">
        <f t="shared" si="11"/>
        <v>0</v>
      </c>
      <c r="O41" s="299">
        <f t="shared" si="7"/>
        <v>0</v>
      </c>
      <c r="P41" s="2"/>
      <c r="Q41" s="4"/>
      <c r="R41" s="2"/>
      <c r="S41" s="2"/>
    </row>
    <row r="42" spans="1:19" s="286" customFormat="1">
      <c r="A42" s="318">
        <f t="shared" si="1"/>
        <v>32</v>
      </c>
      <c r="B42" s="717" t="s">
        <v>930</v>
      </c>
      <c r="C42" s="297">
        <f t="shared" si="2"/>
        <v>0</v>
      </c>
      <c r="D42" s="297">
        <f t="shared" si="3"/>
        <v>0</v>
      </c>
      <c r="E42" s="297">
        <f t="shared" si="4"/>
        <v>0</v>
      </c>
      <c r="F42" s="297">
        <f t="shared" si="5"/>
        <v>0</v>
      </c>
      <c r="G42" s="318"/>
      <c r="H42" s="313">
        <v>0</v>
      </c>
      <c r="I42" s="619">
        <f t="shared" si="8"/>
        <v>0</v>
      </c>
      <c r="J42" s="298">
        <f t="shared" si="10"/>
        <v>0</v>
      </c>
      <c r="K42" s="298">
        <f t="shared" si="6"/>
        <v>0</v>
      </c>
      <c r="L42" s="313">
        <v>0</v>
      </c>
      <c r="M42" s="619">
        <f t="shared" si="9"/>
        <v>0</v>
      </c>
      <c r="N42" s="298">
        <f t="shared" si="11"/>
        <v>0</v>
      </c>
      <c r="O42" s="299">
        <f t="shared" si="7"/>
        <v>0</v>
      </c>
      <c r="P42" s="2"/>
      <c r="Q42" s="4"/>
      <c r="R42" s="2"/>
      <c r="S42" s="2"/>
    </row>
    <row r="43" spans="1:19" s="286" customFormat="1">
      <c r="A43" s="295"/>
      <c r="B43" s="318"/>
      <c r="G43" s="318"/>
      <c r="H43" s="300"/>
      <c r="I43" s="301"/>
      <c r="J43" s="301"/>
      <c r="K43" s="301"/>
      <c r="L43" s="302"/>
      <c r="M43" s="301"/>
      <c r="N43" s="303"/>
      <c r="O43" s="304"/>
      <c r="P43" s="2"/>
      <c r="Q43" s="4"/>
      <c r="R43" s="2"/>
      <c r="S43" s="2"/>
    </row>
    <row r="44" spans="1:19" s="286" customFormat="1">
      <c r="A44" s="320" t="s">
        <v>155</v>
      </c>
      <c r="B44" s="318"/>
      <c r="G44" s="318"/>
      <c r="H44" s="305"/>
      <c r="I44" s="305"/>
      <c r="J44" s="305"/>
      <c r="K44" s="305"/>
      <c r="L44" s="306"/>
      <c r="M44" s="305"/>
      <c r="N44" s="307"/>
      <c r="O44" s="307"/>
      <c r="P44" s="2"/>
      <c r="Q44" s="4"/>
      <c r="R44" s="2"/>
      <c r="S44" s="2"/>
    </row>
    <row r="45" spans="1:19" s="286" customFormat="1">
      <c r="A45" s="295" t="s">
        <v>76</v>
      </c>
      <c r="B45" s="319" t="s">
        <v>537</v>
      </c>
      <c r="G45" s="318"/>
      <c r="H45" s="305"/>
      <c r="I45" s="305"/>
      <c r="J45" s="305"/>
      <c r="K45" s="305"/>
      <c r="L45" s="306"/>
      <c r="M45" s="305"/>
      <c r="N45" s="307"/>
      <c r="O45" s="307"/>
      <c r="P45" s="2"/>
      <c r="Q45" s="4"/>
      <c r="R45" s="2"/>
      <c r="S45" s="2"/>
    </row>
    <row r="46" spans="1:19" s="16" customFormat="1" ht="15" customHeight="1">
      <c r="A46" s="295" t="s">
        <v>77</v>
      </c>
      <c r="B46" s="319" t="s">
        <v>538</v>
      </c>
      <c r="C46" s="37"/>
      <c r="D46" s="37"/>
      <c r="E46" s="37"/>
      <c r="F46" s="37"/>
      <c r="G46" s="317"/>
      <c r="H46" s="2"/>
      <c r="I46" s="2"/>
      <c r="P46" s="2"/>
      <c r="Q46" s="4"/>
      <c r="R46" s="2"/>
      <c r="S46" s="2"/>
    </row>
    <row r="47" spans="1:19" s="16" customFormat="1" ht="27.6" customHeight="1">
      <c r="A47" s="295" t="s">
        <v>78</v>
      </c>
      <c r="B47" s="954" t="s">
        <v>1265</v>
      </c>
      <c r="C47" s="954"/>
      <c r="D47" s="954"/>
      <c r="E47" s="954"/>
      <c r="F47" s="954"/>
      <c r="G47" s="954"/>
      <c r="H47" s="954"/>
      <c r="I47" s="954"/>
      <c r="J47" s="954"/>
      <c r="K47" s="954"/>
      <c r="L47" s="954"/>
      <c r="M47" s="954"/>
      <c r="N47" s="954"/>
      <c r="O47" s="954"/>
      <c r="P47" s="2"/>
      <c r="Q47" s="4"/>
      <c r="R47" s="2"/>
      <c r="S47" s="2"/>
    </row>
    <row r="48" spans="1:19" ht="15" customHeight="1">
      <c r="A48" s="295" t="s">
        <v>79</v>
      </c>
      <c r="B48" s="319" t="s">
        <v>797</v>
      </c>
      <c r="C48" s="37"/>
      <c r="D48" s="37"/>
      <c r="E48" s="37"/>
      <c r="F48" s="37"/>
      <c r="G48" s="317"/>
    </row>
    <row r="49" spans="1:7" ht="15" customHeight="1">
      <c r="A49" s="35"/>
      <c r="B49" s="36"/>
      <c r="C49" s="37"/>
      <c r="D49" s="37"/>
      <c r="E49" s="37"/>
      <c r="F49" s="37"/>
      <c r="G49" s="317"/>
    </row>
    <row r="50" spans="1:7" ht="15" customHeight="1">
      <c r="A50" s="35"/>
      <c r="B50" s="36"/>
      <c r="C50" s="37"/>
      <c r="D50" s="37"/>
      <c r="E50" s="37"/>
      <c r="F50" s="37"/>
      <c r="G50" s="317"/>
    </row>
    <row r="51" spans="1:7" ht="15" customHeight="1">
      <c r="A51" s="35"/>
      <c r="B51" s="36"/>
      <c r="C51" s="37"/>
      <c r="D51" s="37"/>
      <c r="E51" s="37"/>
      <c r="F51" s="37"/>
      <c r="G51" s="317"/>
    </row>
    <row r="52" spans="1:7" ht="15" customHeight="1">
      <c r="A52" s="35"/>
      <c r="B52" s="36"/>
      <c r="C52" s="37"/>
      <c r="D52" s="37"/>
      <c r="E52" s="37"/>
      <c r="F52" s="37"/>
      <c r="G52" s="317"/>
    </row>
    <row r="53" spans="1:7" ht="15" customHeight="1">
      <c r="A53" s="35"/>
      <c r="B53" s="36"/>
      <c r="C53" s="37"/>
      <c r="D53" s="37"/>
      <c r="E53" s="37"/>
      <c r="F53" s="37"/>
      <c r="G53" s="317"/>
    </row>
    <row r="54" spans="1:7">
      <c r="A54" s="35"/>
      <c r="B54" s="36"/>
      <c r="C54" s="37"/>
      <c r="D54" s="37"/>
      <c r="E54" s="37"/>
      <c r="F54" s="37"/>
      <c r="G54" s="317"/>
    </row>
    <row r="55" spans="1:7">
      <c r="A55" s="35"/>
      <c r="B55" s="36"/>
      <c r="C55" s="37"/>
      <c r="D55" s="37"/>
      <c r="E55" s="37"/>
      <c r="F55" s="37"/>
      <c r="G55" s="317"/>
    </row>
    <row r="56" spans="1:7">
      <c r="A56" s="35"/>
      <c r="B56" s="36"/>
      <c r="C56" s="37"/>
      <c r="D56" s="37"/>
      <c r="E56" s="37"/>
      <c r="F56" s="37"/>
      <c r="G56" s="317"/>
    </row>
    <row r="57" spans="1:7">
      <c r="A57" s="35"/>
      <c r="B57" s="36"/>
      <c r="C57" s="37"/>
      <c r="D57" s="37"/>
      <c r="E57" s="37"/>
      <c r="F57" s="37"/>
      <c r="G57" s="317"/>
    </row>
    <row r="58" spans="1:7">
      <c r="A58" s="35"/>
      <c r="B58" s="36"/>
      <c r="C58" s="37"/>
      <c r="D58" s="37"/>
      <c r="E58" s="37"/>
      <c r="F58" s="37"/>
      <c r="G58" s="317"/>
    </row>
    <row r="59" spans="1:7">
      <c r="A59" s="35"/>
      <c r="B59" s="36"/>
      <c r="C59" s="37"/>
      <c r="D59" s="37"/>
      <c r="E59" s="37"/>
      <c r="F59" s="37"/>
      <c r="G59" s="317"/>
    </row>
    <row r="60" spans="1:7">
      <c r="A60" s="35"/>
      <c r="B60" s="36"/>
      <c r="C60" s="37"/>
      <c r="D60" s="37"/>
      <c r="E60" s="37"/>
      <c r="F60" s="37"/>
      <c r="G60" s="317"/>
    </row>
    <row r="61" spans="1:7">
      <c r="A61" s="35"/>
      <c r="B61" s="36"/>
      <c r="C61" s="37"/>
      <c r="D61" s="37"/>
      <c r="E61" s="37"/>
      <c r="F61" s="37"/>
      <c r="G61" s="317"/>
    </row>
    <row r="62" spans="1:7">
      <c r="A62" s="35"/>
      <c r="B62" s="36"/>
      <c r="C62" s="37"/>
      <c r="D62" s="37"/>
      <c r="E62" s="37"/>
      <c r="F62" s="37"/>
      <c r="G62" s="317"/>
    </row>
    <row r="63" spans="1:7">
      <c r="A63" s="35"/>
      <c r="B63" s="36"/>
      <c r="C63" s="37"/>
      <c r="D63" s="37"/>
      <c r="E63" s="37"/>
      <c r="F63" s="37"/>
      <c r="G63" s="317"/>
    </row>
    <row r="64" spans="1:7">
      <c r="A64" s="35"/>
      <c r="B64" s="36"/>
      <c r="C64" s="37"/>
      <c r="D64" s="37"/>
      <c r="E64" s="37"/>
      <c r="F64" s="37"/>
      <c r="G64" s="317"/>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279"/>
      <c r="K123" s="279"/>
    </row>
    <row r="124" spans="1:17" ht="15" customHeight="1">
      <c r="J124" s="279"/>
      <c r="K124" s="279"/>
      <c r="L124" s="6"/>
    </row>
    <row r="125" spans="1:17" ht="30.75" customHeight="1">
      <c r="J125" s="38"/>
      <c r="K125" s="38"/>
    </row>
    <row r="126" spans="1:17">
      <c r="J126" s="38"/>
      <c r="K126" s="38"/>
    </row>
    <row r="127" spans="1:17">
      <c r="J127" s="39"/>
      <c r="K127" s="39"/>
      <c r="L127" s="39"/>
      <c r="M127" s="39"/>
    </row>
    <row r="129" spans="10:14" ht="30.75" customHeight="1">
      <c r="J129" s="280"/>
      <c r="K129" s="280"/>
      <c r="L129" s="280"/>
      <c r="M129" s="280"/>
      <c r="N129" s="280"/>
    </row>
    <row r="130" spans="10:14" ht="15" customHeight="1">
      <c r="J130" s="280"/>
      <c r="K130" s="280"/>
    </row>
    <row r="131" spans="10:14" ht="82.5" customHeight="1">
      <c r="J131" s="280"/>
      <c r="K131" s="280"/>
      <c r="L131" s="280"/>
      <c r="M131" s="280"/>
      <c r="N131" s="280"/>
    </row>
    <row r="132" spans="10:14" ht="15" customHeight="1">
      <c r="J132" s="41"/>
      <c r="K132" s="41"/>
    </row>
    <row r="133" spans="10:14">
      <c r="J133" s="41"/>
      <c r="K133" s="41"/>
    </row>
    <row r="134" spans="10:14" ht="69.75" customHeight="1">
      <c r="J134" s="41"/>
      <c r="K134" s="41"/>
    </row>
  </sheetData>
  <mergeCells count="5">
    <mergeCell ref="C14:F14"/>
    <mergeCell ref="A1:O1"/>
    <mergeCell ref="A2:O2"/>
    <mergeCell ref="A3:O3"/>
    <mergeCell ref="B47:O47"/>
  </mergeCells>
  <pageMargins left="0.5" right="0.25" top="1" bottom="1" header="0.5" footer="0.5"/>
  <pageSetup scale="58" fitToHeight="2" orientation="portrait" r:id="rId1"/>
  <headerFooter alignWithMargins="0">
    <oddHeader xml:space="preserve">&amp;C&amp;"Times New Roman,Regular"&amp;KFF0000CUI//PRIV&amp;K000000
FOR SETTLEMENT PURPOSES ONLY 
SUBJECT TO RULES 602 AND 606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K25"/>
  <sheetViews>
    <sheetView zoomScale="80" zoomScaleNormal="80" workbookViewId="0">
      <selection activeCell="M12" sqref="M12"/>
    </sheetView>
  </sheetViews>
  <sheetFormatPr defaultColWidth="7.08984375" defaultRowHeight="13.2"/>
  <cols>
    <col min="1" max="1" width="2.08984375" style="190" customWidth="1"/>
    <col min="2" max="2" width="4.6328125" style="190" customWidth="1"/>
    <col min="3" max="3" width="17.453125" style="190" customWidth="1"/>
    <col min="4" max="4" width="36.6328125" style="190" bestFit="1" customWidth="1"/>
    <col min="5" max="5" width="10.453125" style="190" customWidth="1"/>
    <col min="6" max="6" width="7.1796875" style="190" customWidth="1"/>
    <col min="7" max="7" width="7.54296875" style="190" customWidth="1"/>
    <col min="8" max="8" width="9.1796875" style="205"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9" ht="14.25" customHeight="1">
      <c r="A1" s="925" t="s">
        <v>757</v>
      </c>
      <c r="B1" s="925"/>
      <c r="C1" s="925"/>
      <c r="D1" s="925"/>
      <c r="E1" s="925"/>
      <c r="F1" s="925"/>
      <c r="G1" s="925"/>
      <c r="H1" s="925"/>
    </row>
    <row r="2" spans="1:9">
      <c r="A2" s="925" t="s">
        <v>722</v>
      </c>
      <c r="B2" s="925"/>
      <c r="C2" s="925"/>
      <c r="D2" s="925"/>
      <c r="E2" s="925"/>
      <c r="F2" s="925"/>
      <c r="G2" s="925"/>
      <c r="H2" s="925"/>
    </row>
    <row r="3" spans="1:9">
      <c r="A3" s="926" t="str">
        <f>'Act Att-H'!C7</f>
        <v>Black Hills Colorado Electric, LLC</v>
      </c>
      <c r="B3" s="926"/>
      <c r="C3" s="926"/>
      <c r="D3" s="926"/>
      <c r="E3" s="926"/>
      <c r="F3" s="926"/>
      <c r="G3" s="926"/>
      <c r="H3" s="926"/>
    </row>
    <row r="4" spans="1:9">
      <c r="F4" s="2"/>
      <c r="H4" s="192" t="s">
        <v>515</v>
      </c>
    </row>
    <row r="5" spans="1:9">
      <c r="A5" s="206"/>
      <c r="B5" s="206"/>
      <c r="C5" s="206"/>
      <c r="D5" s="206"/>
      <c r="E5" s="206"/>
      <c r="F5" s="206"/>
      <c r="G5" s="206"/>
      <c r="H5" s="206"/>
    </row>
    <row r="6" spans="1:9" ht="60.75" customHeight="1">
      <c r="B6" s="116" t="s">
        <v>4</v>
      </c>
      <c r="C6" s="116" t="s">
        <v>934</v>
      </c>
      <c r="D6" s="116" t="s">
        <v>159</v>
      </c>
      <c r="E6" s="219" t="s">
        <v>949</v>
      </c>
      <c r="F6" s="219" t="s">
        <v>10</v>
      </c>
      <c r="G6" s="219" t="s">
        <v>759</v>
      </c>
      <c r="H6" s="219" t="s">
        <v>760</v>
      </c>
    </row>
    <row r="7" spans="1:9" ht="15" customHeight="1">
      <c r="B7" s="215"/>
      <c r="C7" s="220" t="s">
        <v>138</v>
      </c>
      <c r="D7" s="221" t="s">
        <v>139</v>
      </c>
      <c r="E7" s="221" t="s">
        <v>140</v>
      </c>
      <c r="F7" s="221" t="s">
        <v>141</v>
      </c>
      <c r="G7" s="221" t="s">
        <v>142</v>
      </c>
      <c r="H7" s="221" t="s">
        <v>143</v>
      </c>
    </row>
    <row r="8" spans="1:9" ht="15" customHeight="1">
      <c r="B8" s="393">
        <v>1</v>
      </c>
      <c r="C8" s="894" t="s">
        <v>935</v>
      </c>
      <c r="D8" s="895" t="s">
        <v>936</v>
      </c>
      <c r="E8" s="821"/>
      <c r="F8" s="786" t="s">
        <v>290</v>
      </c>
      <c r="G8" s="787">
        <f>'Act Att-H'!$G$116</f>
        <v>1</v>
      </c>
      <c r="H8" s="788">
        <f t="shared" ref="H8:H11" si="0">G8*E8</f>
        <v>0</v>
      </c>
    </row>
    <row r="9" spans="1:9" ht="30" customHeight="1">
      <c r="B9" s="393">
        <v>2</v>
      </c>
      <c r="C9" s="894" t="s">
        <v>937</v>
      </c>
      <c r="D9" s="895" t="s">
        <v>938</v>
      </c>
      <c r="E9" s="822">
        <v>225167.50999999998</v>
      </c>
      <c r="F9" s="786" t="s">
        <v>11</v>
      </c>
      <c r="G9" s="787">
        <f>'Act Att-H'!$I$175</f>
        <v>0.93495713255492408</v>
      </c>
      <c r="H9" s="789">
        <f t="shared" si="0"/>
        <v>210521.96949413218</v>
      </c>
    </row>
    <row r="10" spans="1:9" ht="30" customHeight="1">
      <c r="B10" s="393">
        <v>3</v>
      </c>
      <c r="C10" s="894" t="s">
        <v>939</v>
      </c>
      <c r="D10" s="895" t="s">
        <v>940</v>
      </c>
      <c r="E10" s="822"/>
      <c r="F10" s="786" t="s">
        <v>35</v>
      </c>
      <c r="G10" s="787">
        <f>'Act Att-H'!$I$184</f>
        <v>0.93495713255492408</v>
      </c>
      <c r="H10" s="789">
        <f t="shared" si="0"/>
        <v>0</v>
      </c>
    </row>
    <row r="11" spans="1:9" ht="30" customHeight="1">
      <c r="B11" s="393">
        <v>4</v>
      </c>
      <c r="C11" s="894" t="s">
        <v>1260</v>
      </c>
      <c r="D11" s="895" t="s">
        <v>1262</v>
      </c>
      <c r="E11" s="822"/>
      <c r="F11" s="786" t="s">
        <v>1255</v>
      </c>
      <c r="G11" s="787">
        <f>'Act Att-H'!$K$196</f>
        <v>0.12201673244143903</v>
      </c>
      <c r="H11" s="789">
        <f t="shared" si="0"/>
        <v>0</v>
      </c>
    </row>
    <row r="12" spans="1:9" ht="30" customHeight="1">
      <c r="B12" s="393">
        <v>5</v>
      </c>
      <c r="C12" s="894" t="s">
        <v>941</v>
      </c>
      <c r="D12" s="895" t="s">
        <v>942</v>
      </c>
      <c r="E12" s="822">
        <v>609189.9</v>
      </c>
      <c r="F12" s="786" t="s">
        <v>31</v>
      </c>
      <c r="G12" s="787">
        <f>'Act Att-H'!$I$192</f>
        <v>0.1248254792149225</v>
      </c>
      <c r="H12" s="789">
        <f t="shared" ref="H12:H15" si="1">G12*E12</f>
        <v>76042.421200390716</v>
      </c>
    </row>
    <row r="13" spans="1:9" ht="30" customHeight="1">
      <c r="B13" s="393">
        <v>6</v>
      </c>
      <c r="C13" s="894" t="s">
        <v>943</v>
      </c>
      <c r="D13" s="895" t="s">
        <v>944</v>
      </c>
      <c r="E13" s="822"/>
      <c r="F13" s="786" t="s">
        <v>36</v>
      </c>
      <c r="G13" s="787">
        <f>'Act Att-H'!$G$50</f>
        <v>0.24147688977503837</v>
      </c>
      <c r="H13" s="789">
        <f t="shared" si="1"/>
        <v>0</v>
      </c>
    </row>
    <row r="14" spans="1:9" ht="30" customHeight="1">
      <c r="B14" s="393">
        <v>7</v>
      </c>
      <c r="C14" s="894" t="s">
        <v>945</v>
      </c>
      <c r="D14" s="895" t="s">
        <v>946</v>
      </c>
      <c r="E14" s="822"/>
      <c r="F14" s="786" t="s">
        <v>950</v>
      </c>
      <c r="G14" s="787">
        <f>'Act Att-H'!$G$66</f>
        <v>0.2898256980764391</v>
      </c>
      <c r="H14" s="789">
        <f t="shared" si="1"/>
        <v>0</v>
      </c>
    </row>
    <row r="15" spans="1:9" ht="60" customHeight="1">
      <c r="B15" s="393">
        <v>8</v>
      </c>
      <c r="C15" s="894" t="s">
        <v>947</v>
      </c>
      <c r="D15" s="895" t="s">
        <v>948</v>
      </c>
      <c r="E15" s="822">
        <v>496397.21000000008</v>
      </c>
      <c r="F15" s="786" t="s">
        <v>27</v>
      </c>
      <c r="G15" s="787">
        <v>0</v>
      </c>
      <c r="H15" s="789">
        <f t="shared" si="1"/>
        <v>0</v>
      </c>
    </row>
    <row r="16" spans="1:9">
      <c r="B16" s="193">
        <v>9</v>
      </c>
      <c r="C16" s="284" t="s">
        <v>9</v>
      </c>
      <c r="D16" s="284" t="s">
        <v>483</v>
      </c>
      <c r="E16" s="406">
        <f>SUM(E8:E15)</f>
        <v>1330754.6200000001</v>
      </c>
      <c r="F16" s="611"/>
      <c r="G16" s="613"/>
      <c r="H16" s="612">
        <f>SUM(H8:H15)</f>
        <v>286564.39069452288</v>
      </c>
      <c r="I16" s="216"/>
    </row>
    <row r="17" spans="2:11">
      <c r="B17" s="193">
        <v>10</v>
      </c>
      <c r="C17" s="190" t="s">
        <v>781</v>
      </c>
      <c r="E17" s="210">
        <f>'A4-Rate Base'!I89</f>
        <v>1330754.6153846155</v>
      </c>
      <c r="F17" s="621"/>
      <c r="G17" s="621"/>
      <c r="H17" s="621"/>
      <c r="I17" s="216"/>
    </row>
    <row r="18" spans="2:11">
      <c r="B18" s="193">
        <v>11</v>
      </c>
      <c r="C18" s="190" t="s">
        <v>782</v>
      </c>
      <c r="E18" s="896">
        <f>E17-E16</f>
        <v>-4.6153846196830273E-3</v>
      </c>
      <c r="F18" s="621"/>
      <c r="G18" s="621"/>
      <c r="H18" s="621"/>
      <c r="I18" s="216"/>
    </row>
    <row r="19" spans="2:11">
      <c r="B19" s="193"/>
      <c r="H19" s="216"/>
    </row>
    <row r="20" spans="2:11">
      <c r="B20" s="193"/>
      <c r="H20" s="216"/>
    </row>
    <row r="21" spans="2:11">
      <c r="B21" s="353" t="s">
        <v>155</v>
      </c>
      <c r="H21" s="216"/>
    </row>
    <row r="22" spans="2:11">
      <c r="B22" s="193" t="s">
        <v>76</v>
      </c>
      <c r="C22" s="190" t="s">
        <v>761</v>
      </c>
      <c r="H22" s="216"/>
    </row>
    <row r="23" spans="2:11" ht="26.25" customHeight="1">
      <c r="B23" s="393" t="s">
        <v>77</v>
      </c>
      <c r="C23" s="950" t="s">
        <v>783</v>
      </c>
      <c r="D23" s="950"/>
      <c r="E23" s="950"/>
      <c r="F23" s="950"/>
      <c r="G23" s="950"/>
      <c r="H23" s="950"/>
      <c r="K23" s="721"/>
    </row>
    <row r="24" spans="2:11">
      <c r="B24" s="193"/>
    </row>
    <row r="25" spans="2:11">
      <c r="B25" s="193"/>
      <c r="C25" s="550"/>
    </row>
  </sheetData>
  <mergeCells count="4">
    <mergeCell ref="A1:H1"/>
    <mergeCell ref="A2:H2"/>
    <mergeCell ref="A3:H3"/>
    <mergeCell ref="C23:H2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O120"/>
  <sheetViews>
    <sheetView topLeftCell="A13" zoomScale="80" zoomScaleNormal="80" workbookViewId="0">
      <selection activeCell="K28" sqref="K28"/>
    </sheetView>
  </sheetViews>
  <sheetFormatPr defaultColWidth="7.08984375" defaultRowHeight="13.2"/>
  <cols>
    <col min="1" max="1" width="5.1796875" style="231" customWidth="1"/>
    <col min="2" max="2" width="5.54296875" style="231" customWidth="1"/>
    <col min="3" max="3" width="5.08984375" style="231" customWidth="1"/>
    <col min="4" max="4" width="12.6328125" style="230" customWidth="1"/>
    <col min="5" max="5" width="28.08984375" style="230" customWidth="1"/>
    <col min="6" max="6" width="12.1796875" style="230" customWidth="1"/>
    <col min="7" max="7" width="13.453125" style="230" bestFit="1" customWidth="1"/>
    <col min="8" max="8" width="19.1796875" style="230" customWidth="1"/>
    <col min="9" max="9" width="4.6328125" style="230" bestFit="1" customWidth="1"/>
    <col min="10" max="10" width="13" style="230" customWidth="1"/>
    <col min="11" max="12" width="12.1796875" style="230" customWidth="1"/>
    <col min="13" max="13" width="11.54296875" style="230" bestFit="1" customWidth="1"/>
    <col min="14" max="14" width="7.1796875" style="230" bestFit="1" customWidth="1"/>
    <col min="15" max="15" width="11.6328125" style="230" bestFit="1" customWidth="1"/>
    <col min="16" max="16384" width="7.08984375" style="230"/>
  </cols>
  <sheetData>
    <row r="1" spans="1:10">
      <c r="A1" s="925" t="s">
        <v>246</v>
      </c>
      <c r="B1" s="925"/>
      <c r="C1" s="925"/>
      <c r="D1" s="925"/>
      <c r="E1" s="925"/>
      <c r="F1" s="925"/>
      <c r="G1" s="925"/>
      <c r="H1" s="925"/>
    </row>
    <row r="2" spans="1:10">
      <c r="A2" s="925" t="s">
        <v>432</v>
      </c>
      <c r="B2" s="925"/>
      <c r="C2" s="925"/>
      <c r="D2" s="925"/>
      <c r="E2" s="925"/>
      <c r="F2" s="925"/>
      <c r="G2" s="925"/>
      <c r="H2" s="925"/>
    </row>
    <row r="3" spans="1:10">
      <c r="A3" s="926" t="str">
        <f>'Act Att-H'!C7</f>
        <v>Black Hills Colorado Electric, LLC</v>
      </c>
      <c r="B3" s="926"/>
      <c r="C3" s="926"/>
      <c r="D3" s="926"/>
      <c r="E3" s="926"/>
      <c r="F3" s="926"/>
      <c r="G3" s="926"/>
      <c r="H3" s="926"/>
    </row>
    <row r="4" spans="1:10">
      <c r="H4" s="232" t="s">
        <v>515</v>
      </c>
    </row>
    <row r="5" spans="1:10">
      <c r="A5" s="233" t="s">
        <v>217</v>
      </c>
    </row>
    <row r="6" spans="1:10">
      <c r="A6" s="610" t="s">
        <v>218</v>
      </c>
      <c r="B6" s="610" t="s">
        <v>219</v>
      </c>
      <c r="C6" s="610" t="s">
        <v>220</v>
      </c>
      <c r="D6" s="610" t="s">
        <v>221</v>
      </c>
      <c r="E6" s="231"/>
    </row>
    <row r="7" spans="1:10">
      <c r="A7" s="231">
        <v>1</v>
      </c>
      <c r="B7" s="231" t="s">
        <v>222</v>
      </c>
      <c r="C7" s="231" t="s">
        <v>223</v>
      </c>
      <c r="D7" s="234" t="s">
        <v>914</v>
      </c>
      <c r="E7" s="234"/>
    </row>
    <row r="8" spans="1:10">
      <c r="A8" s="231">
        <f>A7+1</f>
        <v>2</v>
      </c>
      <c r="B8" s="231" t="s">
        <v>222</v>
      </c>
      <c r="C8" s="231" t="s">
        <v>223</v>
      </c>
      <c r="D8" s="234" t="s">
        <v>224</v>
      </c>
      <c r="E8" s="234"/>
    </row>
    <row r="9" spans="1:10">
      <c r="A9" s="231">
        <f t="shared" ref="A9:A17" si="0">A8+1</f>
        <v>3</v>
      </c>
      <c r="B9" s="235" t="s">
        <v>225</v>
      </c>
      <c r="C9" s="231" t="s">
        <v>226</v>
      </c>
      <c r="D9" s="234" t="s">
        <v>227</v>
      </c>
      <c r="E9" s="234"/>
    </row>
    <row r="10" spans="1:10">
      <c r="A10" s="231">
        <f t="shared" si="0"/>
        <v>4</v>
      </c>
      <c r="B10" s="231" t="str">
        <f>+B7</f>
        <v>Oct</v>
      </c>
      <c r="C10" s="231" t="s">
        <v>226</v>
      </c>
      <c r="D10" s="234" t="s">
        <v>915</v>
      </c>
      <c r="E10" s="234"/>
    </row>
    <row r="11" spans="1:10">
      <c r="A11" s="231">
        <f t="shared" si="0"/>
        <v>5</v>
      </c>
      <c r="B11" s="231" t="s">
        <v>222</v>
      </c>
      <c r="C11" s="231" t="str">
        <f>C10</f>
        <v>Year 1</v>
      </c>
      <c r="D11" s="234" t="s">
        <v>228</v>
      </c>
      <c r="E11" s="234"/>
    </row>
    <row r="12" spans="1:10">
      <c r="A12" s="231">
        <f t="shared" si="0"/>
        <v>6</v>
      </c>
      <c r="B12" s="231" t="s">
        <v>225</v>
      </c>
      <c r="C12" s="231" t="s">
        <v>229</v>
      </c>
      <c r="D12" s="234" t="s">
        <v>230</v>
      </c>
      <c r="E12" s="234"/>
    </row>
    <row r="13" spans="1:10">
      <c r="A13" s="231">
        <f t="shared" si="0"/>
        <v>7</v>
      </c>
      <c r="B13" s="231" t="s">
        <v>231</v>
      </c>
      <c r="C13" s="231" t="s">
        <v>229</v>
      </c>
      <c r="D13" s="234" t="s">
        <v>916</v>
      </c>
      <c r="E13" s="236"/>
      <c r="F13" s="237"/>
      <c r="G13" s="237"/>
      <c r="H13" s="237"/>
      <c r="I13" s="237"/>
      <c r="J13" s="237"/>
    </row>
    <row r="14" spans="1:10">
      <c r="A14" s="231">
        <f t="shared" si="0"/>
        <v>8</v>
      </c>
      <c r="B14" s="231" t="s">
        <v>231</v>
      </c>
      <c r="C14" s="231" t="s">
        <v>229</v>
      </c>
      <c r="D14" s="234" t="s">
        <v>232</v>
      </c>
      <c r="E14" s="234"/>
    </row>
    <row r="15" spans="1:10">
      <c r="A15" s="231">
        <f t="shared" si="0"/>
        <v>9</v>
      </c>
      <c r="B15" s="231" t="s">
        <v>231</v>
      </c>
      <c r="C15" s="231" t="s">
        <v>229</v>
      </c>
      <c r="D15" s="234" t="s">
        <v>233</v>
      </c>
    </row>
    <row r="16" spans="1:10">
      <c r="A16" s="231">
        <f t="shared" si="0"/>
        <v>10</v>
      </c>
      <c r="B16" s="231" t="s">
        <v>222</v>
      </c>
      <c r="C16" s="231" t="s">
        <v>229</v>
      </c>
      <c r="D16" s="234" t="s">
        <v>1236</v>
      </c>
      <c r="E16" s="234"/>
    </row>
    <row r="17" spans="1:15">
      <c r="A17" s="231">
        <f t="shared" si="0"/>
        <v>11</v>
      </c>
      <c r="B17" s="231" t="s">
        <v>222</v>
      </c>
      <c r="C17" s="231" t="s">
        <v>229</v>
      </c>
      <c r="D17" s="234" t="s">
        <v>234</v>
      </c>
      <c r="E17" s="234"/>
    </row>
    <row r="18" spans="1:15">
      <c r="A18" s="230"/>
      <c r="B18" s="230"/>
      <c r="C18" s="230"/>
      <c r="E18" s="234"/>
    </row>
    <row r="19" spans="1:15">
      <c r="A19" s="230"/>
      <c r="B19" s="233" t="s">
        <v>610</v>
      </c>
    </row>
    <row r="20" spans="1:15" ht="12.75" customHeight="1" thickBot="1">
      <c r="A20" s="231">
        <f>A17+1</f>
        <v>12</v>
      </c>
      <c r="D20" s="237"/>
      <c r="E20" s="237"/>
      <c r="F20" s="237"/>
      <c r="H20" s="238" t="s">
        <v>235</v>
      </c>
      <c r="M20" s="239"/>
      <c r="N20" s="239"/>
      <c r="O20" s="239"/>
    </row>
    <row r="21" spans="1:15" ht="12.75" customHeight="1">
      <c r="A21" s="231">
        <f>A20+1</f>
        <v>13</v>
      </c>
      <c r="C21" s="230" t="s">
        <v>236</v>
      </c>
      <c r="E21" s="237"/>
      <c r="F21" s="897"/>
      <c r="H21" s="405">
        <v>30908414.059271589</v>
      </c>
      <c r="M21" s="241"/>
      <c r="N21" s="241"/>
      <c r="O21" s="241"/>
    </row>
    <row r="22" spans="1:15">
      <c r="A22" s="231">
        <f t="shared" ref="A22:A23" si="1">A21+1</f>
        <v>14</v>
      </c>
      <c r="B22" s="242"/>
      <c r="C22" s="230" t="s">
        <v>619</v>
      </c>
      <c r="F22" s="240"/>
      <c r="H22" s="405">
        <v>31978398</v>
      </c>
      <c r="M22" s="243"/>
      <c r="N22" s="243"/>
      <c r="O22" s="243"/>
    </row>
    <row r="23" spans="1:15">
      <c r="A23" s="231">
        <f t="shared" si="1"/>
        <v>15</v>
      </c>
      <c r="C23" s="230" t="s">
        <v>764</v>
      </c>
      <c r="F23" s="244" t="s">
        <v>598</v>
      </c>
      <c r="H23" s="373">
        <f>+H21-H22</f>
        <v>-1069983.9407284111</v>
      </c>
      <c r="M23" s="239"/>
      <c r="N23" s="239"/>
      <c r="O23" s="239"/>
    </row>
    <row r="24" spans="1:15">
      <c r="F24" s="244"/>
    </row>
    <row r="25" spans="1:15">
      <c r="A25" s="230"/>
      <c r="B25" s="233" t="s">
        <v>611</v>
      </c>
    </row>
    <row r="26" spans="1:15" ht="12.75" customHeight="1" thickBot="1">
      <c r="A26" s="231">
        <f>A23+1</f>
        <v>16</v>
      </c>
      <c r="D26" s="237"/>
      <c r="E26" s="237"/>
      <c r="F26" s="237"/>
      <c r="H26" s="238" t="s">
        <v>235</v>
      </c>
      <c r="M26" s="239"/>
      <c r="N26" s="239"/>
      <c r="O26" s="239"/>
    </row>
    <row r="27" spans="1:15">
      <c r="A27" s="231">
        <f>A26+1</f>
        <v>17</v>
      </c>
      <c r="C27" s="230" t="s">
        <v>614</v>
      </c>
      <c r="E27" s="237"/>
      <c r="F27" s="897"/>
      <c r="H27" s="505">
        <v>379000</v>
      </c>
      <c r="I27" s="230" t="s">
        <v>613</v>
      </c>
      <c r="M27" s="241"/>
      <c r="N27" s="241"/>
      <c r="O27" s="241"/>
    </row>
    <row r="28" spans="1:15">
      <c r="A28" s="231">
        <f t="shared" ref="A28:A33" si="2">A27+1</f>
        <v>18</v>
      </c>
      <c r="B28" s="242"/>
      <c r="C28" s="230" t="s">
        <v>620</v>
      </c>
      <c r="F28" s="240"/>
      <c r="H28" s="505">
        <v>390969.88224637677</v>
      </c>
      <c r="I28" s="230" t="s">
        <v>613</v>
      </c>
      <c r="M28" s="243"/>
      <c r="N28" s="243"/>
      <c r="O28" s="243"/>
    </row>
    <row r="29" spans="1:15">
      <c r="A29" s="231">
        <f t="shared" si="2"/>
        <v>19</v>
      </c>
      <c r="C29" s="230" t="s">
        <v>707</v>
      </c>
      <c r="F29" s="244" t="s">
        <v>618</v>
      </c>
      <c r="H29" s="506">
        <f>H28-H27</f>
        <v>11969.882246376772</v>
      </c>
      <c r="I29" s="237" t="s">
        <v>613</v>
      </c>
      <c r="M29" s="239"/>
      <c r="N29" s="239"/>
      <c r="O29" s="239"/>
    </row>
    <row r="30" spans="1:15" ht="12.75" customHeight="1">
      <c r="A30" s="231">
        <f t="shared" si="2"/>
        <v>20</v>
      </c>
      <c r="C30" s="230"/>
      <c r="D30" s="237"/>
      <c r="E30" s="237"/>
      <c r="F30" s="244"/>
      <c r="H30" s="507"/>
      <c r="I30" s="237"/>
      <c r="M30" s="239"/>
      <c r="N30" s="239"/>
      <c r="O30" s="239"/>
    </row>
    <row r="31" spans="1:15">
      <c r="A31" s="231">
        <f t="shared" si="2"/>
        <v>21</v>
      </c>
      <c r="C31" s="230" t="s">
        <v>621</v>
      </c>
      <c r="E31" s="237"/>
      <c r="F31" s="244" t="s">
        <v>615</v>
      </c>
      <c r="H31" s="507">
        <f>IF(H28=0,0,ROUND(H22/H28,6))</f>
        <v>81.792484000000002</v>
      </c>
      <c r="I31" s="237" t="s">
        <v>616</v>
      </c>
      <c r="M31" s="241"/>
      <c r="N31" s="241"/>
      <c r="O31" s="241"/>
    </row>
    <row r="32" spans="1:15">
      <c r="A32" s="231">
        <f t="shared" si="2"/>
        <v>22</v>
      </c>
      <c r="B32" s="242"/>
      <c r="C32" s="230" t="s">
        <v>612</v>
      </c>
      <c r="F32" s="244" t="s">
        <v>626</v>
      </c>
      <c r="H32" s="373">
        <f>H29*H31</f>
        <v>979046.4021186562</v>
      </c>
      <c r="I32" s="237"/>
      <c r="M32" s="243"/>
      <c r="N32" s="243"/>
      <c r="O32" s="243"/>
    </row>
    <row r="33" spans="1:15">
      <c r="A33" s="231">
        <f t="shared" si="2"/>
        <v>23</v>
      </c>
      <c r="C33" s="230"/>
      <c r="F33" s="244"/>
      <c r="H33" s="504"/>
      <c r="I33" s="237"/>
      <c r="M33" s="239"/>
      <c r="N33" s="239"/>
      <c r="O33" s="239"/>
    </row>
    <row r="34" spans="1:15">
      <c r="B34" s="233" t="s">
        <v>754</v>
      </c>
      <c r="C34" s="230"/>
      <c r="F34" s="244"/>
      <c r="H34" s="504"/>
      <c r="I34" s="237"/>
      <c r="M34" s="239"/>
      <c r="N34" s="239"/>
      <c r="O34" s="239"/>
    </row>
    <row r="35" spans="1:15">
      <c r="A35" s="231" t="s">
        <v>292</v>
      </c>
      <c r="C35" s="230" t="s">
        <v>756</v>
      </c>
      <c r="F35" s="244"/>
      <c r="H35" s="405">
        <v>0</v>
      </c>
      <c r="I35" s="237"/>
      <c r="M35" s="239"/>
      <c r="N35" s="239"/>
      <c r="O35" s="239"/>
    </row>
    <row r="36" spans="1:15">
      <c r="C36" s="230"/>
      <c r="F36" s="244"/>
      <c r="H36" s="504"/>
      <c r="I36" s="237"/>
      <c r="M36" s="239"/>
      <c r="N36" s="239"/>
      <c r="O36" s="239"/>
    </row>
    <row r="37" spans="1:15">
      <c r="A37" s="231">
        <f>A33+1</f>
        <v>24</v>
      </c>
      <c r="B37" s="230" t="s">
        <v>708</v>
      </c>
      <c r="C37" s="230"/>
      <c r="D37" s="234"/>
      <c r="E37" s="231"/>
      <c r="F37" s="237" t="s">
        <v>755</v>
      </c>
      <c r="G37" s="237"/>
      <c r="H37" s="508">
        <f>H23+H32+H35</f>
        <v>-90937.538609754876</v>
      </c>
      <c r="I37" s="237"/>
      <c r="J37" s="889"/>
      <c r="K37" s="237"/>
    </row>
    <row r="38" spans="1:15">
      <c r="C38" s="230"/>
      <c r="D38" s="234"/>
      <c r="E38" s="231"/>
      <c r="F38" s="237"/>
      <c r="G38" s="237"/>
      <c r="H38" s="237"/>
      <c r="I38" s="237"/>
      <c r="J38" s="889"/>
      <c r="K38" s="237"/>
    </row>
    <row r="39" spans="1:15">
      <c r="C39" s="240"/>
      <c r="D39" s="231"/>
      <c r="E39" s="234"/>
      <c r="G39" s="231"/>
      <c r="H39" s="245"/>
      <c r="I39" s="234"/>
      <c r="J39" s="245"/>
    </row>
    <row r="40" spans="1:15">
      <c r="A40" s="231" t="s">
        <v>172</v>
      </c>
    </row>
    <row r="41" spans="1:15" s="617" customFormat="1" ht="15.75" customHeight="1">
      <c r="A41" s="246" t="s">
        <v>76</v>
      </c>
      <c r="B41" s="956" t="s">
        <v>1247</v>
      </c>
      <c r="C41" s="956"/>
      <c r="D41" s="956"/>
      <c r="E41" s="956"/>
      <c r="F41" s="956"/>
      <c r="G41" s="956"/>
      <c r="H41" s="956"/>
    </row>
    <row r="42" spans="1:15" s="617" customFormat="1">
      <c r="A42" s="246" t="s">
        <v>77</v>
      </c>
      <c r="B42" s="956" t="s">
        <v>1247</v>
      </c>
      <c r="C42" s="956"/>
      <c r="D42" s="956"/>
      <c r="E42" s="956"/>
      <c r="F42" s="956"/>
      <c r="G42" s="956"/>
      <c r="H42" s="956"/>
    </row>
    <row r="43" spans="1:15" s="617" customFormat="1">
      <c r="A43" s="246" t="s">
        <v>78</v>
      </c>
      <c r="B43" s="956" t="s">
        <v>1247</v>
      </c>
      <c r="C43" s="956"/>
      <c r="D43" s="956"/>
      <c r="E43" s="956"/>
      <c r="F43" s="956"/>
      <c r="G43" s="956"/>
      <c r="H43" s="956"/>
    </row>
    <row r="44" spans="1:15" s="617" customFormat="1" ht="13.2" customHeight="1">
      <c r="A44" s="246" t="s">
        <v>79</v>
      </c>
      <c r="B44" s="956" t="s">
        <v>1247</v>
      </c>
      <c r="C44" s="956"/>
      <c r="D44" s="956"/>
      <c r="E44" s="956"/>
      <c r="F44" s="956"/>
      <c r="G44" s="956"/>
      <c r="H44" s="956"/>
    </row>
    <row r="45" spans="1:15" s="617" customFormat="1" ht="14.25" customHeight="1">
      <c r="A45" s="246" t="s">
        <v>80</v>
      </c>
      <c r="B45" s="956" t="s">
        <v>1248</v>
      </c>
      <c r="C45" s="956"/>
      <c r="D45" s="956"/>
      <c r="E45" s="956"/>
      <c r="F45" s="956"/>
      <c r="G45" s="956"/>
      <c r="H45" s="956"/>
    </row>
    <row r="46" spans="1:15" s="617" customFormat="1" ht="122.4" customHeight="1">
      <c r="A46" s="246" t="s">
        <v>81</v>
      </c>
      <c r="B46" s="955" t="s">
        <v>1249</v>
      </c>
      <c r="C46" s="955"/>
      <c r="D46" s="955"/>
      <c r="E46" s="955"/>
      <c r="F46" s="955"/>
      <c r="G46" s="955"/>
      <c r="H46" s="955"/>
    </row>
    <row r="47" spans="1:15">
      <c r="B47" s="230"/>
    </row>
    <row r="97" spans="3:7" ht="15.6">
      <c r="C97" s="247"/>
      <c r="D97" s="248"/>
      <c r="E97" s="248"/>
      <c r="F97" s="248"/>
      <c r="G97" s="248"/>
    </row>
    <row r="98" spans="3:7" ht="99.75" customHeight="1">
      <c r="C98" s="247"/>
      <c r="D98" s="248"/>
      <c r="E98" s="248"/>
      <c r="F98" s="248"/>
      <c r="G98" s="248"/>
    </row>
    <row r="99" spans="3:7" ht="15.6">
      <c r="C99" s="247"/>
      <c r="D99" s="248"/>
      <c r="E99" s="248"/>
      <c r="F99" s="248"/>
      <c r="G99" s="248"/>
    </row>
    <row r="100" spans="3:7" ht="15.6">
      <c r="C100" s="247"/>
      <c r="D100" s="248"/>
      <c r="E100" s="248"/>
      <c r="F100" s="248"/>
      <c r="G100" s="248"/>
    </row>
    <row r="101" spans="3:7" ht="15.6">
      <c r="C101" s="247"/>
      <c r="D101" s="248"/>
      <c r="E101" s="248"/>
      <c r="F101" s="248"/>
      <c r="G101" s="248"/>
    </row>
    <row r="102" spans="3:7" ht="15.6">
      <c r="C102" s="247"/>
      <c r="D102" s="248"/>
      <c r="E102" s="248"/>
      <c r="F102" s="248"/>
      <c r="G102" s="248"/>
    </row>
    <row r="103" spans="3:7" ht="15.6">
      <c r="C103" s="247"/>
      <c r="D103" s="248"/>
      <c r="E103" s="248"/>
      <c r="F103" s="248"/>
      <c r="G103" s="248"/>
    </row>
    <row r="104" spans="3:7" ht="15.6">
      <c r="C104" s="247"/>
      <c r="D104" s="248"/>
      <c r="E104" s="248"/>
      <c r="F104" s="248"/>
      <c r="G104" s="248"/>
    </row>
    <row r="105" spans="3:7" ht="15.6">
      <c r="C105" s="247"/>
      <c r="D105" s="248"/>
      <c r="E105" s="248"/>
      <c r="F105" s="248"/>
      <c r="G105" s="248"/>
    </row>
    <row r="106" spans="3:7" ht="15.6">
      <c r="C106" s="247"/>
      <c r="D106" s="248"/>
      <c r="E106" s="248"/>
      <c r="F106" s="248"/>
      <c r="G106" s="248"/>
    </row>
    <row r="107" spans="3:7" ht="15.6">
      <c r="C107" s="247"/>
      <c r="D107" s="248"/>
      <c r="E107" s="248"/>
      <c r="F107" s="248"/>
      <c r="G107" s="248"/>
    </row>
    <row r="108" spans="3:7" ht="15.6">
      <c r="C108" s="247"/>
      <c r="D108" s="248"/>
      <c r="E108" s="248"/>
      <c r="F108" s="248"/>
      <c r="G108" s="248"/>
    </row>
    <row r="109" spans="3:7" ht="15.6">
      <c r="C109" s="247"/>
      <c r="D109" s="248"/>
      <c r="E109" s="248"/>
      <c r="F109" s="248"/>
      <c r="G109" s="248"/>
    </row>
    <row r="110" spans="3:7" ht="15.6">
      <c r="C110" s="247"/>
      <c r="D110" s="248"/>
      <c r="E110" s="248"/>
      <c r="F110" s="248"/>
      <c r="G110" s="248"/>
    </row>
    <row r="111" spans="3:7" ht="15.6">
      <c r="C111" s="247"/>
      <c r="D111" s="248"/>
      <c r="E111" s="248"/>
      <c r="F111" s="248"/>
      <c r="G111" s="248"/>
    </row>
    <row r="112" spans="3:7" ht="15.6">
      <c r="C112" s="247"/>
      <c r="D112" s="248"/>
      <c r="E112" s="248"/>
      <c r="F112" s="248"/>
      <c r="G112" s="248"/>
    </row>
    <row r="113" spans="3:7" ht="15.6">
      <c r="C113" s="247"/>
      <c r="D113" s="248"/>
      <c r="E113" s="248"/>
      <c r="F113" s="248"/>
      <c r="G113" s="248"/>
    </row>
    <row r="114" spans="3:7" ht="15.6">
      <c r="C114" s="247"/>
      <c r="D114" s="248"/>
      <c r="E114" s="248"/>
      <c r="F114" s="248"/>
      <c r="G114" s="248"/>
    </row>
    <row r="115" spans="3:7" ht="15.6">
      <c r="C115" s="247"/>
      <c r="D115" s="248"/>
      <c r="E115" s="248"/>
      <c r="F115" s="248"/>
      <c r="G115" s="248"/>
    </row>
    <row r="116" spans="3:7" ht="15.6">
      <c r="C116" s="247"/>
      <c r="D116" s="248"/>
      <c r="E116" s="248"/>
      <c r="F116" s="248"/>
      <c r="G116" s="248"/>
    </row>
    <row r="117" spans="3:7" ht="15.6">
      <c r="C117" s="247"/>
      <c r="D117" s="248"/>
      <c r="E117" s="248"/>
      <c r="F117" s="248"/>
      <c r="G117" s="248"/>
    </row>
    <row r="118" spans="3:7" ht="15.6">
      <c r="C118" s="247"/>
      <c r="D118" s="248"/>
      <c r="E118" s="248"/>
      <c r="F118" s="248"/>
      <c r="G118" s="248"/>
    </row>
    <row r="119" spans="3:7" ht="40.5" customHeight="1">
      <c r="C119" s="247"/>
      <c r="D119" s="248"/>
      <c r="E119" s="248"/>
      <c r="F119" s="248"/>
      <c r="G119" s="248"/>
    </row>
    <row r="120" spans="3:7" ht="15.6">
      <c r="C120" s="247"/>
      <c r="D120" s="248"/>
      <c r="E120" s="248"/>
      <c r="F120" s="248"/>
      <c r="G120" s="248"/>
    </row>
  </sheetData>
  <mergeCells count="9">
    <mergeCell ref="B46:H46"/>
    <mergeCell ref="B43:H43"/>
    <mergeCell ref="B44:H44"/>
    <mergeCell ref="B45:H45"/>
    <mergeCell ref="A1:H1"/>
    <mergeCell ref="A2:H2"/>
    <mergeCell ref="A3:H3"/>
    <mergeCell ref="B41:H41"/>
    <mergeCell ref="B42:H42"/>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60"/>
  <sheetViews>
    <sheetView topLeftCell="A146" zoomScale="80" zoomScaleNormal="80" workbookViewId="0">
      <selection activeCell="I166" sqref="I166"/>
    </sheetView>
  </sheetViews>
  <sheetFormatPr defaultColWidth="8.6328125" defaultRowHeight="13.2"/>
  <cols>
    <col min="1" max="1" width="4.1796875" style="93" customWidth="1"/>
    <col min="2" max="2" width="47.90625" style="93" customWidth="1"/>
    <col min="3" max="3" width="39.08984375" style="93" customWidth="1"/>
    <col min="4" max="4" width="17.08984375" style="93" bestFit="1" customWidth="1"/>
    <col min="5" max="5" width="4.08984375" style="93" customWidth="1"/>
    <col min="6" max="6" width="3.81640625" style="93" customWidth="1"/>
    <col min="7" max="7" width="7.90625" style="93" customWidth="1"/>
    <col min="8" max="8" width="3.6328125" style="93" bestFit="1" customWidth="1"/>
    <col min="9" max="9" width="12.453125" style="93" customWidth="1"/>
    <col min="10" max="10" width="1.453125" style="93" customWidth="1"/>
    <col min="11" max="11" width="7.90625" style="93" customWidth="1"/>
    <col min="12" max="12" width="10.08984375" style="93" bestFit="1" customWidth="1"/>
    <col min="13" max="14" width="10.6328125" style="93" customWidth="1"/>
    <col min="15" max="16" width="8.6328125" style="93"/>
    <col min="17" max="17" width="10.1796875" style="93" customWidth="1"/>
    <col min="18" max="18" width="8.6328125" style="93"/>
    <col min="19" max="19" width="10.1796875" style="93" customWidth="1"/>
    <col min="20" max="16384" width="8.6328125" style="93"/>
  </cols>
  <sheetData>
    <row r="1" spans="1:11">
      <c r="B1" s="62"/>
      <c r="C1" s="62"/>
      <c r="D1" s="94"/>
      <c r="E1" s="62"/>
      <c r="F1" s="62"/>
      <c r="G1" s="62"/>
      <c r="H1" s="62"/>
      <c r="I1" s="912" t="s">
        <v>370</v>
      </c>
      <c r="J1" s="912"/>
      <c r="K1" s="912"/>
    </row>
    <row r="2" spans="1:11">
      <c r="B2" s="62"/>
      <c r="C2" s="62"/>
      <c r="D2" s="94"/>
      <c r="E2" s="62"/>
      <c r="F2" s="62"/>
      <c r="G2" s="62"/>
      <c r="H2" s="62"/>
      <c r="I2" s="62"/>
      <c r="J2" s="911" t="s">
        <v>193</v>
      </c>
      <c r="K2" s="911"/>
    </row>
    <row r="3" spans="1:11">
      <c r="B3" s="62"/>
      <c r="C3" s="62"/>
      <c r="D3" s="94"/>
      <c r="E3" s="62"/>
      <c r="F3" s="62"/>
      <c r="G3" s="62"/>
      <c r="H3" s="62"/>
      <c r="I3" s="62"/>
      <c r="J3" s="62"/>
      <c r="K3" s="95"/>
    </row>
    <row r="4" spans="1:11">
      <c r="B4" s="94" t="s">
        <v>0</v>
      </c>
      <c r="C4" s="68" t="s">
        <v>112</v>
      </c>
      <c r="E4" s="62"/>
      <c r="F4" s="62"/>
      <c r="G4" s="62"/>
      <c r="H4" s="62"/>
      <c r="I4" s="62"/>
      <c r="J4" s="62"/>
      <c r="K4" s="96" t="s">
        <v>1263</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912</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'Proj Att-H'!I151</f>
        <v>38867273.045042992</v>
      </c>
      <c r="J10" s="62"/>
      <c r="K10" s="62"/>
    </row>
    <row r="11" spans="1:11">
      <c r="A11" s="68"/>
      <c r="B11" s="62"/>
      <c r="C11" s="62"/>
      <c r="D11" s="62"/>
      <c r="E11" s="62"/>
      <c r="F11" s="62"/>
      <c r="G11" s="62"/>
      <c r="H11" s="62"/>
      <c r="I11" s="97"/>
      <c r="J11" s="62"/>
      <c r="K11" s="62"/>
    </row>
    <row r="12" spans="1:11" ht="13.8" thickBot="1">
      <c r="A12" s="68" t="s">
        <v>2</v>
      </c>
      <c r="B12" s="62" t="s">
        <v>8</v>
      </c>
      <c r="C12" s="97"/>
      <c r="D12" s="101" t="s">
        <v>9</v>
      </c>
      <c r="E12" s="97"/>
      <c r="F12" s="103" t="s">
        <v>10</v>
      </c>
      <c r="G12" s="103"/>
      <c r="H12" s="62"/>
      <c r="I12" s="97"/>
      <c r="J12" s="62"/>
      <c r="K12" s="62"/>
    </row>
    <row r="13" spans="1:11">
      <c r="A13" s="68">
        <v>2</v>
      </c>
      <c r="B13" s="62" t="s">
        <v>12</v>
      </c>
      <c r="C13" s="97" t="s">
        <v>676</v>
      </c>
      <c r="D13" s="160">
        <f>'Act Att-H'!D13</f>
        <v>1166.4899168608256</v>
      </c>
      <c r="E13" s="97"/>
      <c r="F13" s="97" t="s">
        <v>290</v>
      </c>
      <c r="G13" s="104">
        <v>1</v>
      </c>
      <c r="H13" s="97"/>
      <c r="I13" s="54">
        <f>+G13*D13</f>
        <v>1166.4899168608256</v>
      </c>
      <c r="J13" s="62"/>
      <c r="K13" s="62"/>
    </row>
    <row r="14" spans="1:11">
      <c r="A14" s="68">
        <v>3</v>
      </c>
      <c r="B14" s="62" t="s">
        <v>102</v>
      </c>
      <c r="C14" s="97" t="s">
        <v>677</v>
      </c>
      <c r="D14" s="160">
        <f>'Act Att-H'!D14</f>
        <v>1170542.6399999997</v>
      </c>
      <c r="E14" s="97"/>
      <c r="F14" s="105" t="s">
        <v>290</v>
      </c>
      <c r="G14" s="104">
        <v>1</v>
      </c>
      <c r="H14" s="97"/>
      <c r="I14" s="54">
        <f>+G14*D14</f>
        <v>1170542.6399999997</v>
      </c>
      <c r="J14" s="62"/>
      <c r="K14" s="62"/>
    </row>
    <row r="15" spans="1:11">
      <c r="A15" s="68">
        <v>4</v>
      </c>
      <c r="B15" s="2" t="s">
        <v>441</v>
      </c>
      <c r="C15" s="2"/>
      <c r="D15" s="163"/>
      <c r="E15" s="97"/>
      <c r="F15" s="105"/>
      <c r="G15" s="164"/>
      <c r="H15" s="97"/>
      <c r="I15" s="54"/>
      <c r="J15" s="62"/>
      <c r="K15" s="62"/>
    </row>
    <row r="16" spans="1:11" ht="13.8" thickBot="1">
      <c r="A16" s="68">
        <v>5</v>
      </c>
      <c r="B16" s="2" t="s">
        <v>441</v>
      </c>
      <c r="C16" s="2"/>
      <c r="D16" s="163"/>
      <c r="E16" s="97"/>
      <c r="F16" s="105"/>
      <c r="G16" s="164"/>
      <c r="H16" s="97"/>
      <c r="I16" s="55"/>
      <c r="J16" s="62"/>
      <c r="K16" s="62"/>
    </row>
    <row r="17" spans="1:11">
      <c r="A17" s="68">
        <v>6</v>
      </c>
      <c r="B17" s="62" t="s">
        <v>88</v>
      </c>
      <c r="C17" s="62"/>
      <c r="D17" s="107" t="s">
        <v>2</v>
      </c>
      <c r="E17" s="97"/>
      <c r="F17" s="97"/>
      <c r="G17" s="108"/>
      <c r="H17" s="97"/>
      <c r="I17" s="54">
        <f>SUM(I13:I16)</f>
        <v>1171709.1299168605</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37695563.91512613</v>
      </c>
      <c r="J19" s="62"/>
      <c r="K19" s="62"/>
    </row>
    <row r="20" spans="1:11" ht="13.8" thickTop="1">
      <c r="A20" s="68"/>
      <c r="C20" s="62"/>
      <c r="D20" s="107"/>
      <c r="E20" s="97"/>
      <c r="F20" s="97"/>
      <c r="G20" s="97"/>
      <c r="H20" s="97"/>
      <c r="J20" s="62"/>
      <c r="K20" s="62"/>
    </row>
    <row r="21" spans="1:11">
      <c r="A21" s="68"/>
      <c r="B21" s="62" t="s">
        <v>14</v>
      </c>
      <c r="C21" s="62"/>
      <c r="D21" s="97"/>
      <c r="E21" s="62"/>
      <c r="F21" s="62"/>
      <c r="G21" s="62"/>
      <c r="H21" s="62"/>
      <c r="I21" s="97"/>
      <c r="J21" s="62"/>
      <c r="K21" s="62"/>
    </row>
    <row r="22" spans="1:11">
      <c r="A22" s="68">
        <v>8</v>
      </c>
      <c r="B22" s="62" t="s">
        <v>206</v>
      </c>
      <c r="C22" s="93" t="s">
        <v>678</v>
      </c>
      <c r="D22" s="97"/>
      <c r="E22" s="62"/>
      <c r="F22" s="62"/>
      <c r="G22" s="62"/>
      <c r="H22" s="62"/>
      <c r="I22" s="160">
        <f>'P3-Divisor'!G24</f>
        <v>390302.43111831439</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537">
        <f>ROUND(I19/I22,2)</f>
        <v>96.58</v>
      </c>
      <c r="E25" s="62" t="s">
        <v>197</v>
      </c>
      <c r="F25" s="97"/>
      <c r="G25" s="97"/>
      <c r="H25" s="97"/>
      <c r="I25" s="97"/>
      <c r="J25" s="97"/>
      <c r="K25" s="62"/>
    </row>
    <row r="26" spans="1:11">
      <c r="A26" s="68">
        <v>12</v>
      </c>
      <c r="B26" s="62" t="s">
        <v>208</v>
      </c>
      <c r="C26" s="62" t="s">
        <v>603</v>
      </c>
      <c r="D26" s="537">
        <f>ROUND(D25/12,2)</f>
        <v>8.0500000000000007</v>
      </c>
      <c r="E26" s="62" t="s">
        <v>198</v>
      </c>
      <c r="F26" s="97"/>
      <c r="G26" s="97"/>
      <c r="H26" s="97"/>
      <c r="I26" s="97"/>
      <c r="J26" s="97"/>
      <c r="K26" s="62"/>
    </row>
    <row r="27" spans="1:11">
      <c r="A27" s="68">
        <v>13</v>
      </c>
      <c r="B27" s="62" t="s">
        <v>209</v>
      </c>
      <c r="C27" s="62" t="s">
        <v>604</v>
      </c>
      <c r="D27" s="537">
        <f>ROUND(D25/52,2)</f>
        <v>1.86</v>
      </c>
      <c r="E27" s="62" t="s">
        <v>199</v>
      </c>
      <c r="F27" s="97"/>
      <c r="G27" s="97"/>
      <c r="H27" s="97"/>
      <c r="I27" s="97"/>
      <c r="J27" s="97"/>
      <c r="K27" s="62"/>
    </row>
    <row r="28" spans="1:11">
      <c r="A28" s="68">
        <v>14</v>
      </c>
      <c r="B28" s="62" t="s">
        <v>210</v>
      </c>
      <c r="C28" s="62" t="s">
        <v>200</v>
      </c>
      <c r="D28" s="537">
        <f>+D27/6</f>
        <v>0.31</v>
      </c>
      <c r="E28" s="62" t="s">
        <v>201</v>
      </c>
      <c r="F28" s="97"/>
      <c r="G28" s="97"/>
      <c r="H28" s="97"/>
      <c r="I28" s="97"/>
      <c r="J28" s="97"/>
      <c r="K28" s="62"/>
    </row>
    <row r="29" spans="1:11">
      <c r="A29" s="68">
        <v>15</v>
      </c>
      <c r="B29" s="62" t="s">
        <v>211</v>
      </c>
      <c r="C29" s="62" t="s">
        <v>202</v>
      </c>
      <c r="D29" s="537">
        <f>+D27/7</f>
        <v>0.26571428571428574</v>
      </c>
      <c r="E29" s="62" t="s">
        <v>201</v>
      </c>
      <c r="F29" s="97"/>
      <c r="G29" s="97"/>
      <c r="H29" s="97"/>
      <c r="I29" s="97"/>
      <c r="J29" s="97"/>
      <c r="K29" s="62"/>
    </row>
    <row r="30" spans="1:11">
      <c r="A30" s="68">
        <v>16</v>
      </c>
      <c r="B30" s="62" t="s">
        <v>212</v>
      </c>
      <c r="C30" s="62" t="s">
        <v>203</v>
      </c>
      <c r="D30" s="537">
        <f>+D28/16*1000</f>
        <v>19.375</v>
      </c>
      <c r="E30" s="62" t="s">
        <v>668</v>
      </c>
      <c r="F30" s="97"/>
      <c r="G30" s="97"/>
      <c r="H30" s="97"/>
      <c r="I30" s="97"/>
      <c r="J30" s="97"/>
      <c r="K30" s="62"/>
    </row>
    <row r="31" spans="1:11">
      <c r="A31" s="68">
        <v>17</v>
      </c>
      <c r="B31" s="62" t="s">
        <v>213</v>
      </c>
      <c r="C31" s="62" t="s">
        <v>204</v>
      </c>
      <c r="D31" s="537">
        <f>+D29/24*1000</f>
        <v>11.071428571428573</v>
      </c>
      <c r="E31" s="62" t="s">
        <v>668</v>
      </c>
      <c r="F31" s="97"/>
      <c r="G31" s="97"/>
      <c r="H31" s="97"/>
      <c r="I31" s="97"/>
      <c r="J31" s="97"/>
      <c r="K31" s="62"/>
    </row>
    <row r="32" spans="1:11">
      <c r="B32" s="62"/>
      <c r="C32" s="62"/>
      <c r="D32" s="94"/>
      <c r="E32" s="62"/>
      <c r="F32" s="62"/>
      <c r="G32" s="62"/>
      <c r="H32" s="62"/>
      <c r="I32" s="912" t="str">
        <f>I1</f>
        <v>Projected Attachment H</v>
      </c>
      <c r="J32" s="912"/>
      <c r="K32" s="912"/>
    </row>
    <row r="33" spans="1:11">
      <c r="B33" s="62"/>
      <c r="C33" s="62"/>
      <c r="D33" s="94"/>
      <c r="E33" s="62"/>
      <c r="F33" s="62"/>
      <c r="G33" s="62"/>
      <c r="H33" s="62"/>
      <c r="I33" s="62"/>
      <c r="J33" s="911" t="s">
        <v>194</v>
      </c>
      <c r="K33" s="911"/>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Estimated - For the 12 months ended 12/31/2024</v>
      </c>
    </row>
    <row r="36" spans="1:11">
      <c r="B36" s="62"/>
      <c r="C36" s="98" t="s">
        <v>3</v>
      </c>
      <c r="E36" s="97"/>
      <c r="F36" s="97"/>
      <c r="G36" s="97"/>
      <c r="H36" s="62"/>
      <c r="I36" s="62"/>
      <c r="J36" s="62"/>
      <c r="K36" s="62"/>
    </row>
    <row r="37" spans="1:11">
      <c r="B37" s="62"/>
      <c r="C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445</v>
      </c>
      <c r="C43" s="97"/>
      <c r="D43" s="97"/>
      <c r="E43" s="97"/>
      <c r="F43" s="97"/>
      <c r="G43" s="97"/>
      <c r="H43" s="97"/>
      <c r="I43" s="97"/>
      <c r="J43" s="97"/>
      <c r="K43" s="97"/>
    </row>
    <row r="44" spans="1:11">
      <c r="A44" s="68"/>
      <c r="B44" s="62" t="s">
        <v>486</v>
      </c>
      <c r="C44" s="97"/>
      <c r="D44" s="97"/>
      <c r="E44" s="97"/>
      <c r="F44" s="97"/>
      <c r="G44" s="97"/>
      <c r="H44" s="97"/>
      <c r="I44" s="97"/>
      <c r="J44" s="97"/>
      <c r="K44" s="97"/>
    </row>
    <row r="45" spans="1:11">
      <c r="A45" s="837">
        <v>1</v>
      </c>
      <c r="B45" s="838" t="s">
        <v>28</v>
      </c>
      <c r="C45" s="839" t="s">
        <v>825</v>
      </c>
      <c r="D45" s="257">
        <f>'P1-Trans Plant'!H44</f>
        <v>385225828.55231911</v>
      </c>
      <c r="E45" s="97"/>
      <c r="F45" s="97" t="s">
        <v>11</v>
      </c>
      <c r="G45" s="120">
        <f>$I$170</f>
        <v>0.93495713255492408</v>
      </c>
      <c r="H45" s="97"/>
      <c r="I45" s="844">
        <f>+G45*D45</f>
        <v>360169636.04937106</v>
      </c>
      <c r="J45" s="97"/>
      <c r="K45" s="97"/>
    </row>
    <row r="46" spans="1:11">
      <c r="A46" s="837">
        <v>2</v>
      </c>
      <c r="B46" s="838" t="s">
        <v>30</v>
      </c>
      <c r="C46" s="838" t="s">
        <v>969</v>
      </c>
      <c r="D46" s="257">
        <f>'A4-Rate Base'!F22</f>
        <v>51228694.220000014</v>
      </c>
      <c r="E46" s="97"/>
      <c r="F46" s="842" t="s">
        <v>31</v>
      </c>
      <c r="G46" s="843">
        <f>$I$187</f>
        <v>0.1248254792149225</v>
      </c>
      <c r="H46" s="97"/>
      <c r="I46" s="844">
        <f>+G46*D46</f>
        <v>6394646.3055662317</v>
      </c>
      <c r="J46" s="97"/>
      <c r="K46" s="97"/>
    </row>
    <row r="47" spans="1:11">
      <c r="A47" s="837" t="s">
        <v>130</v>
      </c>
      <c r="B47" s="838" t="s">
        <v>58</v>
      </c>
      <c r="C47" s="838" t="s">
        <v>968</v>
      </c>
      <c r="D47" s="841">
        <f>'A4-Rate Base'!G22</f>
        <v>28415404</v>
      </c>
      <c r="E47" s="97"/>
      <c r="F47" s="842" t="s">
        <v>1255</v>
      </c>
      <c r="G47" s="843">
        <f>$K$191</f>
        <v>0.12201673244143903</v>
      </c>
      <c r="H47" s="97"/>
      <c r="I47" s="844">
        <f>+G47*D47</f>
        <v>3467154.7470833962</v>
      </c>
      <c r="J47" s="97"/>
      <c r="K47" s="97"/>
    </row>
    <row r="48" spans="1:11">
      <c r="A48" s="837">
        <v>3</v>
      </c>
      <c r="B48" s="838" t="s">
        <v>281</v>
      </c>
      <c r="C48" s="840" t="s">
        <v>1102</v>
      </c>
      <c r="D48" s="544">
        <f>SUM(D45:D47)</f>
        <v>464869926.77231914</v>
      </c>
      <c r="E48" s="97"/>
      <c r="F48" s="97" t="s">
        <v>36</v>
      </c>
      <c r="G48" s="120">
        <f>$G$222</f>
        <v>0.27335514706963876</v>
      </c>
      <c r="H48" s="97"/>
      <c r="I48" s="845">
        <f>SUM(I45:I47)</f>
        <v>370031437.10202074</v>
      </c>
      <c r="J48" s="97"/>
      <c r="K48" s="122"/>
    </row>
    <row r="49" spans="1:11">
      <c r="B49" s="62"/>
      <c r="C49" s="97"/>
      <c r="D49" s="97"/>
      <c r="E49" s="97"/>
      <c r="F49" s="97"/>
      <c r="G49" s="120"/>
      <c r="H49" s="97"/>
      <c r="I49" s="50"/>
      <c r="J49" s="97"/>
      <c r="K49" s="122"/>
    </row>
    <row r="50" spans="1:11">
      <c r="B50" s="62" t="s">
        <v>487</v>
      </c>
      <c r="C50" s="97"/>
      <c r="D50" s="97"/>
      <c r="E50" s="97"/>
      <c r="F50" s="97"/>
      <c r="G50" s="120"/>
      <c r="H50" s="97"/>
      <c r="I50" s="97"/>
      <c r="J50" s="97"/>
      <c r="K50" s="97"/>
    </row>
    <row r="51" spans="1:11">
      <c r="A51" s="837">
        <v>4</v>
      </c>
      <c r="B51" s="846" t="str">
        <f>+B45</f>
        <v xml:space="preserve">  Transmission</v>
      </c>
      <c r="C51" s="839" t="s">
        <v>826</v>
      </c>
      <c r="D51" s="841">
        <f>'P1-Trans Plant'!J44</f>
        <v>65446324.484921366</v>
      </c>
      <c r="E51" s="842"/>
      <c r="F51" s="847" t="str">
        <f>+F45</f>
        <v>TP</v>
      </c>
      <c r="G51" s="843">
        <f>$I$170</f>
        <v>0.93495713255492408</v>
      </c>
      <c r="H51" s="842"/>
      <c r="I51" s="844">
        <f>+G51*D51</f>
        <v>61189507.876681201</v>
      </c>
      <c r="J51" s="97"/>
      <c r="K51" s="97"/>
    </row>
    <row r="52" spans="1:11">
      <c r="A52" s="837">
        <v>5</v>
      </c>
      <c r="B52" s="846" t="str">
        <f>+B46</f>
        <v xml:space="preserve">  General &amp; Intangible</v>
      </c>
      <c r="C52" s="838" t="s">
        <v>970</v>
      </c>
      <c r="D52" s="841">
        <f>'A4-Rate Base'!H45</f>
        <v>23265381.149999999</v>
      </c>
      <c r="E52" s="842"/>
      <c r="F52" s="847" t="str">
        <f>+F46</f>
        <v>W/S</v>
      </c>
      <c r="G52" s="843">
        <f>$I$187</f>
        <v>0.1248254792149225</v>
      </c>
      <c r="H52" s="842"/>
      <c r="I52" s="844">
        <f>+G52*D52</f>
        <v>2904112.3511665748</v>
      </c>
      <c r="J52" s="97"/>
      <c r="K52" s="97"/>
    </row>
    <row r="53" spans="1:11">
      <c r="A53" s="837" t="s">
        <v>99</v>
      </c>
      <c r="B53" s="838" t="s">
        <v>58</v>
      </c>
      <c r="C53" s="838" t="s">
        <v>1103</v>
      </c>
      <c r="D53" s="841">
        <f>'A4-Rate Base'!I45</f>
        <v>9644633</v>
      </c>
      <c r="E53" s="842"/>
      <c r="F53" s="842" t="s">
        <v>1255</v>
      </c>
      <c r="G53" s="843">
        <f>$K$191</f>
        <v>0.12201673244143903</v>
      </c>
      <c r="H53" s="842"/>
      <c r="I53" s="844">
        <f>+G53*D53</f>
        <v>1176806.6042568735</v>
      </c>
      <c r="J53" s="97"/>
      <c r="K53" s="97"/>
    </row>
    <row r="54" spans="1:11">
      <c r="A54" s="837">
        <v>6</v>
      </c>
      <c r="B54" s="838" t="s">
        <v>283</v>
      </c>
      <c r="C54" s="840" t="s">
        <v>1104</v>
      </c>
      <c r="D54" s="848">
        <f>SUM(D51:D53)</f>
        <v>98356338.634921372</v>
      </c>
      <c r="E54" s="842"/>
      <c r="F54" s="842"/>
      <c r="G54" s="843"/>
      <c r="H54" s="842"/>
      <c r="I54" s="845">
        <f>SUM(I51:I53)</f>
        <v>65270426.832104653</v>
      </c>
      <c r="J54" s="97"/>
      <c r="K54" s="97"/>
    </row>
    <row r="55" spans="1:11">
      <c r="A55" s="68"/>
      <c r="C55" s="97" t="s">
        <v>2</v>
      </c>
      <c r="D55" s="852"/>
      <c r="E55" s="842"/>
      <c r="F55" s="842"/>
      <c r="G55" s="843"/>
      <c r="H55" s="842"/>
      <c r="I55" s="852"/>
      <c r="J55" s="97"/>
      <c r="K55" s="122"/>
    </row>
    <row r="56" spans="1:11">
      <c r="A56" s="68"/>
      <c r="B56" s="62" t="s">
        <v>126</v>
      </c>
      <c r="C56" s="97"/>
      <c r="D56" s="842"/>
      <c r="E56" s="842"/>
      <c r="F56" s="842"/>
      <c r="G56" s="843"/>
      <c r="H56" s="842"/>
      <c r="I56" s="842"/>
      <c r="J56" s="97"/>
      <c r="K56" s="97"/>
    </row>
    <row r="57" spans="1:11">
      <c r="A57" s="837">
        <v>7</v>
      </c>
      <c r="B57" s="846" t="str">
        <f>+B51</f>
        <v xml:space="preserve">  Transmission</v>
      </c>
      <c r="C57" s="849" t="s">
        <v>471</v>
      </c>
      <c r="D57" s="850">
        <f>D45-D51</f>
        <v>319779504.06739771</v>
      </c>
      <c r="E57" s="842"/>
      <c r="F57" s="842"/>
      <c r="G57" s="843"/>
      <c r="H57" s="842"/>
      <c r="I57" s="844">
        <f>I45-I51</f>
        <v>298980128.17268986</v>
      </c>
      <c r="J57" s="97"/>
      <c r="K57" s="122"/>
    </row>
    <row r="58" spans="1:11">
      <c r="A58" s="837">
        <v>8</v>
      </c>
      <c r="B58" s="846" t="str">
        <f>+B52</f>
        <v xml:space="preserve">  General &amp; Intangible</v>
      </c>
      <c r="C58" s="849" t="s">
        <v>470</v>
      </c>
      <c r="D58" s="850">
        <f>D46-D52</f>
        <v>27963313.070000015</v>
      </c>
      <c r="E58" s="842"/>
      <c r="F58" s="842"/>
      <c r="G58" s="843"/>
      <c r="H58" s="842"/>
      <c r="I58" s="844">
        <f>I46-I52</f>
        <v>3490533.954399657</v>
      </c>
      <c r="J58" s="97"/>
      <c r="K58" s="122"/>
    </row>
    <row r="59" spans="1:11">
      <c r="A59" s="837" t="s">
        <v>971</v>
      </c>
      <c r="B59" s="838" t="s">
        <v>58</v>
      </c>
      <c r="C59" s="838" t="s">
        <v>972</v>
      </c>
      <c r="D59" s="850">
        <f>D47-D53</f>
        <v>18770771</v>
      </c>
      <c r="E59" s="842"/>
      <c r="F59" s="842"/>
      <c r="G59" s="843"/>
      <c r="H59" s="842"/>
      <c r="I59" s="844">
        <f>I47-I53</f>
        <v>2290348.1428265227</v>
      </c>
      <c r="J59" s="97"/>
      <c r="K59" s="122"/>
    </row>
    <row r="60" spans="1:11">
      <c r="A60" s="837">
        <v>9</v>
      </c>
      <c r="B60" s="838" t="s">
        <v>285</v>
      </c>
      <c r="C60" s="840" t="s">
        <v>1105</v>
      </c>
      <c r="D60" s="851">
        <f>SUM(D57:D59)</f>
        <v>366513588.13739771</v>
      </c>
      <c r="E60" s="842"/>
      <c r="F60" s="842" t="s">
        <v>33</v>
      </c>
      <c r="G60" s="843">
        <f>$G$230</f>
        <v>0.32495970251651934</v>
      </c>
      <c r="H60" s="842"/>
      <c r="I60" s="845">
        <f>SUM(I57:I59)</f>
        <v>304761010.269916</v>
      </c>
      <c r="J60" s="97"/>
      <c r="K60" s="97"/>
    </row>
    <row r="61" spans="1:11" s="2" customFormat="1">
      <c r="A61" s="44"/>
      <c r="B61" s="45"/>
      <c r="C61" s="43"/>
      <c r="D61" s="46"/>
      <c r="E61" s="42"/>
      <c r="F61" s="42"/>
      <c r="G61" s="120"/>
      <c r="H61" s="42"/>
      <c r="I61" s="54"/>
      <c r="J61" s="43"/>
      <c r="K61" s="43"/>
    </row>
    <row r="62" spans="1:11" s="2" customFormat="1">
      <c r="A62" s="44">
        <v>10</v>
      </c>
      <c r="B62" s="48" t="s">
        <v>287</v>
      </c>
      <c r="C62" s="49" t="s">
        <v>1149</v>
      </c>
      <c r="D62" s="257">
        <f>'A4-Rate Base'!H23</f>
        <v>0</v>
      </c>
      <c r="E62" s="49"/>
      <c r="F62" s="64"/>
      <c r="G62" s="607"/>
      <c r="H62" s="49"/>
      <c r="I62" s="51">
        <f>+G62*D62</f>
        <v>0</v>
      </c>
      <c r="J62" s="43"/>
      <c r="K62" s="43"/>
    </row>
    <row r="63" spans="1:11" s="2" customFormat="1">
      <c r="A63" s="44"/>
      <c r="B63" s="52"/>
      <c r="C63" s="43"/>
      <c r="D63" s="46"/>
      <c r="E63" s="43"/>
      <c r="F63" s="52"/>
      <c r="G63" s="120"/>
      <c r="H63" s="43"/>
      <c r="I63" s="46"/>
      <c r="J63" s="43"/>
      <c r="K63" s="53"/>
    </row>
    <row r="64" spans="1:11">
      <c r="A64" s="68"/>
      <c r="B64" s="62" t="s">
        <v>356</v>
      </c>
      <c r="C64" s="97"/>
      <c r="D64" s="97"/>
      <c r="E64" s="97"/>
      <c r="F64" s="97"/>
      <c r="G64" s="120"/>
      <c r="H64" s="97"/>
      <c r="I64" s="97"/>
      <c r="J64" s="97"/>
      <c r="K64" s="97"/>
    </row>
    <row r="65" spans="1:11">
      <c r="A65" s="44">
        <v>11</v>
      </c>
      <c r="B65" s="123" t="s">
        <v>772</v>
      </c>
      <c r="C65" s="62" t="s">
        <v>751</v>
      </c>
      <c r="D65" s="257">
        <f>'P5-ADIT'!J72</f>
        <v>0</v>
      </c>
      <c r="E65" s="43"/>
      <c r="F65" s="43" t="s">
        <v>36</v>
      </c>
      <c r="G65" s="120">
        <f>$G$222</f>
        <v>0.27335514706963876</v>
      </c>
      <c r="H65" s="42"/>
      <c r="I65" s="46">
        <f>D65*G65</f>
        <v>0</v>
      </c>
      <c r="J65" s="97"/>
      <c r="K65" s="122"/>
    </row>
    <row r="66" spans="1:11">
      <c r="A66" s="44">
        <v>12</v>
      </c>
      <c r="B66" s="123" t="s">
        <v>777</v>
      </c>
      <c r="C66" s="62" t="s">
        <v>752</v>
      </c>
      <c r="D66" s="257">
        <f>'P5-ADIT'!J106</f>
        <v>-39583306.567009173</v>
      </c>
      <c r="E66" s="43"/>
      <c r="F66" s="43" t="s">
        <v>11</v>
      </c>
      <c r="G66" s="120">
        <f>$I$170</f>
        <v>0.93495713255492408</v>
      </c>
      <c r="H66" s="42"/>
      <c r="I66" s="46">
        <f>D66*G66</f>
        <v>-37008694.804933392</v>
      </c>
      <c r="J66" s="97"/>
      <c r="K66" s="122"/>
    </row>
    <row r="67" spans="1:11">
      <c r="A67" s="44">
        <v>13</v>
      </c>
      <c r="B67" s="123" t="s">
        <v>778</v>
      </c>
      <c r="C67" s="62" t="s">
        <v>753</v>
      </c>
      <c r="D67" s="257">
        <f>'P5-ADIT'!J140</f>
        <v>-60494522</v>
      </c>
      <c r="E67" s="43"/>
      <c r="F67" s="43" t="s">
        <v>36</v>
      </c>
      <c r="G67" s="120">
        <f>$G$222</f>
        <v>0.27335514706963876</v>
      </c>
      <c r="H67" s="42"/>
      <c r="I67" s="46">
        <f>D67*G67</f>
        <v>-16536488.958217498</v>
      </c>
      <c r="J67" s="97"/>
      <c r="K67" s="122"/>
    </row>
    <row r="68" spans="1:11">
      <c r="A68" s="44">
        <v>14</v>
      </c>
      <c r="B68" s="45" t="s">
        <v>121</v>
      </c>
      <c r="C68" s="62" t="s">
        <v>740</v>
      </c>
      <c r="D68" s="257">
        <f>'P5-ADIT'!J28</f>
        <v>74683976.796032399</v>
      </c>
      <c r="E68" s="43"/>
      <c r="F68" s="43" t="s">
        <v>36</v>
      </c>
      <c r="G68" s="120">
        <f>$G$222</f>
        <v>0.27335514706963876</v>
      </c>
      <c r="H68" s="42"/>
      <c r="I68" s="54">
        <f>D68*G68</f>
        <v>20415249.460824925</v>
      </c>
      <c r="J68" s="97"/>
      <c r="K68" s="122"/>
    </row>
    <row r="69" spans="1:11">
      <c r="A69" s="44" t="s">
        <v>742</v>
      </c>
      <c r="B69" s="45" t="s">
        <v>743</v>
      </c>
      <c r="C69" s="62" t="s">
        <v>741</v>
      </c>
      <c r="D69" s="257">
        <f>'P5-ADIT'!J35</f>
        <v>422566.84679621796</v>
      </c>
      <c r="E69" s="43"/>
      <c r="F69" s="43"/>
      <c r="G69" s="120"/>
      <c r="H69" s="42"/>
      <c r="I69" s="54">
        <f>D69</f>
        <v>422566.84679621796</v>
      </c>
      <c r="J69" s="97"/>
      <c r="K69" s="122"/>
    </row>
    <row r="70" spans="1:11">
      <c r="A70" s="44">
        <v>15</v>
      </c>
      <c r="B70" s="52" t="s">
        <v>734</v>
      </c>
      <c r="C70" s="62"/>
      <c r="D70" s="545">
        <v>0</v>
      </c>
      <c r="E70" s="43"/>
      <c r="F70" s="43"/>
      <c r="G70" s="120"/>
      <c r="H70" s="42"/>
      <c r="I70" s="50">
        <f>D70*G70</f>
        <v>0</v>
      </c>
      <c r="J70" s="97"/>
      <c r="K70" s="122"/>
    </row>
    <row r="71" spans="1:11">
      <c r="A71" s="44">
        <v>16</v>
      </c>
      <c r="B71" s="48" t="s">
        <v>288</v>
      </c>
      <c r="C71" s="62" t="s">
        <v>1106</v>
      </c>
      <c r="D71" s="257">
        <f>'A4-Rate Base'!C89</f>
        <v>0</v>
      </c>
      <c r="E71" s="49"/>
      <c r="F71" s="64"/>
      <c r="G71" s="607"/>
      <c r="H71" s="49"/>
      <c r="I71" s="51">
        <f>D71*G71</f>
        <v>0</v>
      </c>
      <c r="J71" s="97"/>
      <c r="K71" s="122"/>
    </row>
    <row r="72" spans="1:11">
      <c r="A72" s="44" t="s">
        <v>1144</v>
      </c>
      <c r="B72" s="48" t="s">
        <v>1125</v>
      </c>
      <c r="C72" s="62" t="s">
        <v>1145</v>
      </c>
      <c r="D72" s="257">
        <f>'A4-Rate Base'!I66</f>
        <v>0</v>
      </c>
      <c r="E72" s="49"/>
      <c r="F72" s="64"/>
      <c r="G72" s="607"/>
      <c r="H72" s="49"/>
      <c r="I72" s="51">
        <f>D72*G72</f>
        <v>0</v>
      </c>
      <c r="J72" s="97"/>
      <c r="K72" s="122"/>
    </row>
    <row r="73" spans="1:11">
      <c r="A73" s="44">
        <v>17</v>
      </c>
      <c r="B73" s="48" t="s">
        <v>289</v>
      </c>
      <c r="C73" s="62" t="s">
        <v>1107</v>
      </c>
      <c r="D73" s="257">
        <f>'A4-Rate Base'!D89</f>
        <v>0</v>
      </c>
      <c r="E73" s="49"/>
      <c r="F73" s="64"/>
      <c r="G73" s="607"/>
      <c r="H73" s="49"/>
      <c r="I73" s="51">
        <f>D73*G73</f>
        <v>0</v>
      </c>
      <c r="J73" s="97"/>
      <c r="K73" s="122"/>
    </row>
    <row r="74" spans="1:11">
      <c r="A74" s="44">
        <v>18</v>
      </c>
      <c r="B74" s="48" t="s">
        <v>291</v>
      </c>
      <c r="C74" s="62" t="s">
        <v>469</v>
      </c>
      <c r="D74" s="257">
        <f>'Act Att-H'!D79</f>
        <v>-882125.06942508172</v>
      </c>
      <c r="E74" s="49"/>
      <c r="F74" s="49"/>
      <c r="G74" s="120"/>
      <c r="H74" s="49"/>
      <c r="I74" s="51">
        <f t="shared" ref="I74" si="0">D74</f>
        <v>-882125.06942508172</v>
      </c>
      <c r="J74" s="97"/>
      <c r="K74" s="122"/>
    </row>
    <row r="75" spans="1:11">
      <c r="A75" s="44">
        <v>19</v>
      </c>
      <c r="B75" s="123" t="s">
        <v>122</v>
      </c>
      <c r="C75" s="62" t="s">
        <v>468</v>
      </c>
      <c r="D75" s="257">
        <f>'Act Att-H'!D80</f>
        <v>-3322070.5900000017</v>
      </c>
      <c r="E75" s="97"/>
      <c r="F75" s="43" t="s">
        <v>36</v>
      </c>
      <c r="G75" s="120">
        <f>$G$222</f>
        <v>0.27335514706963876</v>
      </c>
      <c r="H75" s="97"/>
      <c r="I75" s="51">
        <f t="shared" ref="I75" si="1">D75*G75</f>
        <v>-908105.09470517212</v>
      </c>
      <c r="J75" s="97"/>
      <c r="K75" s="122"/>
    </row>
    <row r="76" spans="1:11" ht="13.8" thickBot="1">
      <c r="A76" s="68">
        <v>20</v>
      </c>
      <c r="B76" s="123" t="s">
        <v>1046</v>
      </c>
      <c r="C76" s="62" t="s">
        <v>911</v>
      </c>
      <c r="D76" s="257">
        <f>'P5-ADIT'!J175</f>
        <v>-8053094.1905049244</v>
      </c>
      <c r="E76" s="97"/>
      <c r="F76" s="97"/>
      <c r="G76" s="97"/>
      <c r="H76" s="97"/>
      <c r="I76" s="55">
        <f>D76</f>
        <v>-8053094.1905049244</v>
      </c>
      <c r="J76" s="97"/>
      <c r="K76" s="122"/>
    </row>
    <row r="77" spans="1:11">
      <c r="A77" s="68">
        <v>21</v>
      </c>
      <c r="B77" s="62" t="s">
        <v>297</v>
      </c>
      <c r="C77" s="165" t="s">
        <v>763</v>
      </c>
      <c r="D77" s="546">
        <f>SUM(D65:D76)</f>
        <v>-37228574.774110571</v>
      </c>
      <c r="E77" s="97"/>
      <c r="F77" s="97"/>
      <c r="G77" s="120"/>
      <c r="H77" s="97"/>
      <c r="I77" s="54">
        <f>SUM(I65:I76)</f>
        <v>-42550691.810164921</v>
      </c>
      <c r="J77" s="97"/>
      <c r="K77" s="97"/>
    </row>
    <row r="78" spans="1:11">
      <c r="A78" s="68"/>
      <c r="C78" s="97"/>
      <c r="E78" s="97"/>
      <c r="F78" s="97"/>
      <c r="G78" s="120"/>
      <c r="H78" s="97"/>
      <c r="J78" s="97"/>
      <c r="K78" s="122"/>
    </row>
    <row r="79" spans="1:11">
      <c r="A79" s="68">
        <v>22</v>
      </c>
      <c r="B79" s="62" t="s">
        <v>34</v>
      </c>
      <c r="C79" s="62" t="s">
        <v>597</v>
      </c>
      <c r="D79" s="257">
        <f>'A4-Rate Base'!I22</f>
        <v>0</v>
      </c>
      <c r="E79" s="97"/>
      <c r="F79" s="105" t="str">
        <f>+F51</f>
        <v>TP</v>
      </c>
      <c r="G79" s="120">
        <f>$I$170</f>
        <v>0.93495713255492408</v>
      </c>
      <c r="H79" s="97"/>
      <c r="I79" s="54">
        <f>+G79*D79</f>
        <v>0</v>
      </c>
      <c r="J79" s="97"/>
      <c r="K79" s="97"/>
    </row>
    <row r="80" spans="1:11">
      <c r="A80" s="68"/>
      <c r="B80" s="62"/>
      <c r="C80" s="97"/>
      <c r="D80" s="97"/>
      <c r="E80" s="97"/>
      <c r="F80" s="97"/>
      <c r="G80" s="120"/>
      <c r="H80" s="97"/>
      <c r="I80" s="97"/>
      <c r="J80" s="97"/>
      <c r="K80" s="97"/>
    </row>
    <row r="81" spans="1:11">
      <c r="A81" s="68"/>
      <c r="B81" s="62" t="s">
        <v>127</v>
      </c>
      <c r="C81" s="43"/>
      <c r="D81" s="97"/>
      <c r="E81" s="97"/>
      <c r="F81" s="97"/>
      <c r="G81" s="120"/>
      <c r="H81" s="97"/>
      <c r="I81" s="97"/>
      <c r="J81" s="97"/>
      <c r="K81" s="97"/>
    </row>
    <row r="82" spans="1:11">
      <c r="A82" s="68">
        <v>23</v>
      </c>
      <c r="B82" s="62" t="s">
        <v>98</v>
      </c>
      <c r="C82" s="52" t="s">
        <v>472</v>
      </c>
      <c r="D82" s="545">
        <f>D112/8</f>
        <v>4372437.0320364721</v>
      </c>
      <c r="E82" s="97"/>
      <c r="F82" s="97"/>
      <c r="G82" s="120"/>
      <c r="H82" s="97"/>
      <c r="I82" s="54">
        <f>I112/8</f>
        <v>839013.51323661453</v>
      </c>
      <c r="J82" s="62"/>
      <c r="K82" s="122"/>
    </row>
    <row r="83" spans="1:11">
      <c r="A83" s="68">
        <v>24</v>
      </c>
      <c r="B83" s="62" t="s">
        <v>128</v>
      </c>
      <c r="C83" s="60" t="s">
        <v>1080</v>
      </c>
      <c r="D83" s="257">
        <f>'A4-Rate Base'!F129</f>
        <v>88416.417875596409</v>
      </c>
      <c r="E83" s="97"/>
      <c r="F83" s="97"/>
      <c r="G83" s="120"/>
      <c r="H83" s="97"/>
      <c r="I83" s="54">
        <f>D83</f>
        <v>88416.417875596409</v>
      </c>
      <c r="J83" s="97" t="s">
        <v>2</v>
      </c>
      <c r="K83" s="122"/>
    </row>
    <row r="84" spans="1:11" ht="13.8" thickBot="1">
      <c r="A84" s="68">
        <v>25</v>
      </c>
      <c r="B84" s="62" t="s">
        <v>123</v>
      </c>
      <c r="C84" s="42" t="s">
        <v>1108</v>
      </c>
      <c r="D84" s="257">
        <f>'A8-Prepmts'!H16</f>
        <v>286564.39069452288</v>
      </c>
      <c r="E84" s="97"/>
      <c r="F84" s="97"/>
      <c r="G84" s="120"/>
      <c r="H84" s="97"/>
      <c r="I84" s="55">
        <f>D84</f>
        <v>286564.39069452288</v>
      </c>
      <c r="J84" s="97"/>
      <c r="K84" s="122"/>
    </row>
    <row r="85" spans="1:11">
      <c r="A85" s="68">
        <v>26</v>
      </c>
      <c r="B85" s="62" t="s">
        <v>295</v>
      </c>
      <c r="C85" s="43"/>
      <c r="D85" s="546">
        <f>D82+D83+D84</f>
        <v>4747417.8406065917</v>
      </c>
      <c r="E85" s="62"/>
      <c r="F85" s="62"/>
      <c r="G85" s="62"/>
      <c r="H85" s="62"/>
      <c r="I85" s="54">
        <f>I82+I83+I84</f>
        <v>1213994.321806734</v>
      </c>
      <c r="J85" s="62"/>
      <c r="K85" s="62"/>
    </row>
    <row r="86" spans="1:11" ht="13.8" thickBot="1">
      <c r="C86" s="97"/>
      <c r="E86" s="97"/>
      <c r="F86" s="97"/>
      <c r="G86" s="97"/>
      <c r="H86" s="97"/>
      <c r="I86" s="124"/>
      <c r="J86" s="97"/>
      <c r="K86" s="97"/>
    </row>
    <row r="87" spans="1:11" ht="13.8" thickBot="1">
      <c r="A87" s="68">
        <v>27</v>
      </c>
      <c r="B87" s="62" t="s">
        <v>442</v>
      </c>
      <c r="C87" s="97" t="s">
        <v>1152</v>
      </c>
      <c r="D87" s="61">
        <f>+D85+D79+D77+D60</f>
        <v>334032431.20389372</v>
      </c>
      <c r="E87" s="97"/>
      <c r="F87" s="97"/>
      <c r="G87" s="122"/>
      <c r="H87" s="97"/>
      <c r="I87" s="61">
        <f>+I85+I79+I77+I60</f>
        <v>263424312.7815578</v>
      </c>
      <c r="J87" s="97"/>
      <c r="K87" s="122"/>
    </row>
    <row r="88" spans="1:11" ht="13.8" thickTop="1">
      <c r="B88" s="62"/>
      <c r="C88" s="62"/>
      <c r="D88" s="94"/>
      <c r="E88" s="62"/>
      <c r="F88" s="62"/>
      <c r="G88" s="62"/>
      <c r="H88" s="62"/>
      <c r="I88" s="95"/>
      <c r="J88" s="95"/>
      <c r="K88" s="95"/>
    </row>
    <row r="89" spans="1:11">
      <c r="B89" s="62"/>
      <c r="C89" s="62"/>
      <c r="D89" s="94"/>
      <c r="E89" s="62"/>
      <c r="F89" s="62"/>
      <c r="G89" s="62"/>
      <c r="H89" s="62"/>
      <c r="I89" s="912" t="str">
        <f>I1</f>
        <v>Projected Attachment H</v>
      </c>
      <c r="J89" s="912"/>
      <c r="K89" s="912"/>
    </row>
    <row r="90" spans="1:11">
      <c r="B90" s="62"/>
      <c r="C90" s="62"/>
      <c r="D90" s="94"/>
      <c r="E90" s="62"/>
      <c r="F90" s="62"/>
      <c r="G90" s="62"/>
      <c r="H90" s="62"/>
      <c r="I90" s="62"/>
      <c r="J90" s="911" t="s">
        <v>195</v>
      </c>
      <c r="K90" s="911"/>
    </row>
    <row r="91" spans="1:11">
      <c r="B91" s="62"/>
      <c r="C91" s="62"/>
      <c r="D91" s="94"/>
      <c r="E91" s="62"/>
      <c r="F91" s="62"/>
      <c r="G91" s="62"/>
      <c r="H91" s="62"/>
      <c r="I91" s="62"/>
      <c r="J91" s="62"/>
      <c r="K91" s="95"/>
    </row>
    <row r="92" spans="1:11">
      <c r="B92" s="94" t="s">
        <v>0</v>
      </c>
      <c r="C92" s="68" t="s">
        <v>1</v>
      </c>
      <c r="E92" s="62"/>
      <c r="F92" s="62"/>
      <c r="G92" s="62"/>
      <c r="H92" s="62"/>
      <c r="I92" s="62"/>
      <c r="J92" s="62"/>
      <c r="K92" s="110" t="str">
        <f>K4</f>
        <v>Estimated - For the 12 months ended 12/31/2024</v>
      </c>
    </row>
    <row r="93" spans="1:11">
      <c r="B93" s="62"/>
      <c r="C93" s="98" t="s">
        <v>3</v>
      </c>
      <c r="E93" s="97"/>
      <c r="F93" s="97"/>
      <c r="G93" s="97"/>
      <c r="H93" s="62"/>
      <c r="I93" s="62"/>
      <c r="J93" s="62"/>
      <c r="K93" s="62"/>
    </row>
    <row r="94" spans="1:11">
      <c r="B94" s="62"/>
      <c r="C94" s="97"/>
      <c r="E94" s="97"/>
      <c r="F94" s="97"/>
      <c r="G94" s="97"/>
      <c r="H94" s="62"/>
      <c r="I94" s="62"/>
      <c r="J94" s="62"/>
      <c r="K94" s="62"/>
    </row>
    <row r="95" spans="1:11">
      <c r="A95" s="68"/>
      <c r="C95" s="111" t="str">
        <f>C7</f>
        <v>Black Hills Colorado Electric, LLC</v>
      </c>
      <c r="J95" s="97"/>
      <c r="K95" s="97"/>
    </row>
    <row r="96" spans="1:11">
      <c r="A96" s="68"/>
      <c r="D96" s="125"/>
      <c r="J96" s="97"/>
      <c r="K96" s="97"/>
    </row>
    <row r="97" spans="1:11">
      <c r="A97" s="68"/>
      <c r="B97" s="68" t="s">
        <v>15</v>
      </c>
      <c r="C97" s="68" t="s">
        <v>16</v>
      </c>
      <c r="D97" s="68" t="s">
        <v>17</v>
      </c>
      <c r="E97" s="97" t="s">
        <v>2</v>
      </c>
      <c r="F97" s="97"/>
      <c r="G97" s="112" t="s">
        <v>18</v>
      </c>
      <c r="H97" s="97"/>
      <c r="I97" s="113" t="s">
        <v>19</v>
      </c>
      <c r="J97" s="97"/>
      <c r="K97" s="97"/>
    </row>
    <row r="98" spans="1:11">
      <c r="A98" s="68" t="s">
        <v>4</v>
      </c>
      <c r="B98" s="62"/>
      <c r="C98" s="114" t="s">
        <v>20</v>
      </c>
      <c r="D98" s="97"/>
      <c r="E98" s="97"/>
      <c r="F98" s="97"/>
      <c r="G98" s="68"/>
      <c r="H98" s="97"/>
      <c r="I98" s="115" t="s">
        <v>21</v>
      </c>
      <c r="J98" s="97"/>
      <c r="K98" s="115"/>
    </row>
    <row r="99" spans="1:11" ht="13.8" thickBot="1">
      <c r="A99" s="101" t="s">
        <v>6</v>
      </c>
      <c r="B99" s="62"/>
      <c r="C99" s="116" t="s">
        <v>22</v>
      </c>
      <c r="D99" s="115" t="s">
        <v>23</v>
      </c>
      <c r="E99" s="117"/>
      <c r="F99" s="115" t="s">
        <v>24</v>
      </c>
      <c r="H99" s="117"/>
      <c r="I99" s="68" t="s">
        <v>25</v>
      </c>
      <c r="J99" s="97"/>
      <c r="K99" s="115"/>
    </row>
    <row r="100" spans="1:11">
      <c r="A100" s="68"/>
      <c r="B100" s="62" t="s">
        <v>131</v>
      </c>
      <c r="C100" s="97"/>
      <c r="D100" s="97"/>
      <c r="E100" s="97"/>
      <c r="F100" s="97"/>
      <c r="G100" s="97"/>
      <c r="H100" s="97"/>
      <c r="I100" s="97"/>
      <c r="J100" s="97"/>
      <c r="K100" s="97"/>
    </row>
    <row r="101" spans="1:11">
      <c r="A101" s="68">
        <v>1</v>
      </c>
      <c r="B101" s="62" t="s">
        <v>37</v>
      </c>
      <c r="C101" s="62" t="s">
        <v>473</v>
      </c>
      <c r="D101" s="257">
        <f>'P2-Exp. &amp; Rev. Credits'!F16</f>
        <v>6498982.5490629552</v>
      </c>
      <c r="E101" s="97"/>
      <c r="F101" s="97" t="s">
        <v>35</v>
      </c>
      <c r="G101" s="120">
        <f>$I$179</f>
        <v>0.93495713255492408</v>
      </c>
      <c r="H101" s="97"/>
      <c r="I101" s="54">
        <f>+G101*D101</f>
        <v>6076270.0885963915</v>
      </c>
      <c r="J101" s="62"/>
      <c r="K101" s="97"/>
    </row>
    <row r="102" spans="1:11">
      <c r="A102" s="68">
        <v>2</v>
      </c>
      <c r="B102" s="62" t="s">
        <v>129</v>
      </c>
      <c r="C102" s="62" t="s">
        <v>474</v>
      </c>
      <c r="D102" s="257">
        <f>'P2-Exp. &amp; Rev. Credits'!F17</f>
        <v>992140.17790658958</v>
      </c>
      <c r="E102" s="97"/>
      <c r="F102" s="97" t="s">
        <v>35</v>
      </c>
      <c r="G102" s="120">
        <f>$I$179</f>
        <v>0.93495713255492408</v>
      </c>
      <c r="H102" s="97"/>
      <c r="I102" s="46">
        <f t="shared" ref="I102:I111" si="2">+G102*D102</f>
        <v>927608.53582807723</v>
      </c>
      <c r="J102" s="62"/>
      <c r="K102" s="97"/>
    </row>
    <row r="103" spans="1:11">
      <c r="A103" s="68" t="s">
        <v>130</v>
      </c>
      <c r="B103" s="62" t="s">
        <v>38</v>
      </c>
      <c r="C103" s="62" t="s">
        <v>475</v>
      </c>
      <c r="D103" s="257">
        <f>'P2-Exp. &amp; Rev. Credits'!F18</f>
        <v>2611293.5880251667</v>
      </c>
      <c r="E103" s="97"/>
      <c r="F103" s="97" t="s">
        <v>35</v>
      </c>
      <c r="G103" s="120">
        <f>$I$179</f>
        <v>0.93495713255492408</v>
      </c>
      <c r="H103" s="97"/>
      <c r="I103" s="46">
        <f t="shared" si="2"/>
        <v>2441447.5653190692</v>
      </c>
      <c r="J103" s="62"/>
      <c r="K103" s="97"/>
    </row>
    <row r="104" spans="1:11">
      <c r="A104" s="68">
        <v>3</v>
      </c>
      <c r="B104" s="62" t="s">
        <v>39</v>
      </c>
      <c r="C104" s="62" t="s">
        <v>476</v>
      </c>
      <c r="D104" s="257">
        <f>'P2-Exp. &amp; Rev. Credits'!F19</f>
        <v>34233573.922562942</v>
      </c>
      <c r="E104" s="97"/>
      <c r="F104" s="97" t="s">
        <v>31</v>
      </c>
      <c r="G104" s="120">
        <f>$I$187</f>
        <v>0.1248254792149225</v>
      </c>
      <c r="H104" s="97"/>
      <c r="I104" s="54">
        <f t="shared" si="2"/>
        <v>4273222.2701233933</v>
      </c>
      <c r="J104" s="97"/>
      <c r="K104" s="97" t="s">
        <v>2</v>
      </c>
    </row>
    <row r="105" spans="1:11">
      <c r="A105" s="68">
        <v>4</v>
      </c>
      <c r="B105" s="62" t="s">
        <v>832</v>
      </c>
      <c r="C105" s="62"/>
      <c r="D105" s="97"/>
      <c r="E105" s="97"/>
      <c r="F105" s="105"/>
      <c r="G105" s="120"/>
      <c r="H105" s="97"/>
      <c r="I105" s="46"/>
      <c r="J105" s="97"/>
      <c r="K105" s="97"/>
    </row>
    <row r="106" spans="1:11">
      <c r="A106" s="68">
        <v>5</v>
      </c>
      <c r="B106" s="62" t="s">
        <v>488</v>
      </c>
      <c r="C106" s="62" t="s">
        <v>477</v>
      </c>
      <c r="D106" s="257">
        <f>'P2-Exp. &amp; Rev. Credits'!F21</f>
        <v>2053926.0300021293</v>
      </c>
      <c r="E106" s="97"/>
      <c r="F106" s="105" t="s">
        <v>31</v>
      </c>
      <c r="G106" s="120">
        <f>$I$187</f>
        <v>0.1248254792149225</v>
      </c>
      <c r="H106" s="97"/>
      <c r="I106" s="46">
        <f t="shared" si="2"/>
        <v>256382.30096701908</v>
      </c>
      <c r="J106" s="97"/>
      <c r="K106" s="97"/>
    </row>
    <row r="107" spans="1:11">
      <c r="A107" s="68" t="s">
        <v>99</v>
      </c>
      <c r="B107" s="62" t="s">
        <v>489</v>
      </c>
      <c r="C107" s="62" t="s">
        <v>478</v>
      </c>
      <c r="D107" s="257">
        <f>'P2-Exp. &amp; Rev. Credits'!F22</f>
        <v>0</v>
      </c>
      <c r="E107" s="97"/>
      <c r="F107" s="126" t="str">
        <f>+F101</f>
        <v>TE</v>
      </c>
      <c r="G107" s="120">
        <f>$I$179</f>
        <v>0.93495713255492408</v>
      </c>
      <c r="H107" s="97"/>
      <c r="I107" s="46">
        <f>+G107*D107</f>
        <v>0</v>
      </c>
      <c r="J107" s="97"/>
      <c r="K107" s="97"/>
    </row>
    <row r="108" spans="1:11">
      <c r="A108" s="68" t="s">
        <v>133</v>
      </c>
      <c r="B108" s="62" t="s">
        <v>694</v>
      </c>
      <c r="C108" s="62" t="s">
        <v>479</v>
      </c>
      <c r="D108" s="257">
        <f>'P2-Exp. &amp; Rev. Credits'!F23</f>
        <v>302806.47460000002</v>
      </c>
      <c r="E108" s="97"/>
      <c r="F108" s="105" t="s">
        <v>31</v>
      </c>
      <c r="G108" s="120">
        <f>$I$187</f>
        <v>0.1248254792149225</v>
      </c>
      <c r="H108" s="97"/>
      <c r="I108" s="51">
        <f t="shared" ref="I108:I109" si="3">+G108*D108</f>
        <v>37797.963301326257</v>
      </c>
      <c r="J108" s="97"/>
      <c r="K108" s="97"/>
    </row>
    <row r="109" spans="1:11">
      <c r="A109" s="68" t="s">
        <v>134</v>
      </c>
      <c r="B109" s="62" t="s">
        <v>695</v>
      </c>
      <c r="C109" s="62" t="s">
        <v>480</v>
      </c>
      <c r="D109" s="257">
        <f>'P2-Exp. &amp; Rev. Credits'!F24</f>
        <v>398506.89400023135</v>
      </c>
      <c r="E109" s="97"/>
      <c r="F109" s="105" t="str">
        <f>+F108</f>
        <v>W/S</v>
      </c>
      <c r="G109" s="120">
        <f>$I$187</f>
        <v>0.1248254792149225</v>
      </c>
      <c r="H109" s="97"/>
      <c r="I109" s="51">
        <f t="shared" si="3"/>
        <v>49743.814014029202</v>
      </c>
      <c r="J109" s="97"/>
      <c r="K109" s="97"/>
    </row>
    <row r="110" spans="1:11">
      <c r="A110" s="68">
        <v>6</v>
      </c>
      <c r="B110" s="62" t="s">
        <v>58</v>
      </c>
      <c r="C110" s="62" t="s">
        <v>481</v>
      </c>
      <c r="D110" s="257">
        <f>'P2-Exp. &amp; Rev. Credits'!F25</f>
        <v>0</v>
      </c>
      <c r="E110" s="97"/>
      <c r="F110" s="97" t="s">
        <v>1255</v>
      </c>
      <c r="G110" s="120">
        <f>K191</f>
        <v>0.12201673244143903</v>
      </c>
      <c r="H110" s="97"/>
      <c r="I110" s="54">
        <f t="shared" si="2"/>
        <v>0</v>
      </c>
      <c r="J110" s="97"/>
      <c r="K110" s="97"/>
    </row>
    <row r="111" spans="1:11" ht="13.8" thickBot="1">
      <c r="A111" s="68">
        <v>7</v>
      </c>
      <c r="B111" s="62" t="s">
        <v>40</v>
      </c>
      <c r="C111" s="62" t="s">
        <v>482</v>
      </c>
      <c r="D111" s="257">
        <f>'P2-Exp. &amp; Rev. Credits'!F26</f>
        <v>0</v>
      </c>
      <c r="E111" s="97"/>
      <c r="F111" s="97" t="s">
        <v>290</v>
      </c>
      <c r="G111" s="120">
        <v>1</v>
      </c>
      <c r="H111" s="97"/>
      <c r="I111" s="55">
        <f t="shared" si="2"/>
        <v>0</v>
      </c>
      <c r="J111" s="97"/>
      <c r="K111" s="97"/>
    </row>
    <row r="112" spans="1:11">
      <c r="A112" s="68">
        <v>8</v>
      </c>
      <c r="B112" s="62" t="s">
        <v>1151</v>
      </c>
      <c r="C112" s="167" t="s">
        <v>1150</v>
      </c>
      <c r="D112" s="546">
        <f>D101+D104+D107+D108+D110+D111-D102-D103-D106-D109</f>
        <v>34979496.256291777</v>
      </c>
      <c r="E112" s="97"/>
      <c r="F112" s="97"/>
      <c r="G112" s="120"/>
      <c r="H112" s="97"/>
      <c r="I112" s="54">
        <f>+I101-I102-I103+I104-I106+I110+I111+I107+I108-I109</f>
        <v>6712108.1058929162</v>
      </c>
      <c r="J112" s="97"/>
      <c r="K112" s="97"/>
    </row>
    <row r="113" spans="1:11">
      <c r="A113" s="68"/>
      <c r="C113" s="97"/>
      <c r="E113" s="97"/>
      <c r="F113" s="97"/>
      <c r="G113" s="120"/>
      <c r="H113" s="97"/>
      <c r="J113" s="97"/>
      <c r="K113" s="97"/>
    </row>
    <row r="114" spans="1:11">
      <c r="A114" s="68"/>
      <c r="B114" s="62" t="s">
        <v>490</v>
      </c>
      <c r="C114" s="97"/>
      <c r="D114" s="97"/>
      <c r="E114" s="97"/>
      <c r="F114" s="97"/>
      <c r="G114" s="120"/>
      <c r="H114" s="97"/>
      <c r="I114" s="97"/>
      <c r="J114" s="97"/>
      <c r="K114" s="97"/>
    </row>
    <row r="115" spans="1:11">
      <c r="A115" s="68">
        <v>9</v>
      </c>
      <c r="B115" s="123" t="str">
        <f>+B101</f>
        <v xml:space="preserve">  Transmission </v>
      </c>
      <c r="C115" s="42" t="s">
        <v>827</v>
      </c>
      <c r="D115" s="257">
        <f>'P1-Trans Plant'!E43</f>
        <v>6739419.2962269532</v>
      </c>
      <c r="E115" s="97"/>
      <c r="F115" s="97" t="s">
        <v>11</v>
      </c>
      <c r="G115" s="120">
        <f>$I$170</f>
        <v>0.93495713255492408</v>
      </c>
      <c r="H115" s="97"/>
      <c r="I115" s="54">
        <f>+G115*D115</f>
        <v>6301068.1402856763</v>
      </c>
      <c r="J115" s="97"/>
      <c r="K115" s="122"/>
    </row>
    <row r="116" spans="1:11">
      <c r="A116" s="68">
        <v>10</v>
      </c>
      <c r="B116" s="62" t="s">
        <v>114</v>
      </c>
      <c r="C116" s="62" t="s">
        <v>450</v>
      </c>
      <c r="D116" s="257">
        <f>'Act Att-H'!D121</f>
        <v>3892369</v>
      </c>
      <c r="E116" s="97"/>
      <c r="F116" s="97" t="s">
        <v>31</v>
      </c>
      <c r="G116" s="120">
        <f>+G104</f>
        <v>0.1248254792149225</v>
      </c>
      <c r="H116" s="97"/>
      <c r="I116" s="54">
        <f>+G116*D116</f>
        <v>485866.82570630865</v>
      </c>
      <c r="J116" s="97"/>
      <c r="K116" s="122"/>
    </row>
    <row r="117" spans="1:11">
      <c r="A117" s="68">
        <v>11</v>
      </c>
      <c r="B117" s="123" t="str">
        <f>+B110</f>
        <v xml:space="preserve">  Other</v>
      </c>
      <c r="C117" s="62" t="s">
        <v>452</v>
      </c>
      <c r="D117" s="257">
        <f>'Act Att-H'!D122</f>
        <v>0</v>
      </c>
      <c r="E117" s="97"/>
      <c r="F117" s="97" t="s">
        <v>1255</v>
      </c>
      <c r="G117" s="120">
        <f>+G110</f>
        <v>0.12201673244143903</v>
      </c>
      <c r="H117" s="97"/>
      <c r="I117" s="54">
        <f>+G117*D117</f>
        <v>0</v>
      </c>
      <c r="J117" s="97"/>
      <c r="K117" s="122"/>
    </row>
    <row r="118" spans="1:11" s="2" customFormat="1" ht="13.8" thickBot="1">
      <c r="A118" s="65" t="s">
        <v>299</v>
      </c>
      <c r="B118" s="48" t="s">
        <v>303</v>
      </c>
      <c r="C118" s="62" t="s">
        <v>792</v>
      </c>
      <c r="D118" s="257">
        <f>'Act Att-H'!D123</f>
        <v>0</v>
      </c>
      <c r="E118" s="46"/>
      <c r="F118" s="64"/>
      <c r="G118" s="607"/>
      <c r="H118" s="46"/>
      <c r="I118" s="59">
        <f>+G118*D118</f>
        <v>0</v>
      </c>
      <c r="J118" s="43"/>
      <c r="K118" s="53"/>
    </row>
    <row r="119" spans="1:11">
      <c r="A119" s="68">
        <v>12</v>
      </c>
      <c r="B119" s="62" t="s">
        <v>304</v>
      </c>
      <c r="C119" s="165" t="s">
        <v>305</v>
      </c>
      <c r="D119" s="546">
        <f>SUM(D115:D118)</f>
        <v>10631788.296226952</v>
      </c>
      <c r="E119" s="97"/>
      <c r="F119" s="97"/>
      <c r="G119" s="120"/>
      <c r="H119" s="97"/>
      <c r="I119" s="54">
        <f>SUM(I115:I118)</f>
        <v>6786934.9659919851</v>
      </c>
      <c r="J119" s="97"/>
      <c r="K119" s="97"/>
    </row>
    <row r="120" spans="1:11">
      <c r="A120" s="68"/>
      <c r="B120" s="62"/>
      <c r="C120" s="97"/>
      <c r="D120" s="97"/>
      <c r="E120" s="97"/>
      <c r="F120" s="97"/>
      <c r="G120" s="120"/>
      <c r="H120" s="97"/>
      <c r="I120" s="97"/>
      <c r="J120" s="97"/>
      <c r="K120" s="97"/>
    </row>
    <row r="121" spans="1:11">
      <c r="A121" s="68" t="s">
        <v>2</v>
      </c>
      <c r="B121" s="62" t="s">
        <v>491</v>
      </c>
      <c r="D121" s="97"/>
      <c r="E121" s="97"/>
      <c r="F121" s="97"/>
      <c r="G121" s="120"/>
      <c r="H121" s="97"/>
      <c r="I121" s="97"/>
      <c r="J121" s="97"/>
      <c r="K121" s="97"/>
    </row>
    <row r="122" spans="1:11">
      <c r="A122" s="68"/>
      <c r="B122" s="62" t="s">
        <v>41</v>
      </c>
      <c r="C122" s="62"/>
      <c r="E122" s="97"/>
      <c r="F122" s="97"/>
      <c r="G122" s="120"/>
      <c r="H122" s="97"/>
      <c r="J122" s="97"/>
      <c r="K122" s="122"/>
    </row>
    <row r="123" spans="1:11">
      <c r="A123" s="68">
        <v>13</v>
      </c>
      <c r="B123" s="62" t="s">
        <v>42</v>
      </c>
      <c r="C123" s="62" t="s">
        <v>1109</v>
      </c>
      <c r="D123" s="257">
        <f>'P2-Exp. &amp; Rev. Credits'!F32</f>
        <v>1997004.8280034252</v>
      </c>
      <c r="E123" s="97"/>
      <c r="F123" s="97" t="s">
        <v>31</v>
      </c>
      <c r="G123" s="120">
        <f>+G116</f>
        <v>0.1248254792149225</v>
      </c>
      <c r="H123" s="97"/>
      <c r="I123" s="54">
        <f>+G123*D123</f>
        <v>249277.08465004142</v>
      </c>
      <c r="J123" s="97"/>
      <c r="K123" s="122"/>
    </row>
    <row r="124" spans="1:11">
      <c r="A124" s="68">
        <v>14</v>
      </c>
      <c r="B124" s="62" t="s">
        <v>43</v>
      </c>
      <c r="C124" s="62" t="s">
        <v>1110</v>
      </c>
      <c r="D124" s="257">
        <f>'P2-Exp. &amp; Rev. Credits'!F33</f>
        <v>0</v>
      </c>
      <c r="E124" s="97"/>
      <c r="F124" s="105" t="str">
        <f>+F123</f>
        <v>W/S</v>
      </c>
      <c r="G124" s="120">
        <f>+G123</f>
        <v>0.1248254792149225</v>
      </c>
      <c r="H124" s="97"/>
      <c r="I124" s="54">
        <f>+G124*D124</f>
        <v>0</v>
      </c>
      <c r="J124" s="97"/>
      <c r="K124" s="122"/>
    </row>
    <row r="125" spans="1:11">
      <c r="A125" s="68">
        <v>15</v>
      </c>
      <c r="B125" s="62" t="s">
        <v>44</v>
      </c>
      <c r="C125" s="62" t="s">
        <v>2</v>
      </c>
      <c r="D125" s="97" t="s">
        <v>2</v>
      </c>
      <c r="E125" s="97"/>
      <c r="F125" s="97"/>
      <c r="G125" s="120"/>
      <c r="H125" s="97"/>
      <c r="J125" s="97"/>
      <c r="K125" s="122"/>
    </row>
    <row r="126" spans="1:11">
      <c r="A126" s="68">
        <v>16</v>
      </c>
      <c r="B126" s="62" t="s">
        <v>45</v>
      </c>
      <c r="C126" s="62" t="s">
        <v>1111</v>
      </c>
      <c r="D126" s="257">
        <f>'P2-Exp. &amp; Rev. Credits'!F35</f>
        <v>13672277.69079536</v>
      </c>
      <c r="E126" s="97"/>
      <c r="F126" s="97" t="s">
        <v>36</v>
      </c>
      <c r="G126" s="120">
        <f>$G$222</f>
        <v>0.27335514706963876</v>
      </c>
      <c r="H126" s="97"/>
      <c r="I126" s="54">
        <f>+G126*D126</f>
        <v>3737387.4789443067</v>
      </c>
      <c r="J126" s="97"/>
      <c r="K126" s="122"/>
    </row>
    <row r="127" spans="1:11">
      <c r="A127" s="68">
        <v>17</v>
      </c>
      <c r="B127" s="62" t="s">
        <v>46</v>
      </c>
      <c r="C127" s="62" t="s">
        <v>1112</v>
      </c>
      <c r="D127" s="257">
        <f>'P2-Exp. &amp; Rev. Credits'!F36</f>
        <v>-59909.669158899385</v>
      </c>
      <c r="E127" s="97"/>
      <c r="F127" s="105" t="s">
        <v>27</v>
      </c>
      <c r="G127" s="120">
        <v>0</v>
      </c>
      <c r="H127" s="97"/>
      <c r="I127" s="54">
        <v>0</v>
      </c>
      <c r="J127" s="97"/>
      <c r="K127" s="122"/>
    </row>
    <row r="128" spans="1:11">
      <c r="A128" s="68">
        <v>18</v>
      </c>
      <c r="B128" s="62" t="s">
        <v>58</v>
      </c>
      <c r="C128" s="62" t="s">
        <v>1113</v>
      </c>
      <c r="D128" s="257">
        <f>'P2-Exp. &amp; Rev. Credits'!F37</f>
        <v>0</v>
      </c>
      <c r="E128" s="97"/>
      <c r="F128" s="623"/>
      <c r="G128" s="607"/>
      <c r="H128" s="97"/>
      <c r="I128" s="54">
        <f>+G128*D128</f>
        <v>0</v>
      </c>
      <c r="J128" s="97"/>
      <c r="K128" s="122"/>
    </row>
    <row r="129" spans="1:11" ht="13.8" thickBot="1">
      <c r="A129" s="68">
        <v>19</v>
      </c>
      <c r="B129" s="62" t="s">
        <v>794</v>
      </c>
      <c r="C129" s="62"/>
      <c r="D129" s="545"/>
      <c r="E129" s="97"/>
      <c r="F129" s="97"/>
      <c r="G129" s="120"/>
      <c r="H129" s="97"/>
      <c r="I129" s="54"/>
      <c r="J129" s="97"/>
      <c r="K129" s="122"/>
    </row>
    <row r="130" spans="1:11">
      <c r="A130" s="68">
        <v>20</v>
      </c>
      <c r="B130" s="62" t="s">
        <v>307</v>
      </c>
      <c r="C130" s="165" t="s">
        <v>306</v>
      </c>
      <c r="D130" s="546">
        <f>SUM(D123:D129)</f>
        <v>15609372.849639885</v>
      </c>
      <c r="E130" s="97"/>
      <c r="F130" s="97"/>
      <c r="G130" s="120"/>
      <c r="H130" s="97"/>
      <c r="I130" s="63">
        <f>SUM(I123:I129)</f>
        <v>3986664.5635943483</v>
      </c>
      <c r="J130" s="97"/>
      <c r="K130" s="97"/>
    </row>
    <row r="131" spans="1:11">
      <c r="A131" s="68"/>
      <c r="B131" s="62"/>
      <c r="C131" s="97"/>
      <c r="D131" s="97"/>
      <c r="E131" s="97"/>
      <c r="F131" s="97"/>
      <c r="G131" s="120"/>
      <c r="H131" s="97"/>
      <c r="I131" s="97"/>
      <c r="J131" s="97"/>
      <c r="K131" s="97"/>
    </row>
    <row r="132" spans="1:11">
      <c r="A132" s="68" t="s">
        <v>2</v>
      </c>
      <c r="B132" s="62" t="s">
        <v>48</v>
      </c>
      <c r="C132" s="97" t="s">
        <v>483</v>
      </c>
      <c r="D132" s="97"/>
      <c r="E132" s="97"/>
      <c r="G132" s="120"/>
      <c r="H132" s="97"/>
      <c r="J132" s="97"/>
    </row>
    <row r="133" spans="1:11">
      <c r="A133" s="68">
        <v>21</v>
      </c>
      <c r="B133" s="129" t="s">
        <v>95</v>
      </c>
      <c r="C133" s="97"/>
      <c r="D133" s="130">
        <f>IF(D239&gt;0,1-(((1-D240)*(1-D239))/(1-D240*D239*D241)),0)</f>
        <v>0.24475999999999998</v>
      </c>
      <c r="E133" s="97"/>
      <c r="G133" s="120"/>
      <c r="H133" s="97"/>
      <c r="J133" s="97"/>
    </row>
    <row r="134" spans="1:11">
      <c r="A134" s="68">
        <v>22</v>
      </c>
      <c r="B134" s="93" t="s">
        <v>703</v>
      </c>
      <c r="C134" s="97"/>
      <c r="D134" s="130">
        <f>IF(I199&gt;0,(D133/(1-D133))*(1-I197/I199),0)</f>
        <v>0.21798887795536198</v>
      </c>
      <c r="E134" s="97"/>
      <c r="G134" s="120"/>
      <c r="H134" s="97"/>
      <c r="J134" s="97"/>
    </row>
    <row r="135" spans="1:11">
      <c r="A135" s="68"/>
      <c r="B135" s="62" t="s">
        <v>1083</v>
      </c>
      <c r="C135" s="97"/>
      <c r="D135" s="97"/>
      <c r="E135" s="97"/>
      <c r="G135" s="120"/>
      <c r="H135" s="97"/>
      <c r="J135" s="97"/>
    </row>
    <row r="136" spans="1:11">
      <c r="A136" s="68"/>
      <c r="B136" s="62" t="s">
        <v>484</v>
      </c>
      <c r="C136" s="97"/>
      <c r="D136" s="97"/>
      <c r="E136" s="97"/>
      <c r="G136" s="120"/>
      <c r="H136" s="97"/>
      <c r="J136" s="97"/>
    </row>
    <row r="137" spans="1:11">
      <c r="A137" s="68">
        <v>23</v>
      </c>
      <c r="B137" s="129" t="s">
        <v>96</v>
      </c>
      <c r="C137" s="97"/>
      <c r="D137" s="547">
        <f>IF(D133&gt;0,1/(1-D133),0)</f>
        <v>1.3240824108892537</v>
      </c>
      <c r="E137" s="97"/>
      <c r="G137" s="120"/>
      <c r="H137" s="97"/>
      <c r="J137" s="97"/>
    </row>
    <row r="138" spans="1:11">
      <c r="A138" s="68">
        <v>24</v>
      </c>
      <c r="B138" s="62" t="s">
        <v>701</v>
      </c>
      <c r="C138" s="62" t="s">
        <v>453</v>
      </c>
      <c r="D138" s="257">
        <f>'Act Att-H'!D143</f>
        <v>748451</v>
      </c>
      <c r="E138" s="97"/>
      <c r="G138" s="120"/>
      <c r="H138" s="97"/>
      <c r="J138" s="97"/>
    </row>
    <row r="139" spans="1:11">
      <c r="A139" s="68" t="s">
        <v>300</v>
      </c>
      <c r="B139" s="45" t="s">
        <v>1039</v>
      </c>
      <c r="C139" s="62" t="s">
        <v>736</v>
      </c>
      <c r="D139" s="257">
        <f>'Act Att-H'!D144</f>
        <v>247963.97555122862</v>
      </c>
      <c r="E139" s="97"/>
      <c r="G139" s="120"/>
      <c r="H139" s="97"/>
      <c r="J139" s="97"/>
    </row>
    <row r="140" spans="1:11">
      <c r="A140" s="68" t="s">
        <v>625</v>
      </c>
      <c r="B140" s="45" t="s">
        <v>1192</v>
      </c>
      <c r="C140" s="62" t="s">
        <v>745</v>
      </c>
      <c r="D140" s="257">
        <f>'Act Att-H'!D145</f>
        <v>31074.52</v>
      </c>
      <c r="E140" s="97"/>
      <c r="G140" s="120"/>
      <c r="H140" s="97"/>
      <c r="J140" s="97"/>
    </row>
    <row r="141" spans="1:11">
      <c r="A141" s="68" t="s">
        <v>301</v>
      </c>
      <c r="B141" s="45" t="s">
        <v>298</v>
      </c>
      <c r="C141" s="62" t="s">
        <v>454</v>
      </c>
      <c r="D141" s="257">
        <f>'Act Att-H'!D146</f>
        <v>7605.7995151999994</v>
      </c>
      <c r="E141" s="97"/>
      <c r="G141" s="120"/>
      <c r="H141" s="97"/>
      <c r="J141" s="97"/>
    </row>
    <row r="142" spans="1:11">
      <c r="A142" s="68">
        <v>25</v>
      </c>
      <c r="B142" s="129" t="s">
        <v>310</v>
      </c>
      <c r="C142" s="131" t="s">
        <v>308</v>
      </c>
      <c r="D142" s="545">
        <f>D134*D149</f>
        <v>4986180.8806459913</v>
      </c>
      <c r="E142" s="97"/>
      <c r="F142" s="97"/>
      <c r="G142" s="120"/>
      <c r="H142" s="97"/>
      <c r="I142" s="54">
        <f>D134*I149</f>
        <v>3932196.844344622</v>
      </c>
      <c r="J142" s="97"/>
      <c r="K142" s="132" t="s">
        <v>2</v>
      </c>
    </row>
    <row r="143" spans="1:11">
      <c r="A143" s="68">
        <v>26</v>
      </c>
      <c r="B143" s="93" t="s">
        <v>311</v>
      </c>
      <c r="C143" s="131" t="s">
        <v>309</v>
      </c>
      <c r="D143" s="545">
        <f>D137*D138</f>
        <v>991010.80451247282</v>
      </c>
      <c r="E143" s="97"/>
      <c r="F143" s="43" t="s">
        <v>36</v>
      </c>
      <c r="G143" s="120">
        <f>$G$222</f>
        <v>0.27335514706963876</v>
      </c>
      <c r="H143" s="97"/>
      <c r="I143" s="54">
        <f>G143*D143</f>
        <v>270897.90421510802</v>
      </c>
      <c r="J143" s="97"/>
      <c r="K143" s="132"/>
    </row>
    <row r="144" spans="1:11">
      <c r="A144" s="68" t="s">
        <v>312</v>
      </c>
      <c r="B144" s="123" t="s">
        <v>1040</v>
      </c>
      <c r="C144" s="66" t="s">
        <v>315</v>
      </c>
      <c r="D144" s="545">
        <f>D137*D139</f>
        <v>328324.73856155475</v>
      </c>
      <c r="E144" s="97"/>
      <c r="G144" s="120"/>
      <c r="H144" s="97"/>
      <c r="I144" s="54">
        <f>D144</f>
        <v>328324.73856155475</v>
      </c>
      <c r="J144" s="97"/>
      <c r="K144" s="132"/>
    </row>
    <row r="145" spans="1:11">
      <c r="A145" s="68" t="s">
        <v>313</v>
      </c>
      <c r="B145" s="52" t="s">
        <v>314</v>
      </c>
      <c r="C145" s="66" t="s">
        <v>316</v>
      </c>
      <c r="D145" s="545">
        <f>D137*D141</f>
        <v>10070.705358826332</v>
      </c>
      <c r="E145" s="97"/>
      <c r="G145" s="120"/>
      <c r="H145" s="97"/>
      <c r="I145" s="54">
        <f>D145</f>
        <v>10070.705358826332</v>
      </c>
      <c r="J145" s="97"/>
      <c r="K145" s="132"/>
    </row>
    <row r="146" spans="1:11">
      <c r="A146" s="68">
        <v>27</v>
      </c>
      <c r="B146" s="129" t="s">
        <v>89</v>
      </c>
      <c r="C146" s="52" t="s">
        <v>702</v>
      </c>
      <c r="D146" s="546">
        <f>D142+D145-D143-D144</f>
        <v>3676916.0429307902</v>
      </c>
      <c r="E146" s="97"/>
      <c r="F146" s="97" t="s">
        <v>2</v>
      </c>
      <c r="G146" s="120" t="s">
        <v>2</v>
      </c>
      <c r="H146" s="97"/>
      <c r="I146" s="546">
        <f>I142+I145-I143-I144</f>
        <v>3343044.9069267856</v>
      </c>
      <c r="J146" s="97"/>
      <c r="K146" s="97"/>
    </row>
    <row r="147" spans="1:11">
      <c r="A147" s="68" t="s">
        <v>2</v>
      </c>
      <c r="C147" s="133"/>
      <c r="D147" s="545"/>
      <c r="E147" s="97"/>
      <c r="F147" s="97"/>
      <c r="G147" s="120"/>
      <c r="H147" s="97"/>
      <c r="I147" s="97"/>
      <c r="J147" s="97"/>
      <c r="K147" s="97"/>
    </row>
    <row r="148" spans="1:11">
      <c r="B148" s="62" t="s">
        <v>49</v>
      </c>
      <c r="C148" s="122"/>
      <c r="G148" s="120"/>
      <c r="J148" s="97"/>
    </row>
    <row r="149" spans="1:11">
      <c r="A149" s="68">
        <v>28</v>
      </c>
      <c r="B149" s="129" t="s">
        <v>545</v>
      </c>
      <c r="C149" s="648" t="s">
        <v>790</v>
      </c>
      <c r="D149" s="54">
        <f>+$I199*D87+I202</f>
        <v>22873556.336516496</v>
      </c>
      <c r="E149" s="97"/>
      <c r="F149" s="97"/>
      <c r="G149" s="120"/>
      <c r="H149" s="97"/>
      <c r="I149" s="54">
        <f>+$I199*I87+I202</f>
        <v>18038520.502636954</v>
      </c>
      <c r="J149" s="97"/>
      <c r="K149" s="122"/>
    </row>
    <row r="150" spans="1:11">
      <c r="A150" s="68"/>
      <c r="B150" s="62"/>
      <c r="D150" s="97"/>
      <c r="E150" s="97"/>
      <c r="F150" s="97"/>
      <c r="G150" s="128"/>
      <c r="H150" s="97"/>
      <c r="I150" s="97"/>
      <c r="J150" s="97"/>
      <c r="K150" s="122"/>
    </row>
    <row r="151" spans="1:11" ht="13.8" thickBot="1">
      <c r="A151" s="68">
        <v>29</v>
      </c>
      <c r="B151" s="62" t="s">
        <v>318</v>
      </c>
      <c r="C151" s="97" t="s">
        <v>317</v>
      </c>
      <c r="D151" s="67">
        <f>+D112+D119+D130+D146+D149</f>
        <v>87771129.781605899</v>
      </c>
      <c r="E151" s="97"/>
      <c r="F151" s="97"/>
      <c r="G151" s="97"/>
      <c r="H151" s="97"/>
      <c r="I151" s="67">
        <f>+I112+I119+I130+I146+I149</f>
        <v>38867273.045042992</v>
      </c>
      <c r="J151" s="62"/>
      <c r="K151" s="62"/>
    </row>
    <row r="152" spans="1:11" ht="13.8" thickTop="1">
      <c r="A152" s="68"/>
      <c r="B152" s="62"/>
      <c r="C152" s="97"/>
      <c r="D152" s="105"/>
      <c r="E152" s="97"/>
      <c r="F152" s="97"/>
      <c r="G152" s="97"/>
      <c r="H152" s="97"/>
      <c r="I152" s="105"/>
      <c r="J152" s="62"/>
      <c r="K152" s="62"/>
    </row>
    <row r="153" spans="1:11">
      <c r="B153" s="62"/>
      <c r="C153" s="62"/>
      <c r="D153" s="94"/>
      <c r="E153" s="62"/>
      <c r="F153" s="911"/>
      <c r="G153" s="911"/>
      <c r="H153" s="911"/>
      <c r="I153" s="911"/>
      <c r="J153" s="911"/>
      <c r="K153" s="911"/>
    </row>
    <row r="154" spans="1:11">
      <c r="B154" s="62"/>
      <c r="C154" s="62"/>
      <c r="D154" s="94"/>
      <c r="E154" s="62"/>
      <c r="F154" s="62"/>
      <c r="G154" s="62"/>
      <c r="H154" s="62"/>
      <c r="I154" s="912" t="str">
        <f>I1</f>
        <v>Projected Attachment H</v>
      </c>
      <c r="J154" s="912"/>
      <c r="K154" s="912"/>
    </row>
    <row r="155" spans="1:11">
      <c r="B155" s="62"/>
      <c r="C155" s="62"/>
      <c r="D155" s="94"/>
      <c r="E155" s="62"/>
      <c r="F155" s="62"/>
      <c r="G155" s="62"/>
      <c r="H155" s="62"/>
      <c r="I155" s="62"/>
      <c r="J155" s="911" t="s">
        <v>196</v>
      </c>
      <c r="K155" s="911"/>
    </row>
    <row r="156" spans="1:11">
      <c r="B156" s="62"/>
      <c r="C156" s="62"/>
      <c r="D156" s="94"/>
      <c r="E156" s="62"/>
      <c r="F156" s="62"/>
      <c r="G156" s="62"/>
      <c r="H156" s="62"/>
      <c r="I156" s="62"/>
      <c r="J156" s="95"/>
      <c r="K156" s="95"/>
    </row>
    <row r="157" spans="1:11">
      <c r="B157" s="94" t="s">
        <v>0</v>
      </c>
      <c r="C157" s="68" t="s">
        <v>1</v>
      </c>
      <c r="E157" s="62"/>
      <c r="F157" s="62"/>
      <c r="G157" s="960" t="str">
        <f>K4</f>
        <v>Estimated - For the 12 months ended 12/31/2024</v>
      </c>
      <c r="H157" s="960"/>
      <c r="I157" s="960"/>
      <c r="J157" s="960"/>
      <c r="K157" s="960"/>
    </row>
    <row r="158" spans="1:11">
      <c r="B158" s="62"/>
      <c r="C158" s="98" t="s">
        <v>3</v>
      </c>
      <c r="E158" s="97"/>
      <c r="F158" s="97"/>
      <c r="G158" s="97"/>
      <c r="H158" s="62"/>
      <c r="I158" s="62"/>
      <c r="J158" s="62"/>
      <c r="K158" s="62"/>
    </row>
    <row r="159" spans="1:11" ht="9" customHeight="1">
      <c r="A159" s="68"/>
      <c r="J159" s="97"/>
      <c r="K159" s="97"/>
    </row>
    <row r="160" spans="1:11">
      <c r="A160" s="68"/>
      <c r="C160" s="111" t="str">
        <f>C7</f>
        <v>Black Hills Colorado Electric, LLC</v>
      </c>
      <c r="J160" s="97"/>
      <c r="K160" s="97"/>
    </row>
    <row r="161" spans="1:19">
      <c r="A161" s="68"/>
      <c r="C161" s="125"/>
      <c r="J161" s="97"/>
      <c r="K161" s="97"/>
    </row>
    <row r="162" spans="1:19">
      <c r="A162" s="68"/>
      <c r="C162" s="115" t="s">
        <v>124</v>
      </c>
      <c r="E162" s="62"/>
      <c r="F162" s="62"/>
      <c r="G162" s="62"/>
      <c r="H162" s="62"/>
      <c r="I162" s="62"/>
      <c r="J162" s="97"/>
      <c r="K162" s="97"/>
    </row>
    <row r="163" spans="1:19">
      <c r="A163" s="68" t="s">
        <v>4</v>
      </c>
      <c r="B163" s="68" t="s">
        <v>15</v>
      </c>
      <c r="C163" s="68" t="s">
        <v>16</v>
      </c>
      <c r="D163" s="68" t="s">
        <v>17</v>
      </c>
      <c r="E163" s="97" t="s">
        <v>2</v>
      </c>
      <c r="F163" s="97"/>
      <c r="G163" s="112" t="s">
        <v>18</v>
      </c>
      <c r="H163" s="97"/>
      <c r="I163" s="113" t="s">
        <v>19</v>
      </c>
      <c r="J163" s="97"/>
      <c r="K163" s="97"/>
    </row>
    <row r="164" spans="1:19" ht="13.8" thickBot="1">
      <c r="A164" s="101" t="s">
        <v>6</v>
      </c>
      <c r="B164" s="62" t="s">
        <v>116</v>
      </c>
      <c r="C164" s="62"/>
      <c r="D164" s="62"/>
      <c r="E164" s="62"/>
      <c r="F164" s="62"/>
      <c r="G164" s="62"/>
      <c r="J164" s="97"/>
      <c r="K164" s="97"/>
    </row>
    <row r="165" spans="1:19">
      <c r="A165" s="68">
        <v>1</v>
      </c>
      <c r="B165" s="62" t="s">
        <v>320</v>
      </c>
      <c r="C165" s="62" t="s">
        <v>464</v>
      </c>
      <c r="D165" s="97"/>
      <c r="E165" s="97"/>
      <c r="F165" s="97"/>
      <c r="G165" s="97"/>
      <c r="H165" s="97"/>
      <c r="I165" s="257">
        <f>'Act Att-H'!I170</f>
        <v>323128352.09307694</v>
      </c>
      <c r="J165" s="97"/>
      <c r="K165" s="97"/>
    </row>
    <row r="166" spans="1:19">
      <c r="A166" s="68">
        <v>2</v>
      </c>
      <c r="B166" s="62" t="s">
        <v>321</v>
      </c>
      <c r="C166" s="62" t="s">
        <v>465</v>
      </c>
      <c r="I166" s="257">
        <f>'Act Att-H'!I171</f>
        <v>12765145.012935789</v>
      </c>
      <c r="J166" s="97"/>
      <c r="K166" s="97"/>
    </row>
    <row r="167" spans="1:19">
      <c r="A167" s="68">
        <v>3</v>
      </c>
      <c r="B167" s="62" t="s">
        <v>322</v>
      </c>
      <c r="C167" s="62" t="s">
        <v>466</v>
      </c>
      <c r="D167" s="97"/>
      <c r="E167" s="97"/>
      <c r="F167" s="97"/>
      <c r="G167" s="98"/>
      <c r="H167" s="97"/>
      <c r="I167" s="257">
        <f>'Act Att-H'!I172</f>
        <v>8252049.5600000015</v>
      </c>
      <c r="J167" s="97"/>
      <c r="K167" s="97"/>
    </row>
    <row r="168" spans="1:19">
      <c r="A168" s="68">
        <v>4</v>
      </c>
      <c r="B168" s="167" t="s">
        <v>323</v>
      </c>
      <c r="C168" s="167" t="s">
        <v>324</v>
      </c>
      <c r="D168" s="97"/>
      <c r="E168" s="97"/>
      <c r="F168" s="97"/>
      <c r="G168" s="98"/>
      <c r="H168" s="97"/>
      <c r="I168" s="166">
        <f>I165-I166-I167</f>
        <v>302111157.52014112</v>
      </c>
      <c r="J168" s="97"/>
      <c r="K168" s="97"/>
    </row>
    <row r="169" spans="1:19" ht="9" customHeight="1">
      <c r="A169" s="68"/>
      <c r="C169" s="62"/>
      <c r="D169" s="97"/>
      <c r="E169" s="97"/>
      <c r="F169" s="97"/>
      <c r="G169" s="98"/>
      <c r="H169" s="97"/>
      <c r="J169" s="97"/>
      <c r="K169" s="97"/>
    </row>
    <row r="170" spans="1:19">
      <c r="A170" s="68">
        <v>5</v>
      </c>
      <c r="B170" s="62" t="s">
        <v>325</v>
      </c>
      <c r="C170" s="100" t="s">
        <v>326</v>
      </c>
      <c r="D170" s="100"/>
      <c r="E170" s="100"/>
      <c r="F170" s="100"/>
      <c r="G170" s="113"/>
      <c r="H170" s="97" t="s">
        <v>52</v>
      </c>
      <c r="I170" s="136">
        <f>IF(I165&gt;0,I168/I165,0)</f>
        <v>0.93495713255492408</v>
      </c>
      <c r="J170" s="97"/>
      <c r="K170" s="97"/>
      <c r="N170" s="137"/>
      <c r="O170" s="137"/>
      <c r="P170" s="137"/>
    </row>
    <row r="171" spans="1:19" ht="9" customHeight="1">
      <c r="A171" s="68"/>
      <c r="J171" s="97"/>
      <c r="K171" s="97"/>
      <c r="N171" s="62"/>
      <c r="P171" s="97"/>
      <c r="Q171" s="62"/>
    </row>
    <row r="172" spans="1:19">
      <c r="A172" s="68"/>
      <c r="B172" s="62" t="s">
        <v>50</v>
      </c>
      <c r="J172" s="97"/>
      <c r="K172" s="97"/>
      <c r="N172" s="915"/>
      <c r="O172" s="915"/>
      <c r="P172" s="915"/>
      <c r="Q172" s="915"/>
      <c r="R172" s="915"/>
      <c r="S172" s="915"/>
    </row>
    <row r="173" spans="1:19">
      <c r="A173" s="68">
        <v>6</v>
      </c>
      <c r="B173" s="93" t="s">
        <v>327</v>
      </c>
      <c r="C173" s="93" t="s">
        <v>337</v>
      </c>
      <c r="D173" s="62"/>
      <c r="E173" s="62"/>
      <c r="F173" s="62"/>
      <c r="G173" s="68"/>
      <c r="H173" s="62"/>
      <c r="I173" s="257">
        <f>D101</f>
        <v>6498982.5490629552</v>
      </c>
      <c r="J173" s="97"/>
      <c r="K173" s="97"/>
      <c r="P173" s="97"/>
      <c r="Q173" s="62"/>
    </row>
    <row r="174" spans="1:19">
      <c r="A174" s="68">
        <v>7</v>
      </c>
      <c r="B174" s="62" t="s">
        <v>336</v>
      </c>
      <c r="C174" s="62" t="s">
        <v>467</v>
      </c>
      <c r="D174" s="97"/>
      <c r="E174" s="97"/>
      <c r="F174" s="97"/>
      <c r="G174" s="97"/>
      <c r="H174" s="97"/>
      <c r="I174" s="257">
        <f>'Act Att-H'!I179</f>
        <v>0</v>
      </c>
      <c r="J174" s="97"/>
      <c r="K174" s="97"/>
      <c r="N174" s="139"/>
      <c r="O174" s="140"/>
      <c r="P174" s="97"/>
      <c r="Q174" s="62"/>
    </row>
    <row r="175" spans="1:19">
      <c r="A175" s="68">
        <v>8</v>
      </c>
      <c r="B175" s="167" t="s">
        <v>329</v>
      </c>
      <c r="C175" s="169" t="s">
        <v>328</v>
      </c>
      <c r="D175" s="100"/>
      <c r="E175" s="100"/>
      <c r="F175" s="100"/>
      <c r="G175" s="113"/>
      <c r="H175" s="100"/>
      <c r="I175" s="166">
        <f>+I173-I174</f>
        <v>6498982.5490629552</v>
      </c>
      <c r="N175" s="141"/>
      <c r="O175" s="142"/>
      <c r="P175" s="143"/>
      <c r="Q175" s="143"/>
    </row>
    <row r="176" spans="1:19">
      <c r="A176" s="68"/>
      <c r="B176" s="62"/>
      <c r="C176" s="62"/>
      <c r="D176" s="97"/>
      <c r="E176" s="97"/>
      <c r="F176" s="97"/>
      <c r="G176" s="97"/>
      <c r="N176" s="141"/>
      <c r="O176" s="142"/>
    </row>
    <row r="177" spans="1:17">
      <c r="A177" s="68">
        <v>9</v>
      </c>
      <c r="B177" s="62" t="s">
        <v>330</v>
      </c>
      <c r="C177" s="62" t="s">
        <v>338</v>
      </c>
      <c r="D177" s="97"/>
      <c r="E177" s="97"/>
      <c r="F177" s="97"/>
      <c r="G177" s="97"/>
      <c r="H177" s="97"/>
      <c r="I177" s="120">
        <f>IF(I173&gt;0,I175/I173,0)</f>
        <v>1</v>
      </c>
      <c r="N177" s="62"/>
      <c r="O177" s="144"/>
      <c r="P177" s="142"/>
      <c r="Q177" s="142"/>
    </row>
    <row r="178" spans="1:17">
      <c r="A178" s="68">
        <v>10</v>
      </c>
      <c r="B178" s="62" t="s">
        <v>331</v>
      </c>
      <c r="C178" s="62" t="s">
        <v>332</v>
      </c>
      <c r="D178" s="97"/>
      <c r="E178" s="97"/>
      <c r="F178" s="97"/>
      <c r="G178" s="97"/>
      <c r="H178" s="62" t="s">
        <v>11</v>
      </c>
      <c r="I178" s="120">
        <f>I170</f>
        <v>0.93495713255492408</v>
      </c>
      <c r="N178" s="139"/>
      <c r="O178" s="142"/>
      <c r="Q178" s="142"/>
    </row>
    <row r="179" spans="1:17">
      <c r="A179" s="68">
        <v>11</v>
      </c>
      <c r="B179" s="62" t="s">
        <v>334</v>
      </c>
      <c r="C179" s="62" t="s">
        <v>333</v>
      </c>
      <c r="D179" s="62"/>
      <c r="E179" s="62"/>
      <c r="F179" s="62"/>
      <c r="G179" s="62"/>
      <c r="H179" s="62" t="s">
        <v>51</v>
      </c>
      <c r="I179" s="104">
        <f>+I178*I177</f>
        <v>0.93495713255492408</v>
      </c>
      <c r="N179" s="139"/>
      <c r="O179" s="142"/>
      <c r="Q179" s="142"/>
    </row>
    <row r="180" spans="1:17">
      <c r="A180" s="68"/>
      <c r="C180" s="62"/>
      <c r="D180" s="97"/>
      <c r="E180" s="97"/>
      <c r="F180" s="97"/>
      <c r="G180" s="98"/>
      <c r="H180" s="97"/>
      <c r="N180" s="139"/>
      <c r="O180" s="142"/>
      <c r="Q180" s="145"/>
    </row>
    <row r="181" spans="1:17">
      <c r="A181" s="68" t="s">
        <v>2</v>
      </c>
      <c r="B181" s="62" t="s">
        <v>53</v>
      </c>
      <c r="C181" s="97"/>
      <c r="D181" s="97"/>
      <c r="E181" s="97"/>
      <c r="F181" s="97"/>
      <c r="G181" s="97"/>
      <c r="H181" s="97"/>
      <c r="I181" s="97"/>
      <c r="J181" s="97"/>
      <c r="K181" s="97"/>
      <c r="N181" s="141"/>
      <c r="O181" s="142"/>
      <c r="P181" s="97"/>
      <c r="Q181" s="62"/>
    </row>
    <row r="182" spans="1:17" ht="13.8" thickBot="1">
      <c r="A182" s="68" t="s">
        <v>2</v>
      </c>
      <c r="B182" s="62"/>
      <c r="C182" s="146" t="s">
        <v>449</v>
      </c>
      <c r="D182" s="147" t="s">
        <v>55</v>
      </c>
      <c r="E182" s="147" t="s">
        <v>11</v>
      </c>
      <c r="F182" s="97"/>
      <c r="G182" s="147" t="s">
        <v>56</v>
      </c>
      <c r="H182" s="97"/>
      <c r="I182" s="97"/>
      <c r="J182" s="97"/>
      <c r="K182" s="97"/>
      <c r="N182" s="141"/>
      <c r="O182" s="142"/>
      <c r="P182" s="97"/>
      <c r="Q182" s="62"/>
    </row>
    <row r="183" spans="1:17">
      <c r="A183" s="68">
        <v>12</v>
      </c>
      <c r="B183" s="62" t="s">
        <v>26</v>
      </c>
      <c r="C183" s="62" t="s">
        <v>455</v>
      </c>
      <c r="D183" s="257">
        <f>'Act Att-H'!D188</f>
        <v>1682811</v>
      </c>
      <c r="E183" s="148">
        <v>0</v>
      </c>
      <c r="F183" s="148"/>
      <c r="G183" s="105">
        <f>D183*E183</f>
        <v>0</v>
      </c>
      <c r="H183" s="97"/>
      <c r="I183" s="97"/>
      <c r="J183" s="97"/>
      <c r="K183" s="97"/>
    </row>
    <row r="184" spans="1:17">
      <c r="A184" s="68">
        <v>13</v>
      </c>
      <c r="B184" s="62" t="s">
        <v>28</v>
      </c>
      <c r="C184" s="62" t="s">
        <v>456</v>
      </c>
      <c r="D184" s="257">
        <f>'Act Att-H'!D189</f>
        <v>1598959</v>
      </c>
      <c r="E184" s="149">
        <f>+I170</f>
        <v>0.93495713255492408</v>
      </c>
      <c r="F184" s="148"/>
      <c r="G184" s="105">
        <f>D184*E184</f>
        <v>1494958.1217128888</v>
      </c>
      <c r="H184" s="97"/>
      <c r="I184" s="97"/>
      <c r="J184" s="97"/>
      <c r="K184" s="97"/>
    </row>
    <row r="185" spans="1:17">
      <c r="A185" s="68">
        <v>14</v>
      </c>
      <c r="B185" s="62" t="s">
        <v>29</v>
      </c>
      <c r="C185" s="62" t="s">
        <v>457</v>
      </c>
      <c r="D185" s="257">
        <f>'Act Att-H'!D190</f>
        <v>7241028</v>
      </c>
      <c r="E185" s="148">
        <v>0</v>
      </c>
      <c r="F185" s="148"/>
      <c r="G185" s="105">
        <f>D185*E185</f>
        <v>0</v>
      </c>
      <c r="H185" s="97"/>
      <c r="I185" s="98" t="s">
        <v>57</v>
      </c>
      <c r="J185" s="97"/>
      <c r="K185" s="97"/>
    </row>
    <row r="186" spans="1:17" ht="13.8" thickBot="1">
      <c r="A186" s="68">
        <v>15</v>
      </c>
      <c r="B186" s="62" t="s">
        <v>58</v>
      </c>
      <c r="C186" s="62" t="s">
        <v>458</v>
      </c>
      <c r="D186" s="257">
        <f>'Act Att-H'!D191</f>
        <v>1453588</v>
      </c>
      <c r="E186" s="148">
        <v>0</v>
      </c>
      <c r="F186" s="148"/>
      <c r="G186" s="150">
        <f>D186*E186</f>
        <v>0</v>
      </c>
      <c r="H186" s="97"/>
      <c r="I186" s="101" t="s">
        <v>59</v>
      </c>
      <c r="J186" s="97"/>
      <c r="K186" s="97"/>
    </row>
    <row r="187" spans="1:17">
      <c r="A187" s="68">
        <v>16</v>
      </c>
      <c r="B187" s="62" t="s">
        <v>339</v>
      </c>
      <c r="C187" s="97" t="s">
        <v>967</v>
      </c>
      <c r="D187" s="166">
        <f>SUM(D183:D186)</f>
        <v>11976386</v>
      </c>
      <c r="E187" s="97"/>
      <c r="F187" s="97"/>
      <c r="G187" s="105">
        <f>SUM(G183:G186)</f>
        <v>1494958.1217128888</v>
      </c>
      <c r="H187" s="68" t="s">
        <v>60</v>
      </c>
      <c r="I187" s="120">
        <f>IF(G187&gt;0,G187/D187,0)</f>
        <v>0.1248254792149225</v>
      </c>
      <c r="J187" s="98" t="s">
        <v>60</v>
      </c>
      <c r="K187" s="132" t="s">
        <v>97</v>
      </c>
    </row>
    <row r="188" spans="1:17" ht="9" customHeight="1">
      <c r="A188" s="68"/>
      <c r="B188" s="62"/>
      <c r="C188" s="97"/>
      <c r="D188" s="97"/>
      <c r="E188" s="97"/>
      <c r="F188" s="97"/>
      <c r="G188" s="97"/>
      <c r="H188" s="97"/>
      <c r="I188" s="97"/>
      <c r="J188" s="97"/>
      <c r="K188" s="97"/>
    </row>
    <row r="189" spans="1:17">
      <c r="A189" s="68"/>
      <c r="B189" s="62" t="s">
        <v>1254</v>
      </c>
      <c r="C189" s="97"/>
      <c r="D189" s="98" t="s">
        <v>55</v>
      </c>
      <c r="E189" s="97"/>
      <c r="F189" s="97"/>
      <c r="G189" s="98" t="s">
        <v>61</v>
      </c>
      <c r="H189" s="128" t="s">
        <v>2</v>
      </c>
      <c r="I189" s="121" t="str">
        <f>+I185</f>
        <v>W&amp;S Allocator</v>
      </c>
      <c r="J189" s="97"/>
      <c r="K189" s="97"/>
    </row>
    <row r="190" spans="1:17">
      <c r="A190" s="68">
        <v>17</v>
      </c>
      <c r="B190" s="62" t="s">
        <v>62</v>
      </c>
      <c r="C190" s="62" t="s">
        <v>459</v>
      </c>
      <c r="D190" s="257">
        <f>'Act Att-H'!D195</f>
        <v>1234413433</v>
      </c>
      <c r="E190" s="97"/>
      <c r="G190" s="68" t="s">
        <v>64</v>
      </c>
      <c r="H190" s="128"/>
      <c r="I190" s="68" t="s">
        <v>65</v>
      </c>
      <c r="J190" s="97"/>
      <c r="K190" s="68" t="s">
        <v>1255</v>
      </c>
    </row>
    <row r="191" spans="1:17">
      <c r="A191" s="68">
        <v>18</v>
      </c>
      <c r="B191" s="62" t="s">
        <v>66</v>
      </c>
      <c r="C191" s="62" t="s">
        <v>460</v>
      </c>
      <c r="D191" s="257">
        <f>'Act Att-H'!D196</f>
        <v>0</v>
      </c>
      <c r="E191" s="97"/>
      <c r="G191" s="104">
        <f>IF(D193&gt;0,D190/D193,0)</f>
        <v>0.97749861013032913</v>
      </c>
      <c r="H191" s="98" t="s">
        <v>67</v>
      </c>
      <c r="I191" s="104">
        <f>I187</f>
        <v>0.1248254792149225</v>
      </c>
      <c r="J191" s="128" t="s">
        <v>60</v>
      </c>
      <c r="K191" s="151">
        <f>I191*G191</f>
        <v>0.12201673244143903</v>
      </c>
    </row>
    <row r="192" spans="1:17">
      <c r="A192" s="68">
        <v>19</v>
      </c>
      <c r="B192" s="62" t="s">
        <v>58</v>
      </c>
      <c r="C192" s="62" t="s">
        <v>461</v>
      </c>
      <c r="D192" s="257">
        <f>'Act Att-H'!D197</f>
        <v>28415404</v>
      </c>
      <c r="E192" s="97"/>
      <c r="F192" s="97"/>
      <c r="G192" s="97" t="s">
        <v>2</v>
      </c>
      <c r="H192" s="97"/>
      <c r="I192" s="97"/>
      <c r="J192" s="97"/>
      <c r="K192" s="97"/>
    </row>
    <row r="193" spans="1:11">
      <c r="A193" s="68">
        <v>20</v>
      </c>
      <c r="B193" s="167" t="s">
        <v>339</v>
      </c>
      <c r="C193" s="168" t="s">
        <v>340</v>
      </c>
      <c r="D193" s="166">
        <f>D190+D191+D192</f>
        <v>1262828837</v>
      </c>
      <c r="E193" s="97"/>
      <c r="F193" s="97"/>
      <c r="G193" s="97"/>
      <c r="H193" s="97"/>
      <c r="I193" s="97"/>
      <c r="J193" s="97"/>
      <c r="K193" s="97"/>
    </row>
    <row r="194" spans="1:11" ht="9" customHeight="1">
      <c r="A194" s="68"/>
      <c r="B194" s="62"/>
      <c r="C194" s="97"/>
      <c r="E194" s="97"/>
      <c r="F194" s="97"/>
      <c r="G194" s="97"/>
      <c r="H194" s="97"/>
      <c r="I194" s="97"/>
      <c r="J194" s="97"/>
      <c r="K194" s="97"/>
    </row>
    <row r="195" spans="1:11" ht="13.8" thickBot="1">
      <c r="A195" s="68"/>
      <c r="B195" s="62" t="s">
        <v>68</v>
      </c>
      <c r="C195" s="97"/>
      <c r="D195" s="97"/>
      <c r="E195" s="97"/>
      <c r="F195" s="97"/>
      <c r="G195" s="97"/>
      <c r="H195" s="97"/>
      <c r="I195" s="147" t="s">
        <v>55</v>
      </c>
      <c r="J195" s="97"/>
      <c r="K195" s="97"/>
    </row>
    <row r="196" spans="1:11" ht="13.8" thickBot="1">
      <c r="A196" s="68"/>
      <c r="B196" s="62"/>
      <c r="C196" s="97"/>
      <c r="D196" s="97"/>
      <c r="E196" s="101" t="s">
        <v>70</v>
      </c>
      <c r="F196" s="97"/>
      <c r="G196" s="171" t="s">
        <v>69</v>
      </c>
      <c r="H196" s="97"/>
      <c r="I196" s="101" t="s">
        <v>71</v>
      </c>
      <c r="J196" s="97"/>
      <c r="K196" s="97"/>
    </row>
    <row r="197" spans="1:11">
      <c r="A197" s="68">
        <v>21</v>
      </c>
      <c r="B197" s="62" t="s">
        <v>341</v>
      </c>
      <c r="C197" s="62" t="s">
        <v>462</v>
      </c>
      <c r="D197" s="97"/>
      <c r="E197" s="153">
        <v>0.53</v>
      </c>
      <c r="F197" s="154"/>
      <c r="G197" s="615">
        <f>'Act Att-H'!G203</f>
        <v>4.229632551838225E-2</v>
      </c>
      <c r="I197" s="155">
        <f>G197*E197</f>
        <v>2.2417052524742593E-2</v>
      </c>
      <c r="J197" s="156" t="s">
        <v>72</v>
      </c>
    </row>
    <row r="198" spans="1:11" ht="13.8" thickBot="1">
      <c r="A198" s="68">
        <v>22</v>
      </c>
      <c r="B198" s="62" t="s">
        <v>342</v>
      </c>
      <c r="C198" s="62" t="s">
        <v>463</v>
      </c>
      <c r="D198" s="878"/>
      <c r="E198" s="153">
        <v>0.47</v>
      </c>
      <c r="F198" s="154"/>
      <c r="G198" s="615">
        <f>'Act Att-H'!G204</f>
        <v>9.8000000000000004E-2</v>
      </c>
      <c r="I198" s="157">
        <f>G198*E198</f>
        <v>4.6059999999999997E-2</v>
      </c>
      <c r="J198" s="97"/>
    </row>
    <row r="199" spans="1:11">
      <c r="A199" s="68">
        <v>23</v>
      </c>
      <c r="B199" s="167"/>
      <c r="C199" s="169"/>
      <c r="D199" s="97"/>
      <c r="E199" s="97" t="s">
        <v>2</v>
      </c>
      <c r="F199" s="97"/>
      <c r="G199" s="97"/>
      <c r="H199" s="97"/>
      <c r="I199" s="155">
        <f>SUM(I197:I198)</f>
        <v>6.8477052524742593E-2</v>
      </c>
      <c r="J199" s="156" t="s">
        <v>73</v>
      </c>
    </row>
    <row r="200" spans="1:11" ht="9" customHeight="1">
      <c r="E200" s="97"/>
      <c r="F200" s="97"/>
      <c r="G200" s="97"/>
      <c r="H200" s="97"/>
    </row>
    <row r="201" spans="1:11">
      <c r="A201" s="62"/>
      <c r="B201" s="62"/>
      <c r="C201" s="62"/>
      <c r="D201" s="97"/>
      <c r="E201" s="97"/>
      <c r="F201" s="122"/>
      <c r="G201" s="97"/>
      <c r="H201" s="97"/>
      <c r="I201" s="97"/>
      <c r="J201" s="97"/>
      <c r="K201" s="97"/>
    </row>
    <row r="202" spans="1:11">
      <c r="A202" s="68">
        <v>24</v>
      </c>
      <c r="B202" s="62" t="s">
        <v>541</v>
      </c>
      <c r="C202" s="62" t="s">
        <v>552</v>
      </c>
      <c r="D202" s="94"/>
      <c r="E202" s="62"/>
      <c r="F202" s="62"/>
      <c r="G202" s="62"/>
      <c r="H202" s="321"/>
      <c r="I202" s="257">
        <f>'P4-IncentPlant'!F47</f>
        <v>0</v>
      </c>
      <c r="J202" s="321"/>
      <c r="K202" s="321"/>
    </row>
    <row r="203" spans="1:11">
      <c r="B203" s="62"/>
      <c r="C203" s="62"/>
      <c r="D203" s="94"/>
      <c r="E203" s="62"/>
      <c r="F203" s="62"/>
      <c r="G203" s="911"/>
      <c r="H203" s="911"/>
      <c r="I203" s="911"/>
      <c r="J203" s="911"/>
      <c r="K203" s="911"/>
    </row>
    <row r="204" spans="1:11">
      <c r="B204" s="62"/>
      <c r="C204" s="62"/>
      <c r="D204" s="94"/>
      <c r="E204" s="62"/>
      <c r="F204" s="62"/>
      <c r="G204" s="62"/>
      <c r="H204" s="62"/>
      <c r="I204" s="912" t="str">
        <f>I1</f>
        <v>Projected Attachment H</v>
      </c>
      <c r="J204" s="912"/>
      <c r="K204" s="912"/>
    </row>
    <row r="205" spans="1:11">
      <c r="B205" s="62"/>
      <c r="C205" s="62"/>
      <c r="D205" s="94"/>
      <c r="E205" s="62"/>
      <c r="F205" s="62"/>
      <c r="G205" s="62"/>
      <c r="H205" s="62"/>
      <c r="I205" s="62"/>
      <c r="J205" s="911" t="s">
        <v>276</v>
      </c>
      <c r="K205" s="911"/>
    </row>
    <row r="206" spans="1:11">
      <c r="B206" s="62"/>
      <c r="C206" s="62"/>
      <c r="D206" s="94"/>
      <c r="E206" s="62"/>
      <c r="F206" s="62"/>
      <c r="G206" s="62"/>
      <c r="H206" s="62"/>
      <c r="I206" s="62"/>
      <c r="J206" s="62"/>
      <c r="K206" s="95"/>
    </row>
    <row r="207" spans="1:11">
      <c r="B207" s="94" t="s">
        <v>0</v>
      </c>
      <c r="C207" s="68" t="s">
        <v>1</v>
      </c>
      <c r="E207" s="62"/>
      <c r="F207" s="62"/>
      <c r="G207" s="62"/>
      <c r="H207" s="62"/>
      <c r="I207" s="62"/>
      <c r="J207" s="62"/>
      <c r="K207" s="110" t="str">
        <f>K4</f>
        <v>Estimated - For the 12 months ended 12/31/2024</v>
      </c>
    </row>
    <row r="208" spans="1:11">
      <c r="B208" s="62"/>
      <c r="C208" s="98" t="s">
        <v>3</v>
      </c>
      <c r="E208" s="97"/>
      <c r="F208" s="97"/>
      <c r="G208" s="97"/>
      <c r="H208" s="62"/>
      <c r="I208" s="62"/>
      <c r="J208" s="62"/>
      <c r="K208" s="62"/>
    </row>
    <row r="209" spans="1:11">
      <c r="A209" s="68"/>
      <c r="C209" s="97"/>
      <c r="E209" s="97"/>
      <c r="F209" s="97"/>
      <c r="G209" s="97"/>
      <c r="H209" s="62"/>
      <c r="I209" s="141"/>
      <c r="K209" s="97"/>
    </row>
    <row r="210" spans="1:11">
      <c r="A210" s="68"/>
      <c r="C210" s="158" t="str">
        <f>C7</f>
        <v>Black Hills Colorado Electric, LLC</v>
      </c>
      <c r="E210" s="97"/>
      <c r="F210" s="97"/>
      <c r="G210" s="97"/>
      <c r="H210" s="62"/>
      <c r="I210" s="141"/>
      <c r="K210" s="97"/>
    </row>
    <row r="211" spans="1:11">
      <c r="A211" s="68"/>
      <c r="C211" s="158"/>
      <c r="E211" s="97"/>
      <c r="F211" s="97"/>
      <c r="G211" s="97"/>
      <c r="H211" s="62"/>
      <c r="I211" s="141"/>
      <c r="K211" s="97"/>
    </row>
    <row r="212" spans="1:11" ht="15.75" customHeight="1">
      <c r="A212" s="68"/>
      <c r="B212" s="68" t="s">
        <v>15</v>
      </c>
      <c r="C212" s="68" t="s">
        <v>16</v>
      </c>
      <c r="D212" s="68" t="s">
        <v>17</v>
      </c>
      <c r="E212" s="97" t="s">
        <v>2</v>
      </c>
      <c r="F212" s="97"/>
      <c r="G212" s="112" t="s">
        <v>18</v>
      </c>
      <c r="H212" s="97"/>
      <c r="I212" s="113" t="s">
        <v>19</v>
      </c>
      <c r="K212" s="97"/>
    </row>
    <row r="213" spans="1:11">
      <c r="A213" s="68" t="s">
        <v>4</v>
      </c>
      <c r="B213" s="62"/>
      <c r="C213" s="114"/>
      <c r="D213" s="97"/>
      <c r="E213" s="97"/>
      <c r="F213" s="97"/>
      <c r="G213" s="68"/>
      <c r="H213" s="97"/>
      <c r="I213" s="115" t="s">
        <v>21</v>
      </c>
      <c r="J213" s="97"/>
      <c r="K213" s="97"/>
    </row>
    <row r="214" spans="1:11" ht="13.8" thickBot="1">
      <c r="A214" s="101" t="s">
        <v>6</v>
      </c>
      <c r="B214" s="62"/>
      <c r="C214" s="116" t="s">
        <v>449</v>
      </c>
      <c r="D214" s="115" t="s">
        <v>23</v>
      </c>
      <c r="E214" s="117"/>
      <c r="F214" s="115" t="s">
        <v>24</v>
      </c>
      <c r="H214" s="117"/>
      <c r="I214" s="68" t="s">
        <v>25</v>
      </c>
      <c r="J214" s="97"/>
      <c r="K214" s="97"/>
    </row>
    <row r="215" spans="1:11">
      <c r="A215" s="68"/>
      <c r="C215" s="68"/>
      <c r="D215" s="97"/>
      <c r="E215" s="97"/>
      <c r="F215" s="97"/>
      <c r="G215" s="97"/>
      <c r="H215" s="62"/>
      <c r="I215" s="141"/>
      <c r="J215" s="97"/>
      <c r="K215" s="97"/>
    </row>
    <row r="216" spans="1:11">
      <c r="A216" s="68"/>
      <c r="B216" s="62" t="s">
        <v>575</v>
      </c>
      <c r="C216" s="97"/>
      <c r="D216" s="98" t="s">
        <v>55</v>
      </c>
      <c r="E216" s="97"/>
      <c r="F216" s="97"/>
      <c r="G216" s="98"/>
      <c r="H216" s="128" t="s">
        <v>2</v>
      </c>
      <c r="I216" s="121"/>
      <c r="J216" s="97"/>
      <c r="K216" s="97"/>
    </row>
    <row r="217" spans="1:11">
      <c r="A217" s="68">
        <v>1</v>
      </c>
      <c r="B217" s="62" t="s">
        <v>26</v>
      </c>
      <c r="C217" s="97" t="s">
        <v>577</v>
      </c>
      <c r="D217" s="257">
        <f>'Act Att-H'!D45</f>
        <v>430152844.51230776</v>
      </c>
      <c r="E217" s="97"/>
      <c r="F217" s="97" t="s">
        <v>27</v>
      </c>
      <c r="G217" s="119" t="s">
        <v>2</v>
      </c>
      <c r="H217" s="97"/>
      <c r="I217" s="97" t="s">
        <v>2</v>
      </c>
      <c r="J217" s="97"/>
      <c r="K217" s="68"/>
    </row>
    <row r="218" spans="1:11">
      <c r="A218" s="68">
        <v>2</v>
      </c>
      <c r="B218" s="62" t="s">
        <v>28</v>
      </c>
      <c r="C218" s="97" t="s">
        <v>1114</v>
      </c>
      <c r="D218" s="257">
        <f>D45</f>
        <v>385225828.55231911</v>
      </c>
      <c r="E218" s="97"/>
      <c r="F218" s="97" t="s">
        <v>11</v>
      </c>
      <c r="G218" s="120">
        <f>I170</f>
        <v>0.93495713255492408</v>
      </c>
      <c r="H218" s="97"/>
      <c r="I218" s="54">
        <f>+G218*D218</f>
        <v>360169636.04937106</v>
      </c>
      <c r="J218" s="128"/>
      <c r="K218" s="151"/>
    </row>
    <row r="219" spans="1:11">
      <c r="A219" s="68">
        <v>3</v>
      </c>
      <c r="B219" s="62" t="s">
        <v>29</v>
      </c>
      <c r="C219" s="97" t="s">
        <v>582</v>
      </c>
      <c r="D219" s="257">
        <f>'Act Att-H'!D47</f>
        <v>462030307.14813</v>
      </c>
      <c r="E219" s="97"/>
      <c r="F219" s="97" t="s">
        <v>27</v>
      </c>
      <c r="G219" s="119" t="s">
        <v>2</v>
      </c>
      <c r="H219" s="97"/>
      <c r="I219" s="54" t="s">
        <v>2</v>
      </c>
      <c r="J219" s="97"/>
      <c r="K219" s="97"/>
    </row>
    <row r="220" spans="1:11">
      <c r="A220" s="68">
        <v>4</v>
      </c>
      <c r="B220" s="62" t="s">
        <v>30</v>
      </c>
      <c r="C220" s="97" t="s">
        <v>583</v>
      </c>
      <c r="D220" s="257">
        <f>'Act Att-H'!D48</f>
        <v>47750153.816923074</v>
      </c>
      <c r="E220" s="97"/>
      <c r="F220" s="97" t="s">
        <v>31</v>
      </c>
      <c r="G220" s="120">
        <f>I187</f>
        <v>0.1248254792149225</v>
      </c>
      <c r="H220" s="97"/>
      <c r="I220" s="54">
        <f>+G220*D220</f>
        <v>5960435.8327836832</v>
      </c>
      <c r="J220" s="97"/>
      <c r="K220" s="97"/>
    </row>
    <row r="221" spans="1:11">
      <c r="A221" s="68">
        <v>5</v>
      </c>
      <c r="B221" s="62" t="s">
        <v>58</v>
      </c>
      <c r="C221" s="97" t="s">
        <v>584</v>
      </c>
      <c r="D221" s="257">
        <f>'Act Att-H'!D49</f>
        <v>25710603.076923076</v>
      </c>
      <c r="E221" s="97"/>
      <c r="F221" s="97" t="s">
        <v>1255</v>
      </c>
      <c r="G221" s="120">
        <f>K191</f>
        <v>0.12201673244143903</v>
      </c>
      <c r="H221" s="97"/>
      <c r="I221" s="54">
        <f>+G221*D221</f>
        <v>3137123.7765449621</v>
      </c>
      <c r="J221" s="97"/>
      <c r="K221" s="97"/>
    </row>
    <row r="222" spans="1:11">
      <c r="A222" s="68">
        <v>6</v>
      </c>
      <c r="B222" s="167" t="s">
        <v>339</v>
      </c>
      <c r="C222" s="168" t="s">
        <v>1115</v>
      </c>
      <c r="D222" s="166">
        <f>SUM(D217:D221)</f>
        <v>1350869737.1066031</v>
      </c>
      <c r="E222" s="97"/>
      <c r="F222" s="168" t="s">
        <v>32</v>
      </c>
      <c r="G222" s="510">
        <f>IF(I222&gt;0,I222/D222,0)</f>
        <v>0.27335514706963876</v>
      </c>
      <c r="H222" s="97"/>
      <c r="I222" s="170">
        <f>SUM(I217:I221)</f>
        <v>369267195.65869975</v>
      </c>
      <c r="J222" s="97"/>
      <c r="K222" s="97"/>
    </row>
    <row r="223" spans="1:11">
      <c r="A223" s="68"/>
      <c r="B223" s="62"/>
      <c r="C223" s="97"/>
      <c r="D223" s="105"/>
      <c r="E223" s="97"/>
      <c r="F223" s="97"/>
      <c r="G223" s="97"/>
      <c r="H223" s="97"/>
      <c r="I223" s="97"/>
      <c r="J223" s="97"/>
      <c r="K223" s="97"/>
    </row>
    <row r="224" spans="1:11">
      <c r="A224" s="68"/>
      <c r="B224" s="62" t="s">
        <v>576</v>
      </c>
      <c r="C224" s="97"/>
      <c r="D224" s="98" t="s">
        <v>55</v>
      </c>
      <c r="E224" s="97"/>
      <c r="F224" s="97"/>
      <c r="G224" s="98"/>
      <c r="H224" s="128" t="s">
        <v>2</v>
      </c>
      <c r="I224" s="121"/>
      <c r="J224" s="97"/>
      <c r="K224" s="97"/>
    </row>
    <row r="225" spans="1:11">
      <c r="A225" s="68">
        <v>7</v>
      </c>
      <c r="B225" s="62" t="s">
        <v>26</v>
      </c>
      <c r="C225" s="97" t="s">
        <v>578</v>
      </c>
      <c r="D225" s="257">
        <f>'Act Att-H'!D61</f>
        <v>282349591.35538471</v>
      </c>
      <c r="E225" s="97"/>
      <c r="F225" s="97" t="s">
        <v>27</v>
      </c>
      <c r="G225" s="119" t="s">
        <v>2</v>
      </c>
      <c r="H225" s="97"/>
      <c r="I225" s="97" t="s">
        <v>2</v>
      </c>
      <c r="J225" s="97"/>
      <c r="K225" s="68"/>
    </row>
    <row r="226" spans="1:11">
      <c r="A226" s="68">
        <v>8</v>
      </c>
      <c r="B226" s="62" t="s">
        <v>28</v>
      </c>
      <c r="C226" s="97" t="s">
        <v>585</v>
      </c>
      <c r="D226" s="257">
        <f>D57</f>
        <v>319779504.06739771</v>
      </c>
      <c r="E226" s="97"/>
      <c r="F226" s="97" t="s">
        <v>11</v>
      </c>
      <c r="G226" s="120">
        <f>G218</f>
        <v>0.93495713255492408</v>
      </c>
      <c r="H226" s="97"/>
      <c r="I226" s="54">
        <f>+G226*D226</f>
        <v>298980128.17268986</v>
      </c>
      <c r="J226" s="128"/>
      <c r="K226" s="151"/>
    </row>
    <row r="227" spans="1:11">
      <c r="A227" s="68">
        <v>9</v>
      </c>
      <c r="B227" s="62" t="s">
        <v>29</v>
      </c>
      <c r="C227" s="97" t="s">
        <v>579</v>
      </c>
      <c r="D227" s="257">
        <f>'Act Att-H'!D63</f>
        <v>293330277.72769225</v>
      </c>
      <c r="E227" s="97"/>
      <c r="F227" s="97" t="s">
        <v>27</v>
      </c>
      <c r="G227" s="119" t="s">
        <v>2</v>
      </c>
      <c r="H227" s="97"/>
      <c r="I227" s="54" t="s">
        <v>2</v>
      </c>
      <c r="J227" s="97"/>
      <c r="K227" s="97"/>
    </row>
    <row r="228" spans="1:11">
      <c r="A228" s="68">
        <v>10</v>
      </c>
      <c r="B228" s="62" t="s">
        <v>30</v>
      </c>
      <c r="C228" s="97" t="s">
        <v>580</v>
      </c>
      <c r="D228" s="257">
        <f>'Act Att-H'!D64</f>
        <v>23281589.196923077</v>
      </c>
      <c r="E228" s="97"/>
      <c r="F228" s="97" t="s">
        <v>31</v>
      </c>
      <c r="G228" s="120">
        <f>G220</f>
        <v>0.1248254792149225</v>
      </c>
      <c r="H228" s="97"/>
      <c r="I228" s="54">
        <f>+G228*D228</f>
        <v>2906135.5283908858</v>
      </c>
      <c r="J228" s="97"/>
      <c r="K228" s="97"/>
    </row>
    <row r="229" spans="1:11">
      <c r="A229" s="68">
        <v>11</v>
      </c>
      <c r="B229" s="62" t="s">
        <v>58</v>
      </c>
      <c r="C229" s="97" t="s">
        <v>581</v>
      </c>
      <c r="D229" s="257">
        <f>'Act Att-H'!D65</f>
        <v>16420740.692307692</v>
      </c>
      <c r="E229" s="97"/>
      <c r="F229" s="97" t="s">
        <v>1255</v>
      </c>
      <c r="G229" s="120">
        <f>G221</f>
        <v>0.12201673244143903</v>
      </c>
      <c r="H229" s="97"/>
      <c r="I229" s="54">
        <f>+G229*D229</f>
        <v>2003605.1235435579</v>
      </c>
      <c r="J229" s="97"/>
      <c r="K229" s="97"/>
    </row>
    <row r="230" spans="1:11">
      <c r="A230" s="68">
        <v>12</v>
      </c>
      <c r="B230" s="167" t="s">
        <v>339</v>
      </c>
      <c r="C230" s="168" t="s">
        <v>1116</v>
      </c>
      <c r="D230" s="166">
        <f>SUM(D225:D229)</f>
        <v>935161703.03970551</v>
      </c>
      <c r="E230" s="97"/>
      <c r="F230" s="168" t="s">
        <v>33</v>
      </c>
      <c r="G230" s="510">
        <f>IF(I230&gt;0,I230/D230,0)</f>
        <v>0.32495970251651934</v>
      </c>
      <c r="H230" s="97"/>
      <c r="I230" s="170">
        <f>SUM(I225:I229)</f>
        <v>303889868.8246243</v>
      </c>
      <c r="J230" s="97"/>
      <c r="K230" s="97"/>
    </row>
    <row r="231" spans="1:11">
      <c r="A231" s="68"/>
      <c r="B231" s="62"/>
      <c r="C231" s="97"/>
      <c r="D231" s="105"/>
      <c r="E231" s="97"/>
      <c r="F231" s="97"/>
      <c r="G231" s="97"/>
      <c r="H231" s="97"/>
      <c r="I231" s="97"/>
      <c r="J231" s="62"/>
      <c r="K231" s="97"/>
    </row>
    <row r="232" spans="1:11">
      <c r="A232" s="68"/>
      <c r="B232" s="62"/>
      <c r="C232" s="97"/>
      <c r="D232" s="105"/>
      <c r="E232" s="97"/>
      <c r="F232" s="97"/>
      <c r="G232" s="97"/>
      <c r="H232" s="97"/>
      <c r="I232" s="97"/>
      <c r="J232" s="62"/>
      <c r="K232" s="97"/>
    </row>
    <row r="233" spans="1:11">
      <c r="A233" s="68"/>
      <c r="B233" s="62"/>
      <c r="C233" s="97"/>
      <c r="D233" s="105"/>
      <c r="E233" s="97"/>
      <c r="F233" s="97"/>
      <c r="G233" s="97"/>
      <c r="H233" s="97"/>
      <c r="I233" s="97"/>
      <c r="J233" s="62"/>
      <c r="K233" s="97"/>
    </row>
    <row r="234" spans="1:11">
      <c r="A234" s="68"/>
      <c r="B234" s="62" t="s">
        <v>110</v>
      </c>
      <c r="C234" s="68"/>
      <c r="D234" s="97"/>
      <c r="E234" s="97"/>
      <c r="F234" s="97"/>
      <c r="G234" s="97"/>
      <c r="H234" s="62"/>
      <c r="I234" s="97"/>
      <c r="J234" s="62"/>
      <c r="K234" s="97"/>
    </row>
    <row r="235" spans="1:11" ht="12.75" customHeight="1">
      <c r="A235" s="68"/>
      <c r="B235" s="94" t="s">
        <v>109</v>
      </c>
      <c r="C235" s="68"/>
      <c r="D235" s="97"/>
      <c r="E235" s="97"/>
      <c r="F235" s="97"/>
      <c r="G235" s="97"/>
      <c r="H235" s="62"/>
      <c r="I235" s="97"/>
      <c r="J235" s="412"/>
      <c r="K235" s="412"/>
    </row>
    <row r="236" spans="1:11">
      <c r="A236" s="68" t="s">
        <v>74</v>
      </c>
      <c r="B236" s="62"/>
      <c r="C236" s="62"/>
      <c r="D236" s="97"/>
      <c r="E236" s="97"/>
      <c r="F236" s="97"/>
      <c r="G236" s="97"/>
      <c r="H236" s="62"/>
      <c r="I236" s="97"/>
      <c r="J236" s="62"/>
      <c r="K236" s="62"/>
    </row>
    <row r="237" spans="1:11" ht="13.8" thickBot="1">
      <c r="A237" s="101" t="s">
        <v>75</v>
      </c>
      <c r="B237" s="62"/>
      <c r="C237" s="62"/>
      <c r="D237" s="97"/>
      <c r="E237" s="97"/>
      <c r="F237" s="97"/>
      <c r="G237" s="97"/>
      <c r="H237" s="62"/>
      <c r="I237" s="97"/>
      <c r="J237" s="62"/>
      <c r="K237" s="62"/>
    </row>
    <row r="238" spans="1:11" ht="55.5" customHeight="1">
      <c r="A238" s="69" t="s">
        <v>76</v>
      </c>
      <c r="B238" s="902" t="s">
        <v>132</v>
      </c>
      <c r="C238" s="902"/>
      <c r="D238" s="902"/>
      <c r="E238" s="902"/>
      <c r="F238" s="902"/>
      <c r="G238" s="902"/>
      <c r="H238" s="902"/>
      <c r="I238" s="902"/>
      <c r="J238" s="62"/>
      <c r="K238" s="62"/>
    </row>
    <row r="239" spans="1:11">
      <c r="A239" s="75" t="s">
        <v>2</v>
      </c>
      <c r="B239" s="62" t="s">
        <v>344</v>
      </c>
      <c r="C239" s="62" t="s">
        <v>90</v>
      </c>
      <c r="D239" s="159">
        <v>0.21</v>
      </c>
      <c r="E239" s="62" t="s">
        <v>345</v>
      </c>
      <c r="F239" s="62"/>
      <c r="G239" s="62"/>
      <c r="H239" s="62"/>
      <c r="I239" s="62"/>
      <c r="J239" s="82"/>
      <c r="K239" s="82"/>
    </row>
    <row r="240" spans="1:11">
      <c r="A240" s="75"/>
      <c r="B240" s="62"/>
      <c r="C240" s="62" t="s">
        <v>91</v>
      </c>
      <c r="D240" s="159">
        <v>4.3999999999999997E-2</v>
      </c>
      <c r="E240" s="62" t="s">
        <v>92</v>
      </c>
      <c r="F240" s="62"/>
      <c r="G240" s="62"/>
      <c r="H240" s="62"/>
      <c r="I240" s="62"/>
      <c r="J240" s="82"/>
      <c r="K240" s="82"/>
    </row>
    <row r="241" spans="1:11">
      <c r="A241" s="75"/>
      <c r="B241" s="62"/>
      <c r="C241" s="62" t="s">
        <v>93</v>
      </c>
      <c r="D241" s="159">
        <v>0</v>
      </c>
      <c r="E241" s="62" t="s">
        <v>94</v>
      </c>
      <c r="F241" s="62"/>
      <c r="G241" s="62"/>
      <c r="H241" s="62"/>
      <c r="I241" s="62"/>
      <c r="J241" s="82"/>
      <c r="K241" s="82"/>
    </row>
    <row r="242" spans="1:11">
      <c r="A242" s="83"/>
      <c r="B242" s="957"/>
      <c r="C242" s="957"/>
      <c r="D242" s="957"/>
      <c r="E242" s="957"/>
      <c r="F242" s="957"/>
      <c r="G242" s="957"/>
      <c r="H242" s="957"/>
      <c r="I242" s="957"/>
      <c r="J242" s="82"/>
      <c r="K242" s="82"/>
    </row>
    <row r="243" spans="1:11">
      <c r="A243" s="71" t="s">
        <v>77</v>
      </c>
      <c r="B243" s="93" t="s">
        <v>749</v>
      </c>
      <c r="J243" s="82"/>
      <c r="K243" s="82"/>
    </row>
    <row r="244" spans="1:11">
      <c r="A244" s="28" t="s">
        <v>78</v>
      </c>
      <c r="B244" s="959" t="s">
        <v>1058</v>
      </c>
      <c r="C244" s="959"/>
      <c r="D244" s="959"/>
      <c r="E244" s="959"/>
      <c r="F244" s="959"/>
      <c r="G244" s="959"/>
      <c r="H244" s="959"/>
      <c r="I244" s="959"/>
      <c r="J244" s="82"/>
      <c r="K244" s="82"/>
    </row>
    <row r="245" spans="1:11">
      <c r="A245" s="28" t="s">
        <v>79</v>
      </c>
      <c r="B245" s="958" t="s">
        <v>1062</v>
      </c>
      <c r="C245" s="958"/>
      <c r="D245" s="958"/>
      <c r="E245" s="958"/>
      <c r="F245" s="958"/>
      <c r="G245" s="958"/>
      <c r="H245" s="958"/>
      <c r="I245" s="958"/>
      <c r="J245" s="79"/>
      <c r="K245" s="79"/>
    </row>
    <row r="246" spans="1:11">
      <c r="A246" s="83"/>
      <c r="B246" s="957"/>
      <c r="C246" s="957"/>
      <c r="D246" s="957"/>
      <c r="E246" s="957"/>
      <c r="F246" s="957"/>
      <c r="G246" s="957"/>
      <c r="H246" s="957"/>
      <c r="I246" s="957"/>
      <c r="J246" s="79"/>
      <c r="K246" s="79"/>
    </row>
    <row r="247" spans="1:11">
      <c r="A247" s="80"/>
      <c r="C247" s="82"/>
      <c r="D247" s="82"/>
      <c r="E247" s="82"/>
      <c r="F247" s="82"/>
      <c r="G247" s="82"/>
      <c r="H247" s="82"/>
      <c r="I247" s="82"/>
      <c r="J247" s="86"/>
      <c r="K247" s="86"/>
    </row>
    <row r="248" spans="1:11">
      <c r="A248" s="85"/>
      <c r="B248" s="84"/>
      <c r="C248" s="79"/>
      <c r="D248" s="79"/>
      <c r="E248" s="79"/>
      <c r="F248" s="79"/>
      <c r="G248" s="79"/>
      <c r="H248" s="79"/>
      <c r="I248" s="79"/>
    </row>
    <row r="249" spans="1:11">
      <c r="A249" s="85"/>
      <c r="B249" s="79"/>
      <c r="C249" s="79"/>
      <c r="D249" s="79"/>
      <c r="E249" s="79"/>
      <c r="F249" s="79"/>
      <c r="G249" s="79"/>
      <c r="H249" s="79"/>
      <c r="I249" s="79"/>
    </row>
    <row r="250" spans="1:11">
      <c r="A250" s="83"/>
      <c r="B250" s="906"/>
      <c r="C250" s="906"/>
      <c r="D250" s="906"/>
      <c r="E250" s="906"/>
      <c r="F250" s="906"/>
      <c r="G250" s="906"/>
      <c r="H250" s="906"/>
      <c r="I250" s="906"/>
      <c r="J250" s="90"/>
      <c r="K250" s="90"/>
    </row>
    <row r="251" spans="1:11" ht="25.5" customHeight="1">
      <c r="A251" s="83"/>
      <c r="J251" s="91"/>
      <c r="K251" s="91"/>
    </row>
    <row r="252" spans="1:11">
      <c r="A252" s="83"/>
      <c r="J252" s="79"/>
      <c r="K252" s="79"/>
    </row>
    <row r="253" spans="1:11">
      <c r="A253" s="80"/>
      <c r="B253" s="87"/>
      <c r="C253" s="87"/>
      <c r="D253" s="87"/>
      <c r="E253" s="87"/>
      <c r="F253" s="87"/>
      <c r="G253" s="87"/>
      <c r="H253" s="88"/>
      <c r="I253" s="89"/>
      <c r="J253" s="79"/>
      <c r="K253" s="79"/>
    </row>
    <row r="254" spans="1:11">
      <c r="A254" s="80"/>
      <c r="J254" s="79"/>
      <c r="K254" s="79"/>
    </row>
    <row r="255" spans="1:11">
      <c r="A255" s="80"/>
      <c r="B255" s="79"/>
      <c r="C255" s="79"/>
      <c r="D255" s="79"/>
      <c r="E255" s="79"/>
      <c r="F255" s="79"/>
      <c r="G255" s="79"/>
      <c r="H255" s="79"/>
      <c r="I255" s="79"/>
      <c r="J255" s="79"/>
      <c r="K255" s="79"/>
    </row>
    <row r="256" spans="1:11">
      <c r="A256" s="80"/>
      <c r="B256" s="79"/>
      <c r="C256" s="79"/>
      <c r="D256" s="79"/>
      <c r="E256" s="79"/>
      <c r="F256" s="79"/>
      <c r="G256" s="79"/>
      <c r="H256" s="79"/>
      <c r="I256" s="79"/>
      <c r="J256" s="79"/>
      <c r="K256" s="79"/>
    </row>
    <row r="257" spans="1:11">
      <c r="A257" s="80"/>
      <c r="C257" s="79"/>
      <c r="D257" s="79"/>
      <c r="E257" s="79"/>
      <c r="F257" s="79"/>
      <c r="G257" s="79"/>
      <c r="H257" s="79"/>
      <c r="I257" s="79"/>
      <c r="J257" s="79"/>
      <c r="K257" s="79"/>
    </row>
    <row r="258" spans="1:11">
      <c r="A258" s="83"/>
      <c r="B258" s="901"/>
      <c r="C258" s="901"/>
      <c r="D258" s="901"/>
      <c r="E258" s="901"/>
      <c r="F258" s="901"/>
      <c r="G258" s="901"/>
      <c r="H258" s="901"/>
      <c r="I258" s="901"/>
    </row>
    <row r="259" spans="1:11">
      <c r="A259" s="80"/>
      <c r="B259" s="92"/>
      <c r="C259" s="79"/>
      <c r="D259" s="79"/>
      <c r="E259" s="79"/>
      <c r="F259" s="79"/>
      <c r="G259" s="79"/>
      <c r="H259" s="79"/>
      <c r="I259" s="79"/>
    </row>
    <row r="260" spans="1:11">
      <c r="A260" s="79"/>
      <c r="B260" s="92"/>
      <c r="C260" s="79"/>
      <c r="D260" s="79"/>
      <c r="E260" s="79"/>
      <c r="F260" s="79"/>
      <c r="G260" s="79"/>
      <c r="H260" s="79"/>
      <c r="I260" s="79"/>
    </row>
  </sheetData>
  <sheetProtection formatCells="0" formatColumns="0"/>
  <mergeCells count="21">
    <mergeCell ref="N172:S172"/>
    <mergeCell ref="I1:K1"/>
    <mergeCell ref="J2:K2"/>
    <mergeCell ref="I32:K32"/>
    <mergeCell ref="J33:K33"/>
    <mergeCell ref="I89:K89"/>
    <mergeCell ref="J90:K90"/>
    <mergeCell ref="F153:K153"/>
    <mergeCell ref="I154:K154"/>
    <mergeCell ref="J155:K155"/>
    <mergeCell ref="G157:K157"/>
    <mergeCell ref="B250:I250"/>
    <mergeCell ref="B258:I258"/>
    <mergeCell ref="B242:I242"/>
    <mergeCell ref="B245:I245"/>
    <mergeCell ref="G203:K203"/>
    <mergeCell ref="I204:K204"/>
    <mergeCell ref="J205:K205"/>
    <mergeCell ref="B246:I246"/>
    <mergeCell ref="B238:I238"/>
    <mergeCell ref="B244:I244"/>
  </mergeCells>
  <pageMargins left="0.5" right="0.25" top="1" bottom="1" header="0.5" footer="0.5"/>
  <pageSetup scale="58" fitToHeight="5"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88" max="10" man="1"/>
    <brk id="153" max="10" man="1"/>
    <brk id="203" max="10" man="1"/>
  </rowBreaks>
  <ignoredErrors>
    <ignoredError sqref="D101:D104 D115:D119 D123:D128 D62 I165:I167 I173:I174 D183:D186 I202 D217:D221 D225:D229 D79 D25:D31 I89 I154 I204 D190:D192 D74:D77 D82:D85 I32:K39 D137:D146 D130 D106:D112 J40:K40 D45:D60 G197:G198 D65:D73" unlockedFormula="1"/>
    <ignoredError sqref="I73:I75 G107 G66 I69:I71" formula="1"/>
    <ignoredError sqref="A40:G40 B97:I97 B212:I212 B163:I163" numberStoredAsText="1"/>
    <ignoredError sqref="I40" numberStoredAsText="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A5" zoomScale="80" zoomScaleNormal="80" workbookViewId="0">
      <selection activeCell="G41" sqref="G41"/>
    </sheetView>
  </sheetViews>
  <sheetFormatPr defaultColWidth="8.6328125" defaultRowHeight="13.2"/>
  <cols>
    <col min="1" max="1" width="3.08984375" style="529" customWidth="1"/>
    <col min="2" max="2" width="8.54296875" style="249" customWidth="1"/>
    <col min="3" max="3" width="4.6328125" style="249" hidden="1" customWidth="1"/>
    <col min="4" max="4" width="12.1796875" style="249" customWidth="1"/>
    <col min="5" max="5" width="11.1796875" style="249" bestFit="1" customWidth="1"/>
    <col min="6" max="6" width="11.08984375" style="249" bestFit="1" customWidth="1"/>
    <col min="7" max="7" width="16.08984375" style="249" customWidth="1"/>
    <col min="8" max="8" width="14.26953125" style="249" bestFit="1" customWidth="1"/>
    <col min="9" max="9" width="13.08984375" style="249" bestFit="1" customWidth="1"/>
    <col min="10" max="10" width="11.1796875" style="249" bestFit="1" customWidth="1"/>
    <col min="11" max="11" width="11.26953125" style="249" bestFit="1" customWidth="1"/>
    <col min="12" max="12" width="10.1796875" style="249" customWidth="1"/>
    <col min="13" max="14" width="10.6328125" style="249" customWidth="1"/>
    <col min="15" max="15" width="10.81640625" style="249" bestFit="1" customWidth="1"/>
    <col min="16" max="16" width="11.08984375" style="249" customWidth="1"/>
    <col min="17" max="17" width="12.1796875" style="249" customWidth="1"/>
    <col min="18" max="18" width="11.08984375" style="249" customWidth="1"/>
    <col min="19" max="20" width="9.54296875" style="249" customWidth="1"/>
    <col min="21" max="21" width="11.08984375" style="249" customWidth="1"/>
    <col min="22" max="22" width="11.6328125" style="249" customWidth="1"/>
    <col min="23" max="27" width="11.08984375" style="249" customWidth="1"/>
    <col min="28" max="28" width="11.1796875" style="249" customWidth="1"/>
    <col min="29" max="29" width="10.1796875" style="249" customWidth="1"/>
    <col min="30" max="30" width="8.6328125" style="249"/>
    <col min="31" max="31" width="12.6328125" style="249" customWidth="1"/>
    <col min="32" max="32" width="13" style="249" customWidth="1"/>
    <col min="33" max="33" width="13.453125" style="249" customWidth="1"/>
    <col min="34" max="34" width="10.54296875" style="249" customWidth="1"/>
    <col min="35" max="35" width="8.6328125" style="249"/>
    <col min="36" max="36" width="9.54296875" style="249" customWidth="1"/>
    <col min="37" max="37" width="13.453125" style="249" customWidth="1"/>
    <col min="38" max="38" width="10.6328125" style="249" customWidth="1"/>
    <col min="39" max="39" width="10.1796875" style="249" customWidth="1"/>
    <col min="40" max="40" width="11.08984375" style="249" customWidth="1"/>
    <col min="41" max="16384" width="8.6328125" style="249"/>
  </cols>
  <sheetData>
    <row r="1" spans="1:38" ht="13.35" customHeight="1">
      <c r="A1" s="527"/>
      <c r="B1" s="500" t="s">
        <v>417</v>
      </c>
      <c r="C1" s="500"/>
      <c r="D1" s="500"/>
      <c r="E1" s="500"/>
      <c r="F1" s="500"/>
      <c r="G1" s="500"/>
      <c r="H1" s="500"/>
      <c r="I1" s="500"/>
      <c r="J1" s="500"/>
      <c r="K1" s="338"/>
      <c r="L1" s="338"/>
      <c r="M1" s="446"/>
      <c r="N1" s="446"/>
      <c r="Q1" s="446"/>
      <c r="AA1" s="973"/>
      <c r="AB1" s="973"/>
      <c r="AK1" s="973" t="s">
        <v>371</v>
      </c>
      <c r="AL1" s="973"/>
    </row>
    <row r="2" spans="1:38" ht="13.35" customHeight="1">
      <c r="A2" s="527"/>
      <c r="B2" s="500" t="s">
        <v>435</v>
      </c>
      <c r="C2" s="500"/>
      <c r="D2" s="500"/>
      <c r="E2" s="500"/>
      <c r="F2" s="500"/>
      <c r="G2" s="500"/>
      <c r="H2" s="500"/>
      <c r="I2" s="500"/>
      <c r="J2" s="500"/>
      <c r="K2" s="338"/>
      <c r="L2" s="338"/>
      <c r="M2" s="447"/>
      <c r="N2" s="447"/>
      <c r="Q2" s="447"/>
      <c r="AB2" s="447"/>
      <c r="AL2" s="447"/>
    </row>
    <row r="3" spans="1:38" ht="13.35" customHeight="1">
      <c r="A3" s="528"/>
      <c r="B3" s="500" t="str">
        <f>'Act Att-H'!C7</f>
        <v>Black Hills Colorado Electric, LLC</v>
      </c>
      <c r="C3" s="500"/>
      <c r="D3" s="500"/>
      <c r="E3" s="500"/>
      <c r="F3" s="500"/>
      <c r="G3" s="500"/>
      <c r="H3" s="500"/>
      <c r="I3" s="500"/>
      <c r="J3" s="500"/>
      <c r="K3" s="338"/>
      <c r="L3" s="338"/>
    </row>
    <row r="4" spans="1:38" ht="13.35" customHeight="1">
      <c r="I4" s="250"/>
      <c r="J4" s="250" t="s">
        <v>650</v>
      </c>
      <c r="K4" s="250"/>
      <c r="L4" s="250"/>
      <c r="P4" s="250"/>
      <c r="Q4" s="250" t="s">
        <v>372</v>
      </c>
      <c r="V4" s="250" t="s">
        <v>373</v>
      </c>
      <c r="AA4" s="250" t="s">
        <v>651</v>
      </c>
      <c r="AL4" s="249" t="s">
        <v>373</v>
      </c>
    </row>
    <row r="5" spans="1:38">
      <c r="G5" s="46"/>
      <c r="H5" s="46"/>
      <c r="I5" s="46"/>
      <c r="J5" s="46"/>
      <c r="K5" s="46"/>
      <c r="L5" s="46"/>
      <c r="AA5" s="250"/>
    </row>
    <row r="6" spans="1:38">
      <c r="B6" s="967"/>
      <c r="C6" s="967"/>
      <c r="D6" s="967"/>
      <c r="E6" s="967"/>
      <c r="F6" s="968"/>
      <c r="G6" s="448"/>
      <c r="H6" s="449"/>
      <c r="I6" s="449"/>
      <c r="J6" s="450"/>
      <c r="K6" s="253"/>
      <c r="L6" s="253"/>
      <c r="M6" s="253"/>
      <c r="N6" s="253"/>
      <c r="Q6" s="253"/>
      <c r="X6" s="254"/>
    </row>
    <row r="7" spans="1:38">
      <c r="B7" s="969" t="s">
        <v>557</v>
      </c>
      <c r="C7" s="969"/>
      <c r="D7" s="969"/>
      <c r="E7" s="969"/>
      <c r="F7" s="969"/>
      <c r="G7" s="970" t="s">
        <v>379</v>
      </c>
      <c r="H7" s="971"/>
      <c r="I7" s="971"/>
      <c r="J7" s="972"/>
      <c r="K7" s="519"/>
      <c r="L7" s="519"/>
      <c r="M7" s="322"/>
      <c r="N7" s="322"/>
      <c r="Q7" s="322"/>
      <c r="R7" s="883"/>
      <c r="S7" s="965" t="s">
        <v>679</v>
      </c>
      <c r="T7" s="965"/>
      <c r="U7" s="965"/>
      <c r="V7" s="966"/>
      <c r="W7" s="974" t="s">
        <v>680</v>
      </c>
      <c r="X7" s="965"/>
      <c r="Y7" s="965"/>
      <c r="Z7" s="965"/>
      <c r="AA7" s="966"/>
    </row>
    <row r="8" spans="1:38">
      <c r="B8" s="791" t="s">
        <v>138</v>
      </c>
      <c r="C8" s="791"/>
      <c r="D8" s="791" t="s">
        <v>139</v>
      </c>
      <c r="E8" s="791" t="s">
        <v>1156</v>
      </c>
      <c r="F8" s="791" t="s">
        <v>141</v>
      </c>
      <c r="G8" s="451" t="s">
        <v>542</v>
      </c>
      <c r="H8" s="384" t="s">
        <v>143</v>
      </c>
      <c r="I8" s="384" t="s">
        <v>144</v>
      </c>
      <c r="J8" s="534" t="s">
        <v>145</v>
      </c>
      <c r="K8" s="540" t="s">
        <v>161</v>
      </c>
      <c r="L8" s="541" t="s">
        <v>162</v>
      </c>
      <c r="M8" s="884" t="s">
        <v>872</v>
      </c>
      <c r="N8" s="884" t="s">
        <v>871</v>
      </c>
      <c r="O8" s="884" t="s">
        <v>929</v>
      </c>
      <c r="P8" s="541" t="s">
        <v>976</v>
      </c>
      <c r="Q8" s="534" t="s">
        <v>977</v>
      </c>
      <c r="R8" s="453" t="s">
        <v>978</v>
      </c>
      <c r="S8" s="791" t="s">
        <v>979</v>
      </c>
      <c r="T8" s="791" t="s">
        <v>1243</v>
      </c>
      <c r="U8" s="791" t="s">
        <v>981</v>
      </c>
      <c r="V8" s="791" t="s">
        <v>982</v>
      </c>
      <c r="W8" s="453" t="s">
        <v>983</v>
      </c>
      <c r="X8" s="791" t="s">
        <v>984</v>
      </c>
      <c r="Y8" s="791" t="s">
        <v>985</v>
      </c>
      <c r="Z8" s="791" t="s">
        <v>986</v>
      </c>
      <c r="AA8" s="885" t="s">
        <v>987</v>
      </c>
    </row>
    <row r="9" spans="1:38">
      <c r="G9" s="323"/>
      <c r="H9" s="384"/>
      <c r="I9" s="384" t="s">
        <v>380</v>
      </c>
      <c r="J9" s="452" t="s">
        <v>380</v>
      </c>
      <c r="K9" s="453"/>
      <c r="L9" s="961" t="s">
        <v>657</v>
      </c>
      <c r="M9" s="961"/>
      <c r="N9" s="273"/>
      <c r="O9" s="273"/>
      <c r="P9" s="963" t="s">
        <v>670</v>
      </c>
      <c r="Q9" s="964"/>
      <c r="R9" s="324"/>
      <c r="S9" s="252"/>
      <c r="T9" s="252"/>
      <c r="U9" s="252"/>
      <c r="V9" s="259"/>
      <c r="W9" s="324"/>
      <c r="X9" s="252"/>
      <c r="Y9" s="252"/>
      <c r="Z9" s="252"/>
      <c r="AA9" s="259"/>
    </row>
    <row r="10" spans="1:38">
      <c r="B10" s="362" t="s">
        <v>219</v>
      </c>
      <c r="G10" s="453" t="s">
        <v>381</v>
      </c>
      <c r="H10" s="273"/>
      <c r="I10" s="273" t="s">
        <v>375</v>
      </c>
      <c r="J10" s="454" t="s">
        <v>382</v>
      </c>
      <c r="K10" s="453" t="s">
        <v>664</v>
      </c>
      <c r="L10" s="961" t="s">
        <v>656</v>
      </c>
      <c r="M10" s="961"/>
      <c r="N10" s="961" t="s">
        <v>669</v>
      </c>
      <c r="O10" s="961"/>
      <c r="P10" s="963" t="s">
        <v>681</v>
      </c>
      <c r="Q10" s="964"/>
      <c r="R10" s="453" t="s">
        <v>665</v>
      </c>
      <c r="S10" s="273" t="s">
        <v>659</v>
      </c>
      <c r="T10" s="273" t="s">
        <v>660</v>
      </c>
      <c r="U10" s="273"/>
      <c r="V10" s="454"/>
      <c r="W10" s="453" t="s">
        <v>665</v>
      </c>
      <c r="X10" s="273" t="s">
        <v>659</v>
      </c>
      <c r="Y10" s="273" t="s">
        <v>660</v>
      </c>
      <c r="Z10" s="273"/>
      <c r="AA10" s="454"/>
    </row>
    <row r="11" spans="1:38" ht="13.2" customHeight="1" thickBot="1">
      <c r="A11" s="531" t="s">
        <v>666</v>
      </c>
      <c r="B11" s="455" t="s">
        <v>988</v>
      </c>
      <c r="C11" s="455"/>
      <c r="D11" s="455" t="s">
        <v>374</v>
      </c>
      <c r="E11" s="455" t="s">
        <v>375</v>
      </c>
      <c r="F11" s="455" t="s">
        <v>376</v>
      </c>
      <c r="G11" s="456" t="s">
        <v>492</v>
      </c>
      <c r="H11" s="457" t="s">
        <v>383</v>
      </c>
      <c r="I11" s="457" t="s">
        <v>493</v>
      </c>
      <c r="J11" s="458" t="s">
        <v>375</v>
      </c>
      <c r="K11" s="521" t="s">
        <v>663</v>
      </c>
      <c r="L11" s="522" t="s">
        <v>679</v>
      </c>
      <c r="M11" s="522" t="s">
        <v>680</v>
      </c>
      <c r="N11" s="522" t="s">
        <v>679</v>
      </c>
      <c r="O11" s="522" t="s">
        <v>680</v>
      </c>
      <c r="P11" s="522" t="s">
        <v>679</v>
      </c>
      <c r="Q11" s="624" t="s">
        <v>680</v>
      </c>
      <c r="R11" s="525" t="s">
        <v>438</v>
      </c>
      <c r="S11" s="523" t="s">
        <v>375</v>
      </c>
      <c r="T11" s="523" t="s">
        <v>653</v>
      </c>
      <c r="U11" s="523" t="s">
        <v>654</v>
      </c>
      <c r="V11" s="526" t="s">
        <v>655</v>
      </c>
      <c r="W11" s="525" t="s">
        <v>438</v>
      </c>
      <c r="X11" s="523" t="s">
        <v>375</v>
      </c>
      <c r="Y11" s="523" t="s">
        <v>653</v>
      </c>
      <c r="Z11" s="523" t="s">
        <v>654</v>
      </c>
      <c r="AA11" s="526" t="s">
        <v>655</v>
      </c>
    </row>
    <row r="12" spans="1:38" ht="39.6">
      <c r="A12" s="530">
        <v>1</v>
      </c>
      <c r="G12" s="324"/>
      <c r="H12" s="862" t="s">
        <v>1241</v>
      </c>
      <c r="I12" s="459">
        <f>IF('Act Att-H'!D46=0,0,ROUND('Act Att-H'!D120/'Act Att-H'!D46,6)/12)</f>
        <v>1.4599166666666667E-3</v>
      </c>
      <c r="J12" s="863" t="s">
        <v>1242</v>
      </c>
      <c r="K12" s="324"/>
      <c r="L12" s="252"/>
      <c r="M12" s="252"/>
      <c r="N12" s="861" t="s">
        <v>1153</v>
      </c>
      <c r="O12" s="861" t="s">
        <v>1154</v>
      </c>
      <c r="P12" s="728">
        <v>24843578</v>
      </c>
      <c r="Q12" s="729">
        <v>22554611</v>
      </c>
      <c r="R12" s="867" t="s">
        <v>1155</v>
      </c>
      <c r="S12" s="861" t="s">
        <v>1156</v>
      </c>
      <c r="T12" s="861" t="s">
        <v>1157</v>
      </c>
      <c r="U12" s="865" t="s">
        <v>1158</v>
      </c>
      <c r="V12" s="860" t="s">
        <v>1159</v>
      </c>
      <c r="W12" s="864" t="s">
        <v>1160</v>
      </c>
      <c r="X12" s="861" t="s">
        <v>1156</v>
      </c>
      <c r="Y12" s="861" t="s">
        <v>1161</v>
      </c>
      <c r="Z12" s="865" t="s">
        <v>1158</v>
      </c>
      <c r="AA12" s="866" t="s">
        <v>1162</v>
      </c>
    </row>
    <row r="13" spans="1:38">
      <c r="A13" s="530">
        <v>2</v>
      </c>
      <c r="G13" s="324"/>
      <c r="H13" s="252"/>
      <c r="I13" s="460"/>
      <c r="J13" s="259"/>
      <c r="K13" s="324"/>
      <c r="L13" s="252"/>
      <c r="M13" s="252"/>
      <c r="N13" s="252" t="s">
        <v>658</v>
      </c>
      <c r="O13" s="252"/>
      <c r="P13" s="732">
        <f>'Act Att-H'!G50</f>
        <v>0.24147688977503837</v>
      </c>
      <c r="Q13" s="853">
        <f>'Proj Att-H'!G222</f>
        <v>0.27335514706963876</v>
      </c>
      <c r="R13" s="864"/>
      <c r="S13" s="252"/>
      <c r="T13" s="252"/>
      <c r="U13" s="859"/>
      <c r="V13" s="259"/>
      <c r="W13" s="324"/>
      <c r="X13" s="252"/>
      <c r="Y13" s="252"/>
      <c r="Z13" s="252"/>
      <c r="AA13" s="259"/>
    </row>
    <row r="14" spans="1:38" ht="25.5" customHeight="1">
      <c r="A14" s="530">
        <v>3</v>
      </c>
      <c r="B14" s="267"/>
      <c r="C14" s="267"/>
      <c r="D14" s="461"/>
      <c r="E14" s="462"/>
      <c r="F14" s="258"/>
      <c r="G14" s="536" t="s">
        <v>1264</v>
      </c>
      <c r="H14" s="730">
        <f>'A4-Rate Base'!D22</f>
        <v>333438896.38999999</v>
      </c>
      <c r="I14" s="462"/>
      <c r="J14" s="731">
        <f>'A4-Rate Base'!F45</f>
        <v>55540844.059999987</v>
      </c>
      <c r="K14" s="324"/>
      <c r="L14" s="252"/>
      <c r="M14" s="258"/>
      <c r="N14" s="258"/>
      <c r="O14" s="252"/>
      <c r="P14" s="139">
        <f>P12*P13</f>
        <v>5999149.946323568</v>
      </c>
      <c r="Q14" s="854">
        <f>Q12*Q13</f>
        <v>6165419.0070034917</v>
      </c>
      <c r="R14" s="324"/>
      <c r="S14" s="252"/>
      <c r="T14" s="252"/>
      <c r="U14" s="252"/>
      <c r="V14" s="259"/>
      <c r="W14" s="324"/>
      <c r="X14" s="252"/>
      <c r="Y14" s="252"/>
      <c r="Z14" s="252"/>
      <c r="AA14" s="259"/>
    </row>
    <row r="15" spans="1:38">
      <c r="G15" s="324"/>
      <c r="H15" s="252"/>
      <c r="I15" s="252"/>
      <c r="J15" s="259"/>
      <c r="K15" s="324"/>
      <c r="L15" s="252"/>
      <c r="M15" s="252"/>
      <c r="N15" s="252"/>
      <c r="O15" s="252"/>
      <c r="P15" s="255"/>
      <c r="Q15" s="625"/>
      <c r="R15" s="324"/>
      <c r="S15" s="252"/>
      <c r="T15" s="252"/>
      <c r="U15" s="252"/>
      <c r="V15" s="259"/>
      <c r="W15" s="324"/>
      <c r="X15" s="252"/>
      <c r="Y15" s="252"/>
      <c r="Z15" s="252"/>
      <c r="AA15" s="259"/>
    </row>
    <row r="16" spans="1:38" s="535" customFormat="1">
      <c r="A16" s="663"/>
      <c r="B16" s="664" t="s">
        <v>138</v>
      </c>
      <c r="C16" s="664"/>
      <c r="D16" s="664" t="s">
        <v>139</v>
      </c>
      <c r="E16" s="664" t="s">
        <v>140</v>
      </c>
      <c r="F16" s="664" t="s">
        <v>141</v>
      </c>
      <c r="G16" s="665" t="s">
        <v>142</v>
      </c>
      <c r="H16" s="664" t="s">
        <v>143</v>
      </c>
      <c r="I16" s="664" t="s">
        <v>144</v>
      </c>
      <c r="J16" s="666" t="s">
        <v>145</v>
      </c>
      <c r="K16" s="665" t="s">
        <v>161</v>
      </c>
      <c r="L16" s="664" t="s">
        <v>162</v>
      </c>
      <c r="M16" s="667" t="s">
        <v>872</v>
      </c>
      <c r="N16" s="664" t="s">
        <v>871</v>
      </c>
      <c r="O16" s="664" t="s">
        <v>929</v>
      </c>
      <c r="P16" s="664" t="s">
        <v>976</v>
      </c>
      <c r="Q16" s="668" t="s">
        <v>977</v>
      </c>
      <c r="R16" s="665" t="s">
        <v>978</v>
      </c>
      <c r="S16" s="664" t="s">
        <v>979</v>
      </c>
      <c r="T16" s="664" t="s">
        <v>980</v>
      </c>
      <c r="U16" s="664" t="s">
        <v>981</v>
      </c>
      <c r="V16" s="666" t="s">
        <v>982</v>
      </c>
      <c r="W16" s="665" t="s">
        <v>983</v>
      </c>
      <c r="X16" s="664" t="s">
        <v>984</v>
      </c>
      <c r="Y16" s="664" t="s">
        <v>985</v>
      </c>
      <c r="Z16" s="664" t="s">
        <v>986</v>
      </c>
      <c r="AA16" s="666" t="s">
        <v>987</v>
      </c>
    </row>
    <row r="17" spans="1:27">
      <c r="G17" s="325"/>
      <c r="H17" s="260"/>
      <c r="I17" s="252"/>
      <c r="J17" s="259"/>
      <c r="K17" s="324"/>
      <c r="L17" s="252"/>
      <c r="M17" s="252"/>
      <c r="N17" s="252"/>
      <c r="O17" s="252"/>
      <c r="P17" s="255"/>
      <c r="Q17" s="625"/>
      <c r="R17" s="324"/>
      <c r="S17" s="252"/>
      <c r="T17" s="252"/>
      <c r="U17" s="252"/>
      <c r="V17" s="259"/>
      <c r="W17" s="324"/>
      <c r="X17" s="252"/>
      <c r="Y17" s="252"/>
      <c r="Z17" s="252"/>
      <c r="AA17" s="259"/>
    </row>
    <row r="18" spans="1:27">
      <c r="A18" s="530">
        <f>+A14+1</f>
        <v>4</v>
      </c>
      <c r="B18" s="714">
        <v>44927</v>
      </c>
      <c r="C18" s="463"/>
      <c r="D18" s="381">
        <f>H18</f>
        <v>333359478.28999996</v>
      </c>
      <c r="E18" s="381">
        <f>I18</f>
        <v>486793.00215470081</v>
      </c>
      <c r="F18" s="381">
        <f>J18</f>
        <v>56027637.062154688</v>
      </c>
      <c r="G18" s="890">
        <v>-79418.10000000002</v>
      </c>
      <c r="H18" s="464">
        <f>H$14+G18</f>
        <v>333359478.28999996</v>
      </c>
      <c r="I18" s="465">
        <f>I$12*H14</f>
        <v>486793.00215470081</v>
      </c>
      <c r="J18" s="466">
        <f>J14+I18</f>
        <v>56027637.062154688</v>
      </c>
      <c r="K18" s="626">
        <f>G18</f>
        <v>-79418.10000000002</v>
      </c>
      <c r="L18" s="520">
        <v>3.7499999999999999E-2</v>
      </c>
      <c r="M18" s="520">
        <v>7.4999999999999997E-2</v>
      </c>
      <c r="N18" s="252">
        <f t="shared" ref="N18:N29" si="0">K18*L18</f>
        <v>-2978.1787500000005</v>
      </c>
      <c r="O18" s="252">
        <f t="shared" ref="O18:O29" si="1">K18*M18</f>
        <v>-5956.357500000001</v>
      </c>
      <c r="P18" s="255">
        <f t="shared" ref="P18:P29" si="2">(P$14)/12</f>
        <v>499929.16219363065</v>
      </c>
      <c r="Q18" s="627"/>
      <c r="R18" s="636">
        <f>N$42/12+P18</f>
        <v>651677.53935343935</v>
      </c>
      <c r="S18" s="637">
        <f>E18</f>
        <v>486793.00215470081</v>
      </c>
      <c r="T18" s="637">
        <f>S18-R18</f>
        <v>-164884.53719873854</v>
      </c>
      <c r="U18" s="638">
        <f>+'Proj Att-H'!$D$133</f>
        <v>0.24475999999999998</v>
      </c>
      <c r="V18" s="639">
        <f>T18*U18</f>
        <v>-40357.139324763244</v>
      </c>
      <c r="W18" s="640"/>
      <c r="X18" s="628"/>
      <c r="Y18" s="628"/>
      <c r="Z18" s="628"/>
      <c r="AA18" s="627"/>
    </row>
    <row r="19" spans="1:27">
      <c r="A19" s="530">
        <f t="shared" ref="A19:A41" si="3">+A18+1</f>
        <v>5</v>
      </c>
      <c r="B19" s="714">
        <v>44958</v>
      </c>
      <c r="C19" s="463"/>
      <c r="D19" s="381">
        <f t="shared" ref="D19:D41" si="4">H19</f>
        <v>381351142</v>
      </c>
      <c r="E19" s="381">
        <f t="shared" ref="E19:E41" si="5">I19</f>
        <v>486677.05834687577</v>
      </c>
      <c r="F19" s="381">
        <f t="shared" ref="F19:F41" si="6">J19</f>
        <v>56514314.120501563</v>
      </c>
      <c r="G19" s="890">
        <v>47912245.609999999</v>
      </c>
      <c r="H19" s="464">
        <f t="shared" ref="H19:H41" si="7">H$14+G19</f>
        <v>381351142</v>
      </c>
      <c r="I19" s="465">
        <f>I$12*H18</f>
        <v>486677.05834687577</v>
      </c>
      <c r="J19" s="466">
        <f t="shared" ref="J19:J41" si="8">J18+I19</f>
        <v>56514314.120501563</v>
      </c>
      <c r="K19" s="626">
        <f>G19-G18</f>
        <v>47991663.710000001</v>
      </c>
      <c r="L19" s="520">
        <v>3.7499999999999999E-2</v>
      </c>
      <c r="M19" s="520">
        <v>7.4999999999999997E-2</v>
      </c>
      <c r="N19" s="252">
        <f t="shared" si="0"/>
        <v>1799687.389125</v>
      </c>
      <c r="O19" s="252">
        <f t="shared" si="1"/>
        <v>3599374.77825</v>
      </c>
      <c r="P19" s="255">
        <f t="shared" si="2"/>
        <v>499929.16219363065</v>
      </c>
      <c r="Q19" s="627"/>
      <c r="R19" s="636">
        <f t="shared" ref="R19:R29" si="9">N$42/12+P19</f>
        <v>651677.53935343935</v>
      </c>
      <c r="S19" s="637">
        <f t="shared" ref="S19:S29" si="10">E19</f>
        <v>486677.05834687577</v>
      </c>
      <c r="T19" s="637">
        <f t="shared" ref="T19:T29" si="11">S19-R19</f>
        <v>-165000.48100656358</v>
      </c>
      <c r="U19" s="638">
        <f>+'Proj Att-H'!$D$133</f>
        <v>0.24475999999999998</v>
      </c>
      <c r="V19" s="639">
        <f t="shared" ref="V19:V29" si="12">T19*U19</f>
        <v>-40385.517731166496</v>
      </c>
      <c r="W19" s="640"/>
      <c r="X19" s="628"/>
      <c r="Y19" s="628"/>
      <c r="Z19" s="628"/>
      <c r="AA19" s="627"/>
    </row>
    <row r="20" spans="1:27">
      <c r="A20" s="530">
        <f t="shared" si="3"/>
        <v>6</v>
      </c>
      <c r="B20" s="714">
        <v>44986</v>
      </c>
      <c r="C20" s="463"/>
      <c r="D20" s="381">
        <f t="shared" si="4"/>
        <v>381179637.59999996</v>
      </c>
      <c r="E20" s="381">
        <f t="shared" si="5"/>
        <v>556740.88805816672</v>
      </c>
      <c r="F20" s="381">
        <f t="shared" si="6"/>
        <v>57071055.008559726</v>
      </c>
      <c r="G20" s="890">
        <v>47740741.210000001</v>
      </c>
      <c r="H20" s="464">
        <f t="shared" si="7"/>
        <v>381179637.59999996</v>
      </c>
      <c r="I20" s="465">
        <f t="shared" ref="I20:I41" si="13">I$12*H19</f>
        <v>556740.88805816672</v>
      </c>
      <c r="J20" s="466">
        <f t="shared" si="8"/>
        <v>57071055.008559726</v>
      </c>
      <c r="K20" s="626">
        <f t="shared" ref="K20:K41" si="14">G20-G19</f>
        <v>-171504.39999999851</v>
      </c>
      <c r="L20" s="520">
        <v>3.7499999999999999E-2</v>
      </c>
      <c r="M20" s="520">
        <v>7.4999999999999997E-2</v>
      </c>
      <c r="N20" s="252">
        <f t="shared" si="0"/>
        <v>-6431.4149999999436</v>
      </c>
      <c r="O20" s="252">
        <f t="shared" si="1"/>
        <v>-12862.829999999887</v>
      </c>
      <c r="P20" s="255">
        <f t="shared" si="2"/>
        <v>499929.16219363065</v>
      </c>
      <c r="Q20" s="627"/>
      <c r="R20" s="636">
        <f t="shared" si="9"/>
        <v>651677.53935343935</v>
      </c>
      <c r="S20" s="637">
        <f t="shared" si="10"/>
        <v>556740.88805816672</v>
      </c>
      <c r="T20" s="637">
        <f t="shared" si="11"/>
        <v>-94936.651295272633</v>
      </c>
      <c r="U20" s="638">
        <f>+'Proj Att-H'!$D$133</f>
        <v>0.24475999999999998</v>
      </c>
      <c r="V20" s="639">
        <f t="shared" si="12"/>
        <v>-23236.694771030929</v>
      </c>
      <c r="W20" s="640"/>
      <c r="X20" s="628"/>
      <c r="Y20" s="628"/>
      <c r="Z20" s="628"/>
      <c r="AA20" s="627"/>
    </row>
    <row r="21" spans="1:27">
      <c r="A21" s="530">
        <f t="shared" si="3"/>
        <v>7</v>
      </c>
      <c r="B21" s="714">
        <v>45017</v>
      </c>
      <c r="C21" s="463"/>
      <c r="D21" s="381">
        <f t="shared" si="4"/>
        <v>381202623.08999997</v>
      </c>
      <c r="E21" s="381">
        <f t="shared" si="5"/>
        <v>556490.50592619996</v>
      </c>
      <c r="F21" s="381">
        <f t="shared" si="6"/>
        <v>57627545.514485925</v>
      </c>
      <c r="G21" s="890">
        <v>47763726.700000003</v>
      </c>
      <c r="H21" s="464">
        <f t="shared" si="7"/>
        <v>381202623.08999997</v>
      </c>
      <c r="I21" s="465">
        <f t="shared" si="13"/>
        <v>556490.50592619996</v>
      </c>
      <c r="J21" s="466">
        <f t="shared" si="8"/>
        <v>57627545.514485925</v>
      </c>
      <c r="K21" s="626">
        <f t="shared" si="14"/>
        <v>22985.490000002086</v>
      </c>
      <c r="L21" s="520">
        <v>3.7499999999999999E-2</v>
      </c>
      <c r="M21" s="520">
        <v>7.4999999999999997E-2</v>
      </c>
      <c r="N21" s="252">
        <f t="shared" si="0"/>
        <v>861.95587500007821</v>
      </c>
      <c r="O21" s="252">
        <f t="shared" si="1"/>
        <v>1723.9117500001564</v>
      </c>
      <c r="P21" s="255">
        <f t="shared" si="2"/>
        <v>499929.16219363065</v>
      </c>
      <c r="Q21" s="627"/>
      <c r="R21" s="636">
        <f t="shared" si="9"/>
        <v>651677.53935343935</v>
      </c>
      <c r="S21" s="637">
        <f t="shared" si="10"/>
        <v>556490.50592619996</v>
      </c>
      <c r="T21" s="637">
        <f t="shared" si="11"/>
        <v>-95187.033427239396</v>
      </c>
      <c r="U21" s="638">
        <f>+'Proj Att-H'!$D$133</f>
        <v>0.24475999999999998</v>
      </c>
      <c r="V21" s="639">
        <f t="shared" si="12"/>
        <v>-23297.978301651114</v>
      </c>
      <c r="W21" s="640"/>
      <c r="X21" s="628"/>
      <c r="Y21" s="628"/>
      <c r="Z21" s="628"/>
      <c r="AA21" s="627"/>
    </row>
    <row r="22" spans="1:27">
      <c r="A22" s="530">
        <f t="shared" si="3"/>
        <v>8</v>
      </c>
      <c r="B22" s="714">
        <v>45047</v>
      </c>
      <c r="C22" s="463"/>
      <c r="D22" s="381">
        <f t="shared" si="4"/>
        <v>380885399.91999996</v>
      </c>
      <c r="E22" s="381">
        <f t="shared" si="5"/>
        <v>556524.06282614241</v>
      </c>
      <c r="F22" s="381">
        <f t="shared" si="6"/>
        <v>58184069.577312067</v>
      </c>
      <c r="G22" s="890">
        <v>47446503.530000001</v>
      </c>
      <c r="H22" s="464">
        <f t="shared" si="7"/>
        <v>380885399.91999996</v>
      </c>
      <c r="I22" s="465">
        <f t="shared" si="13"/>
        <v>556524.06282614241</v>
      </c>
      <c r="J22" s="466">
        <f t="shared" si="8"/>
        <v>58184069.577312067</v>
      </c>
      <c r="K22" s="626">
        <f t="shared" si="14"/>
        <v>-317223.17000000179</v>
      </c>
      <c r="L22" s="520">
        <v>3.7499999999999999E-2</v>
      </c>
      <c r="M22" s="520">
        <v>7.4999999999999997E-2</v>
      </c>
      <c r="N22" s="252">
        <f t="shared" si="0"/>
        <v>-11895.868875000067</v>
      </c>
      <c r="O22" s="252">
        <f t="shared" si="1"/>
        <v>-23791.737750000135</v>
      </c>
      <c r="P22" s="255">
        <f t="shared" si="2"/>
        <v>499929.16219363065</v>
      </c>
      <c r="Q22" s="627"/>
      <c r="R22" s="636">
        <f t="shared" si="9"/>
        <v>651677.53935343935</v>
      </c>
      <c r="S22" s="637">
        <f t="shared" si="10"/>
        <v>556524.06282614241</v>
      </c>
      <c r="T22" s="637">
        <f t="shared" si="11"/>
        <v>-95153.476527296938</v>
      </c>
      <c r="U22" s="638">
        <f>+'Proj Att-H'!$D$133</f>
        <v>0.24475999999999998</v>
      </c>
      <c r="V22" s="639">
        <f t="shared" si="12"/>
        <v>-23289.764914821197</v>
      </c>
      <c r="W22" s="640"/>
      <c r="X22" s="628"/>
      <c r="Y22" s="628"/>
      <c r="Z22" s="628"/>
      <c r="AA22" s="627"/>
    </row>
    <row r="23" spans="1:27">
      <c r="A23" s="530">
        <f t="shared" si="3"/>
        <v>9</v>
      </c>
      <c r="B23" s="714">
        <v>45078</v>
      </c>
      <c r="C23" s="463"/>
      <c r="D23" s="381">
        <f t="shared" si="4"/>
        <v>380554508.75</v>
      </c>
      <c r="E23" s="381">
        <f t="shared" si="5"/>
        <v>556060.94343320664</v>
      </c>
      <c r="F23" s="381">
        <f t="shared" si="6"/>
        <v>58740130.520745277</v>
      </c>
      <c r="G23" s="890">
        <v>47115612.359999999</v>
      </c>
      <c r="H23" s="464">
        <f t="shared" si="7"/>
        <v>380554508.75</v>
      </c>
      <c r="I23" s="465">
        <f t="shared" si="13"/>
        <v>556060.94343320664</v>
      </c>
      <c r="J23" s="466">
        <f t="shared" si="8"/>
        <v>58740130.520745277</v>
      </c>
      <c r="K23" s="626">
        <f t="shared" si="14"/>
        <v>-330891.17000000179</v>
      </c>
      <c r="L23" s="520">
        <v>3.7499999999999999E-2</v>
      </c>
      <c r="M23" s="520">
        <v>7.4999999999999997E-2</v>
      </c>
      <c r="N23" s="252">
        <f t="shared" si="0"/>
        <v>-12408.418875000067</v>
      </c>
      <c r="O23" s="252">
        <f t="shared" si="1"/>
        <v>-24816.837750000133</v>
      </c>
      <c r="P23" s="255">
        <f t="shared" si="2"/>
        <v>499929.16219363065</v>
      </c>
      <c r="Q23" s="627"/>
      <c r="R23" s="636">
        <f t="shared" si="9"/>
        <v>651677.53935343935</v>
      </c>
      <c r="S23" s="637">
        <f t="shared" si="10"/>
        <v>556060.94343320664</v>
      </c>
      <c r="T23" s="637">
        <f t="shared" si="11"/>
        <v>-95616.595920232707</v>
      </c>
      <c r="U23" s="638">
        <f>+'Proj Att-H'!$D$133</f>
        <v>0.24475999999999998</v>
      </c>
      <c r="V23" s="639">
        <f t="shared" si="12"/>
        <v>-23403.118017436154</v>
      </c>
      <c r="W23" s="640"/>
      <c r="X23" s="628"/>
      <c r="Y23" s="628"/>
      <c r="Z23" s="628"/>
      <c r="AA23" s="627"/>
    </row>
    <row r="24" spans="1:27">
      <c r="A24" s="530">
        <f t="shared" si="3"/>
        <v>10</v>
      </c>
      <c r="B24" s="714">
        <v>45108</v>
      </c>
      <c r="C24" s="463"/>
      <c r="D24" s="381">
        <f t="shared" si="4"/>
        <v>379529953.38999999</v>
      </c>
      <c r="E24" s="381">
        <f t="shared" si="5"/>
        <v>555577.86989927082</v>
      </c>
      <c r="F24" s="381">
        <f t="shared" si="6"/>
        <v>59295708.39064455</v>
      </c>
      <c r="G24" s="890">
        <v>46091057</v>
      </c>
      <c r="H24" s="464">
        <f t="shared" si="7"/>
        <v>379529953.38999999</v>
      </c>
      <c r="I24" s="465">
        <f t="shared" si="13"/>
        <v>555577.86989927082</v>
      </c>
      <c r="J24" s="466">
        <f t="shared" si="8"/>
        <v>59295708.39064455</v>
      </c>
      <c r="K24" s="626">
        <f t="shared" si="14"/>
        <v>-1024555.3599999994</v>
      </c>
      <c r="L24" s="520">
        <v>3.7499999999999999E-2</v>
      </c>
      <c r="M24" s="520">
        <v>7.4999999999999997E-2</v>
      </c>
      <c r="N24" s="252">
        <f t="shared" si="0"/>
        <v>-38420.825999999979</v>
      </c>
      <c r="O24" s="252">
        <f t="shared" si="1"/>
        <v>-76841.651999999958</v>
      </c>
      <c r="P24" s="255">
        <f t="shared" si="2"/>
        <v>499929.16219363065</v>
      </c>
      <c r="Q24" s="627"/>
      <c r="R24" s="636">
        <f t="shared" si="9"/>
        <v>651677.53935343935</v>
      </c>
      <c r="S24" s="637">
        <f t="shared" si="10"/>
        <v>555577.86989927082</v>
      </c>
      <c r="T24" s="637">
        <f t="shared" si="11"/>
        <v>-96099.669454168528</v>
      </c>
      <c r="U24" s="638">
        <f>+'Proj Att-H'!$D$133</f>
        <v>0.24475999999999998</v>
      </c>
      <c r="V24" s="639">
        <f t="shared" si="12"/>
        <v>-23521.355095602288</v>
      </c>
      <c r="W24" s="640"/>
      <c r="X24" s="628"/>
      <c r="Y24" s="628"/>
      <c r="Z24" s="628"/>
      <c r="AA24" s="627"/>
    </row>
    <row r="25" spans="1:27">
      <c r="A25" s="530">
        <f t="shared" si="3"/>
        <v>11</v>
      </c>
      <c r="B25" s="714">
        <v>45139</v>
      </c>
      <c r="C25" s="463"/>
      <c r="D25" s="381">
        <f t="shared" si="4"/>
        <v>382681430.02832425</v>
      </c>
      <c r="E25" s="381">
        <f t="shared" si="5"/>
        <v>554082.10445328418</v>
      </c>
      <c r="F25" s="381">
        <f t="shared" si="6"/>
        <v>59849790.495097831</v>
      </c>
      <c r="G25" s="890">
        <v>49242533.638324291</v>
      </c>
      <c r="H25" s="464">
        <f t="shared" si="7"/>
        <v>382681430.02832425</v>
      </c>
      <c r="I25" s="465">
        <f t="shared" si="13"/>
        <v>554082.10445328418</v>
      </c>
      <c r="J25" s="466">
        <f t="shared" si="8"/>
        <v>59849790.495097831</v>
      </c>
      <c r="K25" s="626">
        <f t="shared" si="14"/>
        <v>3151476.6383242905</v>
      </c>
      <c r="L25" s="520">
        <v>3.7499999999999999E-2</v>
      </c>
      <c r="M25" s="520">
        <v>7.4999999999999997E-2</v>
      </c>
      <c r="N25" s="252">
        <f t="shared" si="0"/>
        <v>118180.37393716088</v>
      </c>
      <c r="O25" s="252">
        <f t="shared" si="1"/>
        <v>236360.74787432177</v>
      </c>
      <c r="P25" s="255">
        <f t="shared" si="2"/>
        <v>499929.16219363065</v>
      </c>
      <c r="Q25" s="627"/>
      <c r="R25" s="636">
        <f t="shared" si="9"/>
        <v>651677.53935343935</v>
      </c>
      <c r="S25" s="637">
        <f t="shared" si="10"/>
        <v>554082.10445328418</v>
      </c>
      <c r="T25" s="637">
        <f t="shared" si="11"/>
        <v>-97595.434900155175</v>
      </c>
      <c r="U25" s="638">
        <f>+'Proj Att-H'!$D$133</f>
        <v>0.24475999999999998</v>
      </c>
      <c r="V25" s="639">
        <f t="shared" si="12"/>
        <v>-23887.45864616198</v>
      </c>
      <c r="W25" s="640"/>
      <c r="X25" s="628"/>
      <c r="Y25" s="628"/>
      <c r="Z25" s="628"/>
      <c r="AA25" s="627"/>
    </row>
    <row r="26" spans="1:27">
      <c r="A26" s="530">
        <f t="shared" si="3"/>
        <v>12</v>
      </c>
      <c r="B26" s="714">
        <v>45170</v>
      </c>
      <c r="C26" s="463"/>
      <c r="D26" s="381">
        <f t="shared" si="4"/>
        <v>383301169.95441651</v>
      </c>
      <c r="E26" s="381">
        <f t="shared" si="5"/>
        <v>558682.9977221844</v>
      </c>
      <c r="F26" s="381">
        <f t="shared" si="6"/>
        <v>60408473.492820017</v>
      </c>
      <c r="G26" s="890">
        <v>49862273.564416513</v>
      </c>
      <c r="H26" s="464">
        <f t="shared" si="7"/>
        <v>383301169.95441651</v>
      </c>
      <c r="I26" s="465">
        <f t="shared" si="13"/>
        <v>558682.9977221844</v>
      </c>
      <c r="J26" s="466">
        <f t="shared" si="8"/>
        <v>60408473.492820017</v>
      </c>
      <c r="K26" s="626">
        <f t="shared" si="14"/>
        <v>619739.92609222233</v>
      </c>
      <c r="L26" s="520">
        <v>3.7499999999999999E-2</v>
      </c>
      <c r="M26" s="520">
        <v>7.4999999999999997E-2</v>
      </c>
      <c r="N26" s="252">
        <f t="shared" si="0"/>
        <v>23240.247228458338</v>
      </c>
      <c r="O26" s="252">
        <f t="shared" si="1"/>
        <v>46480.494456916676</v>
      </c>
      <c r="P26" s="255">
        <f t="shared" si="2"/>
        <v>499929.16219363065</v>
      </c>
      <c r="Q26" s="627"/>
      <c r="R26" s="636">
        <f t="shared" si="9"/>
        <v>651677.53935343935</v>
      </c>
      <c r="S26" s="637">
        <f t="shared" si="10"/>
        <v>558682.9977221844</v>
      </c>
      <c r="T26" s="637">
        <f t="shared" si="11"/>
        <v>-92994.54163125495</v>
      </c>
      <c r="U26" s="638">
        <f>+'Proj Att-H'!$D$133</f>
        <v>0.24475999999999998</v>
      </c>
      <c r="V26" s="639">
        <f t="shared" si="12"/>
        <v>-22761.344009665958</v>
      </c>
      <c r="W26" s="640"/>
      <c r="X26" s="628"/>
      <c r="Y26" s="628"/>
      <c r="Z26" s="628"/>
      <c r="AA26" s="627"/>
    </row>
    <row r="27" spans="1:27">
      <c r="A27" s="530">
        <f t="shared" si="3"/>
        <v>13</v>
      </c>
      <c r="B27" s="714">
        <v>45200</v>
      </c>
      <c r="C27" s="463"/>
      <c r="D27" s="381">
        <f t="shared" si="4"/>
        <v>383591701.07512128</v>
      </c>
      <c r="E27" s="381">
        <f t="shared" si="5"/>
        <v>559587.76636928529</v>
      </c>
      <c r="F27" s="381">
        <f t="shared" si="6"/>
        <v>60968061.2591893</v>
      </c>
      <c r="G27" s="890">
        <v>50152804.685121275</v>
      </c>
      <c r="H27" s="464">
        <f t="shared" si="7"/>
        <v>383591701.07512128</v>
      </c>
      <c r="I27" s="465">
        <f t="shared" si="13"/>
        <v>559587.76636928529</v>
      </c>
      <c r="J27" s="466">
        <f t="shared" si="8"/>
        <v>60968061.2591893</v>
      </c>
      <c r="K27" s="626">
        <f t="shared" si="14"/>
        <v>290531.12070476264</v>
      </c>
      <c r="L27" s="520">
        <v>3.7499999999999999E-2</v>
      </c>
      <c r="M27" s="520">
        <v>7.4999999999999997E-2</v>
      </c>
      <c r="N27" s="252">
        <f t="shared" si="0"/>
        <v>10894.917026428599</v>
      </c>
      <c r="O27" s="252">
        <f t="shared" si="1"/>
        <v>21789.834052857197</v>
      </c>
      <c r="P27" s="255">
        <f t="shared" si="2"/>
        <v>499929.16219363065</v>
      </c>
      <c r="Q27" s="627"/>
      <c r="R27" s="636">
        <f t="shared" si="9"/>
        <v>651677.53935343935</v>
      </c>
      <c r="S27" s="637">
        <f t="shared" si="10"/>
        <v>559587.76636928529</v>
      </c>
      <c r="T27" s="637">
        <f t="shared" si="11"/>
        <v>-92089.772984154057</v>
      </c>
      <c r="U27" s="638">
        <f>+'Proj Att-H'!$D$133</f>
        <v>0.24475999999999998</v>
      </c>
      <c r="V27" s="639">
        <f t="shared" si="12"/>
        <v>-22539.892835601546</v>
      </c>
      <c r="W27" s="640"/>
      <c r="X27" s="628"/>
      <c r="Y27" s="628"/>
      <c r="Z27" s="628"/>
      <c r="AA27" s="627"/>
    </row>
    <row r="28" spans="1:27">
      <c r="A28" s="530">
        <f t="shared" si="3"/>
        <v>14</v>
      </c>
      <c r="B28" s="714">
        <v>45231</v>
      </c>
      <c r="C28" s="463"/>
      <c r="D28" s="381">
        <f t="shared" si="4"/>
        <v>383983825.07997811</v>
      </c>
      <c r="E28" s="381">
        <f t="shared" si="5"/>
        <v>560011.91759458743</v>
      </c>
      <c r="F28" s="381">
        <f t="shared" si="6"/>
        <v>61528073.17678389</v>
      </c>
      <c r="G28" s="890">
        <v>50544928.689978115</v>
      </c>
      <c r="H28" s="464">
        <f t="shared" si="7"/>
        <v>383983825.07997811</v>
      </c>
      <c r="I28" s="465">
        <f t="shared" si="13"/>
        <v>560011.91759458743</v>
      </c>
      <c r="J28" s="466">
        <f t="shared" si="8"/>
        <v>61528073.17678389</v>
      </c>
      <c r="K28" s="626">
        <f t="shared" si="14"/>
        <v>392124.00485683978</v>
      </c>
      <c r="L28" s="520">
        <v>3.7499999999999999E-2</v>
      </c>
      <c r="M28" s="520">
        <v>7.4999999999999997E-2</v>
      </c>
      <c r="N28" s="252">
        <f t="shared" si="0"/>
        <v>14704.650182131491</v>
      </c>
      <c r="O28" s="252">
        <f t="shared" si="1"/>
        <v>29409.300364262981</v>
      </c>
      <c r="P28" s="255">
        <f t="shared" si="2"/>
        <v>499929.16219363065</v>
      </c>
      <c r="Q28" s="627"/>
      <c r="R28" s="636">
        <f t="shared" si="9"/>
        <v>651677.53935343935</v>
      </c>
      <c r="S28" s="637">
        <f t="shared" si="10"/>
        <v>560011.91759458743</v>
      </c>
      <c r="T28" s="637">
        <f t="shared" si="11"/>
        <v>-91665.621758851921</v>
      </c>
      <c r="U28" s="638">
        <f>+'Proj Att-H'!$D$133</f>
        <v>0.24475999999999998</v>
      </c>
      <c r="V28" s="639">
        <f t="shared" si="12"/>
        <v>-22436.077581696594</v>
      </c>
      <c r="W28" s="640"/>
      <c r="X28" s="628"/>
      <c r="Y28" s="628"/>
      <c r="Z28" s="628"/>
      <c r="AA28" s="627"/>
    </row>
    <row r="29" spans="1:27">
      <c r="A29" s="530">
        <f t="shared" si="3"/>
        <v>15</v>
      </c>
      <c r="B29" s="714">
        <v>45261</v>
      </c>
      <c r="C29" s="463"/>
      <c r="D29" s="381">
        <f t="shared" si="4"/>
        <v>381998377.08113879</v>
      </c>
      <c r="E29" s="381">
        <f t="shared" si="5"/>
        <v>560584.38596467802</v>
      </c>
      <c r="F29" s="381">
        <f t="shared" si="6"/>
        <v>62088657.562748566</v>
      </c>
      <c r="G29" s="890">
        <v>48559480.691138804</v>
      </c>
      <c r="H29" s="464">
        <f t="shared" si="7"/>
        <v>381998377.08113879</v>
      </c>
      <c r="I29" s="465">
        <f>I$12*H28</f>
        <v>560584.38596467802</v>
      </c>
      <c r="J29" s="466">
        <f t="shared" si="8"/>
        <v>62088657.562748566</v>
      </c>
      <c r="K29" s="626">
        <f t="shared" si="14"/>
        <v>-1985447.9988393113</v>
      </c>
      <c r="L29" s="520">
        <v>3.7499999999999999E-2</v>
      </c>
      <c r="M29" s="520">
        <v>7.4999999999999997E-2</v>
      </c>
      <c r="N29" s="252">
        <f t="shared" si="0"/>
        <v>-74454.299956474177</v>
      </c>
      <c r="O29" s="252">
        <f t="shared" si="1"/>
        <v>-148908.59991294835</v>
      </c>
      <c r="P29" s="255">
        <f t="shared" si="2"/>
        <v>499929.16219363065</v>
      </c>
      <c r="Q29" s="627"/>
      <c r="R29" s="636">
        <f t="shared" si="9"/>
        <v>651677.53935343935</v>
      </c>
      <c r="S29" s="637">
        <f t="shared" si="10"/>
        <v>560584.38596467802</v>
      </c>
      <c r="T29" s="637">
        <f t="shared" si="11"/>
        <v>-91093.153388761333</v>
      </c>
      <c r="U29" s="638">
        <f>+'Proj Att-H'!$D$133</f>
        <v>0.24475999999999998</v>
      </c>
      <c r="V29" s="639">
        <f t="shared" si="12"/>
        <v>-22295.960223433223</v>
      </c>
      <c r="W29" s="640"/>
      <c r="X29" s="628"/>
      <c r="Y29" s="628"/>
      <c r="Z29" s="628"/>
      <c r="AA29" s="627"/>
    </row>
    <row r="30" spans="1:27">
      <c r="A30" s="530">
        <f>+A29+1</f>
        <v>16</v>
      </c>
      <c r="B30" s="714">
        <v>45292</v>
      </c>
      <c r="C30" s="463"/>
      <c r="D30" s="381">
        <f t="shared" si="4"/>
        <v>382277602.21563685</v>
      </c>
      <c r="E30" s="381">
        <f t="shared" si="5"/>
        <v>557685.79734037258</v>
      </c>
      <c r="F30" s="381">
        <f t="shared" si="6"/>
        <v>62646343.360088937</v>
      </c>
      <c r="G30" s="890">
        <v>48838705.825636856</v>
      </c>
      <c r="H30" s="464">
        <f t="shared" si="7"/>
        <v>382277602.21563685</v>
      </c>
      <c r="I30" s="465">
        <f t="shared" si="13"/>
        <v>557685.79734037258</v>
      </c>
      <c r="J30" s="466">
        <f t="shared" si="8"/>
        <v>62646343.360088937</v>
      </c>
      <c r="K30" s="626">
        <f t="shared" si="14"/>
        <v>279225.1344980523</v>
      </c>
      <c r="L30" s="520">
        <v>3.7499999999999999E-2</v>
      </c>
      <c r="M30" s="520">
        <v>7.4999999999999997E-2</v>
      </c>
      <c r="N30" s="628"/>
      <c r="O30" s="252">
        <f t="shared" ref="O30:O41" si="15">K30*L30</f>
        <v>10470.942543676962</v>
      </c>
      <c r="P30" s="628"/>
      <c r="Q30" s="625">
        <f>(Q$14)/12</f>
        <v>513784.91725029098</v>
      </c>
      <c r="R30" s="640"/>
      <c r="S30" s="628"/>
      <c r="T30" s="628"/>
      <c r="U30" s="628"/>
      <c r="V30" s="627"/>
      <c r="W30" s="644">
        <f>(O$42/12)+Q30</f>
        <v>847385.71084460593</v>
      </c>
      <c r="X30" s="637">
        <f>E30</f>
        <v>557685.79734037258</v>
      </c>
      <c r="Y30" s="637">
        <f>X30-W30</f>
        <v>-289699.91350423335</v>
      </c>
      <c r="Z30" s="638">
        <f>+'Proj Att-H'!$D$133</f>
        <v>0.24475999999999998</v>
      </c>
      <c r="AA30" s="639">
        <f>Z30*Y30</f>
        <v>-70906.950829296155</v>
      </c>
    </row>
    <row r="31" spans="1:27">
      <c r="A31" s="530">
        <f t="shared" si="3"/>
        <v>17</v>
      </c>
      <c r="B31" s="714">
        <v>45323</v>
      </c>
      <c r="C31" s="463"/>
      <c r="D31" s="381">
        <f t="shared" si="4"/>
        <v>382509853.58272952</v>
      </c>
      <c r="E31" s="381">
        <f t="shared" si="5"/>
        <v>558093.44276797853</v>
      </c>
      <c r="F31" s="381">
        <f t="shared" si="6"/>
        <v>63204436.802856915</v>
      </c>
      <c r="G31" s="890">
        <v>49070957.192729525</v>
      </c>
      <c r="H31" s="464">
        <f t="shared" si="7"/>
        <v>382509853.58272952</v>
      </c>
      <c r="I31" s="465">
        <f t="shared" si="13"/>
        <v>558093.44276797853</v>
      </c>
      <c r="J31" s="466">
        <f t="shared" si="8"/>
        <v>63204436.802856915</v>
      </c>
      <c r="K31" s="626">
        <f t="shared" si="14"/>
        <v>232251.36709266901</v>
      </c>
      <c r="L31" s="520">
        <v>3.7499999999999999E-2</v>
      </c>
      <c r="M31" s="520">
        <v>7.4999999999999997E-2</v>
      </c>
      <c r="N31" s="628"/>
      <c r="O31" s="252">
        <f t="shared" si="15"/>
        <v>8709.4262659750875</v>
      </c>
      <c r="P31" s="628"/>
      <c r="Q31" s="625">
        <f t="shared" ref="Q31:Q41" si="16">(Q$14)/12</f>
        <v>513784.91725029098</v>
      </c>
      <c r="R31" s="640"/>
      <c r="S31" s="628"/>
      <c r="T31" s="628"/>
      <c r="U31" s="628"/>
      <c r="V31" s="627"/>
      <c r="W31" s="644">
        <f t="shared" ref="W31:W41" si="17">(O$42/12)+Q31</f>
        <v>847385.71084460593</v>
      </c>
      <c r="X31" s="637">
        <f t="shared" ref="X31:X41" si="18">E31</f>
        <v>558093.44276797853</v>
      </c>
      <c r="Y31" s="637">
        <f t="shared" ref="Y31:Y41" si="19">X31-W31</f>
        <v>-289292.2680766274</v>
      </c>
      <c r="Z31" s="638">
        <f>+'Proj Att-H'!$D$133</f>
        <v>0.24475999999999998</v>
      </c>
      <c r="AA31" s="639">
        <f t="shared" ref="AA31:AA41" si="20">Z31*Y31</f>
        <v>-70807.175534435315</v>
      </c>
    </row>
    <row r="32" spans="1:27">
      <c r="A32" s="530">
        <f t="shared" si="3"/>
        <v>18</v>
      </c>
      <c r="B32" s="714">
        <v>45352</v>
      </c>
      <c r="C32" s="463"/>
      <c r="D32" s="381">
        <f t="shared" si="4"/>
        <v>382725439.34616047</v>
      </c>
      <c r="E32" s="381">
        <f t="shared" si="5"/>
        <v>558432.51040965319</v>
      </c>
      <c r="F32" s="381">
        <f t="shared" si="6"/>
        <v>63762869.313266568</v>
      </c>
      <c r="G32" s="890">
        <v>49286542.956160501</v>
      </c>
      <c r="H32" s="464">
        <f t="shared" si="7"/>
        <v>382725439.34616047</v>
      </c>
      <c r="I32" s="465">
        <f t="shared" si="13"/>
        <v>558432.51040965319</v>
      </c>
      <c r="J32" s="466">
        <f t="shared" si="8"/>
        <v>63762869.313266568</v>
      </c>
      <c r="K32" s="626">
        <f t="shared" si="14"/>
        <v>215585.76343097538</v>
      </c>
      <c r="L32" s="520">
        <v>3.7499999999999999E-2</v>
      </c>
      <c r="M32" s="520">
        <v>7.4999999999999997E-2</v>
      </c>
      <c r="N32" s="628"/>
      <c r="O32" s="252">
        <f t="shared" si="15"/>
        <v>8084.4661286615765</v>
      </c>
      <c r="P32" s="628"/>
      <c r="Q32" s="625">
        <f t="shared" si="16"/>
        <v>513784.91725029098</v>
      </c>
      <c r="R32" s="640"/>
      <c r="S32" s="628"/>
      <c r="T32" s="628"/>
      <c r="U32" s="628"/>
      <c r="V32" s="627"/>
      <c r="W32" s="644">
        <f t="shared" si="17"/>
        <v>847385.71084460593</v>
      </c>
      <c r="X32" s="637">
        <f t="shared" si="18"/>
        <v>558432.51040965319</v>
      </c>
      <c r="Y32" s="637">
        <f t="shared" si="19"/>
        <v>-288953.20043495274</v>
      </c>
      <c r="Z32" s="638">
        <f>+'Proj Att-H'!$D$133</f>
        <v>0.24475999999999998</v>
      </c>
      <c r="AA32" s="639">
        <f t="shared" si="20"/>
        <v>-70724.185338459021</v>
      </c>
    </row>
    <row r="33" spans="1:27">
      <c r="A33" s="530">
        <f t="shared" si="3"/>
        <v>19</v>
      </c>
      <c r="B33" s="714">
        <v>45383</v>
      </c>
      <c r="C33" s="463"/>
      <c r="D33" s="381">
        <f t="shared" si="4"/>
        <v>382965213.65182757</v>
      </c>
      <c r="E33" s="381">
        <f t="shared" si="5"/>
        <v>558747.24765878206</v>
      </c>
      <c r="F33" s="381">
        <f t="shared" si="6"/>
        <v>64321616.56092535</v>
      </c>
      <c r="G33" s="890">
        <v>49526317.261827566</v>
      </c>
      <c r="H33" s="464">
        <f t="shared" si="7"/>
        <v>382965213.65182757</v>
      </c>
      <c r="I33" s="465">
        <f t="shared" si="13"/>
        <v>558747.24765878206</v>
      </c>
      <c r="J33" s="466">
        <f t="shared" si="8"/>
        <v>64321616.56092535</v>
      </c>
      <c r="K33" s="626">
        <f t="shared" si="14"/>
        <v>239774.30566706508</v>
      </c>
      <c r="L33" s="520">
        <v>3.7499999999999999E-2</v>
      </c>
      <c r="M33" s="520">
        <v>7.4999999999999997E-2</v>
      </c>
      <c r="N33" s="628"/>
      <c r="O33" s="252">
        <f t="shared" si="15"/>
        <v>8991.5364625149396</v>
      </c>
      <c r="P33" s="628"/>
      <c r="Q33" s="625">
        <f t="shared" si="16"/>
        <v>513784.91725029098</v>
      </c>
      <c r="R33" s="640"/>
      <c r="S33" s="628"/>
      <c r="T33" s="628"/>
      <c r="U33" s="628"/>
      <c r="V33" s="627"/>
      <c r="W33" s="644">
        <f t="shared" si="17"/>
        <v>847385.71084460593</v>
      </c>
      <c r="X33" s="637">
        <f t="shared" si="18"/>
        <v>558747.24765878206</v>
      </c>
      <c r="Y33" s="637">
        <f t="shared" si="19"/>
        <v>-288638.46318582387</v>
      </c>
      <c r="Z33" s="638">
        <f>+'Proj Att-H'!$D$133</f>
        <v>0.24475999999999998</v>
      </c>
      <c r="AA33" s="639">
        <f t="shared" si="20"/>
        <v>-70647.150249362239</v>
      </c>
    </row>
    <row r="34" spans="1:27">
      <c r="A34" s="530">
        <f t="shared" si="3"/>
        <v>20</v>
      </c>
      <c r="B34" s="714">
        <v>45413</v>
      </c>
      <c r="C34" s="463"/>
      <c r="D34" s="381">
        <f t="shared" si="4"/>
        <v>383682075.50084054</v>
      </c>
      <c r="E34" s="381">
        <f t="shared" si="5"/>
        <v>559097.29816386395</v>
      </c>
      <c r="F34" s="381">
        <f t="shared" si="6"/>
        <v>64880713.859089211</v>
      </c>
      <c r="G34" s="890">
        <v>50243179.110840589</v>
      </c>
      <c r="H34" s="464">
        <f t="shared" si="7"/>
        <v>383682075.50084054</v>
      </c>
      <c r="I34" s="465">
        <f t="shared" si="13"/>
        <v>559097.29816386395</v>
      </c>
      <c r="J34" s="466">
        <f t="shared" si="8"/>
        <v>64880713.859089211</v>
      </c>
      <c r="K34" s="626">
        <f t="shared" si="14"/>
        <v>716861.84901302308</v>
      </c>
      <c r="L34" s="520">
        <v>3.7499999999999999E-2</v>
      </c>
      <c r="M34" s="520">
        <v>7.4999999999999997E-2</v>
      </c>
      <c r="N34" s="628"/>
      <c r="O34" s="252">
        <f t="shared" si="15"/>
        <v>26882.319337988363</v>
      </c>
      <c r="P34" s="628"/>
      <c r="Q34" s="625">
        <f t="shared" si="16"/>
        <v>513784.91725029098</v>
      </c>
      <c r="R34" s="640"/>
      <c r="S34" s="628"/>
      <c r="T34" s="628"/>
      <c r="U34" s="628"/>
      <c r="V34" s="627"/>
      <c r="W34" s="644">
        <f t="shared" si="17"/>
        <v>847385.71084460593</v>
      </c>
      <c r="X34" s="637">
        <f t="shared" si="18"/>
        <v>559097.29816386395</v>
      </c>
      <c r="Y34" s="637">
        <f t="shared" si="19"/>
        <v>-288288.41268074198</v>
      </c>
      <c r="Z34" s="638">
        <f>+'Proj Att-H'!$D$133</f>
        <v>0.24475999999999998</v>
      </c>
      <c r="AA34" s="639">
        <f t="shared" si="20"/>
        <v>-70561.4718877384</v>
      </c>
    </row>
    <row r="35" spans="1:27">
      <c r="A35" s="530">
        <f t="shared" si="3"/>
        <v>21</v>
      </c>
      <c r="B35" s="714">
        <v>45444</v>
      </c>
      <c r="C35" s="463"/>
      <c r="D35" s="381">
        <f t="shared" si="4"/>
        <v>383925661.40781075</v>
      </c>
      <c r="E35" s="381">
        <f t="shared" si="5"/>
        <v>560143.85672493547</v>
      </c>
      <c r="F35" s="381">
        <f t="shared" si="6"/>
        <v>65440857.715814143</v>
      </c>
      <c r="G35" s="890">
        <v>50486765.017810769</v>
      </c>
      <c r="H35" s="464">
        <f t="shared" si="7"/>
        <v>383925661.40781075</v>
      </c>
      <c r="I35" s="465">
        <f t="shared" si="13"/>
        <v>560143.85672493547</v>
      </c>
      <c r="J35" s="466">
        <f t="shared" si="8"/>
        <v>65440857.715814143</v>
      </c>
      <c r="K35" s="626">
        <f t="shared" si="14"/>
        <v>243585.90697018057</v>
      </c>
      <c r="L35" s="520">
        <v>3.7499999999999999E-2</v>
      </c>
      <c r="M35" s="520">
        <v>7.4999999999999997E-2</v>
      </c>
      <c r="N35" s="628"/>
      <c r="O35" s="252">
        <f t="shared" si="15"/>
        <v>9134.4715113817711</v>
      </c>
      <c r="P35" s="628"/>
      <c r="Q35" s="625">
        <f t="shared" si="16"/>
        <v>513784.91725029098</v>
      </c>
      <c r="R35" s="640"/>
      <c r="S35" s="628"/>
      <c r="T35" s="628"/>
      <c r="U35" s="628"/>
      <c r="V35" s="627"/>
      <c r="W35" s="644">
        <f t="shared" si="17"/>
        <v>847385.71084460593</v>
      </c>
      <c r="X35" s="637">
        <f t="shared" si="18"/>
        <v>560143.85672493547</v>
      </c>
      <c r="Y35" s="637">
        <f t="shared" si="19"/>
        <v>-287241.85411967046</v>
      </c>
      <c r="Z35" s="638">
        <f>+'Proj Att-H'!$D$133</f>
        <v>0.24475999999999998</v>
      </c>
      <c r="AA35" s="639">
        <f t="shared" si="20"/>
        <v>-70305.316214330538</v>
      </c>
    </row>
    <row r="36" spans="1:27">
      <c r="A36" s="530">
        <f t="shared" si="3"/>
        <v>22</v>
      </c>
      <c r="B36" s="714">
        <v>45474</v>
      </c>
      <c r="C36" s="463"/>
      <c r="D36" s="381">
        <f t="shared" si="4"/>
        <v>384170247.66814315</v>
      </c>
      <c r="E36" s="381">
        <f t="shared" si="5"/>
        <v>560499.47185028635</v>
      </c>
      <c r="F36" s="381">
        <f t="shared" si="6"/>
        <v>66001357.187664427</v>
      </c>
      <c r="G36" s="890">
        <v>50731351.278143175</v>
      </c>
      <c r="H36" s="464">
        <f t="shared" si="7"/>
        <v>384170247.66814315</v>
      </c>
      <c r="I36" s="465">
        <f t="shared" si="13"/>
        <v>560499.47185028635</v>
      </c>
      <c r="J36" s="466">
        <f t="shared" si="8"/>
        <v>66001357.187664427</v>
      </c>
      <c r="K36" s="626">
        <f t="shared" si="14"/>
        <v>244586.26033240557</v>
      </c>
      <c r="L36" s="520">
        <v>3.7499999999999999E-2</v>
      </c>
      <c r="M36" s="520">
        <v>7.4999999999999997E-2</v>
      </c>
      <c r="N36" s="628"/>
      <c r="O36" s="252">
        <f t="shared" si="15"/>
        <v>9171.9847624652084</v>
      </c>
      <c r="P36" s="628"/>
      <c r="Q36" s="625">
        <f t="shared" si="16"/>
        <v>513784.91725029098</v>
      </c>
      <c r="R36" s="640"/>
      <c r="S36" s="628"/>
      <c r="T36" s="628"/>
      <c r="U36" s="628"/>
      <c r="V36" s="627"/>
      <c r="W36" s="644">
        <f t="shared" si="17"/>
        <v>847385.71084460593</v>
      </c>
      <c r="X36" s="637">
        <f t="shared" si="18"/>
        <v>560499.47185028635</v>
      </c>
      <c r="Y36" s="637">
        <f t="shared" si="19"/>
        <v>-286886.23899431957</v>
      </c>
      <c r="Z36" s="638">
        <f>+'Proj Att-H'!$D$133</f>
        <v>0.24475999999999998</v>
      </c>
      <c r="AA36" s="639">
        <f t="shared" si="20"/>
        <v>-70218.275856249646</v>
      </c>
    </row>
    <row r="37" spans="1:27">
      <c r="A37" s="530">
        <f t="shared" si="3"/>
        <v>23</v>
      </c>
      <c r="B37" s="714">
        <v>45505</v>
      </c>
      <c r="C37" s="463"/>
      <c r="D37" s="381">
        <f t="shared" si="4"/>
        <v>384412272.27642906</v>
      </c>
      <c r="E37" s="381">
        <f t="shared" si="5"/>
        <v>560856.54740818334</v>
      </c>
      <c r="F37" s="381">
        <f t="shared" si="6"/>
        <v>66562213.735072613</v>
      </c>
      <c r="G37" s="890">
        <v>50973375.886429079</v>
      </c>
      <c r="H37" s="464">
        <f t="shared" si="7"/>
        <v>384412272.27642906</v>
      </c>
      <c r="I37" s="465">
        <f t="shared" si="13"/>
        <v>560856.54740818334</v>
      </c>
      <c r="J37" s="466">
        <f t="shared" si="8"/>
        <v>66562213.735072613</v>
      </c>
      <c r="K37" s="626">
        <f t="shared" si="14"/>
        <v>242024.60828590393</v>
      </c>
      <c r="L37" s="520">
        <v>3.7499999999999999E-2</v>
      </c>
      <c r="M37" s="520">
        <v>7.4999999999999997E-2</v>
      </c>
      <c r="N37" s="628"/>
      <c r="O37" s="252">
        <f t="shared" si="15"/>
        <v>9075.9228107213967</v>
      </c>
      <c r="P37" s="628"/>
      <c r="Q37" s="625">
        <f t="shared" si="16"/>
        <v>513784.91725029098</v>
      </c>
      <c r="R37" s="640"/>
      <c r="S37" s="628"/>
      <c r="T37" s="628"/>
      <c r="U37" s="628"/>
      <c r="V37" s="627"/>
      <c r="W37" s="644">
        <f t="shared" si="17"/>
        <v>847385.71084460593</v>
      </c>
      <c r="X37" s="637">
        <f t="shared" si="18"/>
        <v>560856.54740818334</v>
      </c>
      <c r="Y37" s="637">
        <f t="shared" si="19"/>
        <v>-286529.16343642259</v>
      </c>
      <c r="Z37" s="638">
        <f>+'Proj Att-H'!$D$133</f>
        <v>0.24475999999999998</v>
      </c>
      <c r="AA37" s="639">
        <f t="shared" si="20"/>
        <v>-70130.87804269878</v>
      </c>
    </row>
    <row r="38" spans="1:27">
      <c r="A38" s="530">
        <f t="shared" si="3"/>
        <v>24</v>
      </c>
      <c r="B38" s="714">
        <v>45536</v>
      </c>
      <c r="C38" s="463"/>
      <c r="D38" s="381">
        <f t="shared" si="4"/>
        <v>384756352.39142859</v>
      </c>
      <c r="E38" s="381">
        <f t="shared" si="5"/>
        <v>561209.88316756336</v>
      </c>
      <c r="F38" s="381">
        <f t="shared" si="6"/>
        <v>67123423.618240178</v>
      </c>
      <c r="G38" s="890">
        <v>51317456.001428604</v>
      </c>
      <c r="H38" s="464">
        <f t="shared" si="7"/>
        <v>384756352.39142859</v>
      </c>
      <c r="I38" s="465">
        <f t="shared" si="13"/>
        <v>561209.88316756336</v>
      </c>
      <c r="J38" s="466">
        <f t="shared" si="8"/>
        <v>67123423.618240178</v>
      </c>
      <c r="K38" s="626">
        <f t="shared" si="14"/>
        <v>344080.11499952525</v>
      </c>
      <c r="L38" s="520">
        <v>3.7499999999999999E-2</v>
      </c>
      <c r="M38" s="520">
        <v>7.4999999999999997E-2</v>
      </c>
      <c r="N38" s="628"/>
      <c r="O38" s="252">
        <f t="shared" si="15"/>
        <v>12903.004312482197</v>
      </c>
      <c r="P38" s="628"/>
      <c r="Q38" s="625">
        <f t="shared" si="16"/>
        <v>513784.91725029098</v>
      </c>
      <c r="R38" s="640"/>
      <c r="S38" s="628"/>
      <c r="T38" s="628"/>
      <c r="U38" s="628"/>
      <c r="V38" s="627"/>
      <c r="W38" s="644">
        <f t="shared" si="17"/>
        <v>847385.71084460593</v>
      </c>
      <c r="X38" s="637">
        <f t="shared" si="18"/>
        <v>561209.88316756336</v>
      </c>
      <c r="Y38" s="637">
        <f t="shared" si="19"/>
        <v>-286175.82767704257</v>
      </c>
      <c r="Z38" s="638">
        <f>+'Proj Att-H'!$D$133</f>
        <v>0.24475999999999998</v>
      </c>
      <c r="AA38" s="639">
        <f t="shared" si="20"/>
        <v>-70044.39558223293</v>
      </c>
    </row>
    <row r="39" spans="1:27">
      <c r="A39" s="530">
        <f t="shared" si="3"/>
        <v>25</v>
      </c>
      <c r="B39" s="714">
        <v>45566</v>
      </c>
      <c r="C39" s="463"/>
      <c r="D39" s="381">
        <f t="shared" si="4"/>
        <v>391378551.17122757</v>
      </c>
      <c r="E39" s="381">
        <f t="shared" si="5"/>
        <v>561712.21146211983</v>
      </c>
      <c r="F39" s="381">
        <f t="shared" si="6"/>
        <v>67685135.829702303</v>
      </c>
      <c r="G39" s="890">
        <v>57939654.781227566</v>
      </c>
      <c r="H39" s="464">
        <f t="shared" si="7"/>
        <v>391378551.17122757</v>
      </c>
      <c r="I39" s="465">
        <f t="shared" si="13"/>
        <v>561712.21146211983</v>
      </c>
      <c r="J39" s="466">
        <f t="shared" si="8"/>
        <v>67685135.829702303</v>
      </c>
      <c r="K39" s="626">
        <f t="shared" si="14"/>
        <v>6622198.7797989622</v>
      </c>
      <c r="L39" s="520">
        <v>3.7499999999999999E-2</v>
      </c>
      <c r="M39" s="520">
        <v>7.4999999999999997E-2</v>
      </c>
      <c r="N39" s="628"/>
      <c r="O39" s="252">
        <f t="shared" si="15"/>
        <v>248332.45424246107</v>
      </c>
      <c r="P39" s="628"/>
      <c r="Q39" s="625">
        <f t="shared" si="16"/>
        <v>513784.91725029098</v>
      </c>
      <c r="R39" s="640"/>
      <c r="S39" s="628"/>
      <c r="T39" s="628"/>
      <c r="U39" s="628"/>
      <c r="V39" s="627"/>
      <c r="W39" s="644">
        <f t="shared" si="17"/>
        <v>847385.71084460593</v>
      </c>
      <c r="X39" s="637">
        <f t="shared" si="18"/>
        <v>561712.21146211983</v>
      </c>
      <c r="Y39" s="637">
        <f t="shared" si="19"/>
        <v>-285673.4993824861</v>
      </c>
      <c r="Z39" s="638">
        <f>+'Proj Att-H'!$D$133</f>
        <v>0.24475999999999998</v>
      </c>
      <c r="AA39" s="639">
        <f t="shared" si="20"/>
        <v>-69921.445708857296</v>
      </c>
    </row>
    <row r="40" spans="1:27">
      <c r="A40" s="530">
        <f t="shared" si="3"/>
        <v>26</v>
      </c>
      <c r="B40" s="714">
        <v>45597</v>
      </c>
      <c r="C40" s="463"/>
      <c r="D40" s="381">
        <f t="shared" si="4"/>
        <v>391502455.23773319</v>
      </c>
      <c r="E40" s="381">
        <f t="shared" si="5"/>
        <v>571380.069830728</v>
      </c>
      <c r="F40" s="381">
        <f t="shared" si="6"/>
        <v>68256515.899533033</v>
      </c>
      <c r="G40" s="890">
        <v>58063558.847733192</v>
      </c>
      <c r="H40" s="464">
        <f t="shared" si="7"/>
        <v>391502455.23773319</v>
      </c>
      <c r="I40" s="465">
        <f t="shared" si="13"/>
        <v>571380.069830728</v>
      </c>
      <c r="J40" s="466">
        <f t="shared" si="8"/>
        <v>68256515.899533033</v>
      </c>
      <c r="K40" s="626">
        <f t="shared" si="14"/>
        <v>123904.06650562584</v>
      </c>
      <c r="L40" s="520">
        <v>3.7499999999999999E-2</v>
      </c>
      <c r="M40" s="520">
        <v>7.4999999999999997E-2</v>
      </c>
      <c r="N40" s="628"/>
      <c r="O40" s="252">
        <f t="shared" si="15"/>
        <v>4646.402493960969</v>
      </c>
      <c r="P40" s="628"/>
      <c r="Q40" s="625">
        <f t="shared" si="16"/>
        <v>513784.91725029098</v>
      </c>
      <c r="R40" s="640"/>
      <c r="S40" s="628"/>
      <c r="T40" s="628"/>
      <c r="U40" s="628"/>
      <c r="V40" s="627"/>
      <c r="W40" s="644">
        <f t="shared" si="17"/>
        <v>847385.71084460593</v>
      </c>
      <c r="X40" s="637">
        <f t="shared" si="18"/>
        <v>571380.069830728</v>
      </c>
      <c r="Y40" s="637">
        <f t="shared" si="19"/>
        <v>-276005.64101387793</v>
      </c>
      <c r="Z40" s="638">
        <f>+'Proj Att-H'!$D$133</f>
        <v>0.24475999999999998</v>
      </c>
      <c r="AA40" s="639">
        <f t="shared" si="20"/>
        <v>-67555.140694556758</v>
      </c>
    </row>
    <row r="41" spans="1:27">
      <c r="A41" s="530">
        <f t="shared" si="3"/>
        <v>27</v>
      </c>
      <c r="B41" s="714">
        <v>45627</v>
      </c>
      <c r="C41" s="463"/>
      <c r="D41" s="381">
        <f t="shared" si="4"/>
        <v>391631669.64904195</v>
      </c>
      <c r="E41" s="381">
        <f t="shared" si="5"/>
        <v>571560.95944248734</v>
      </c>
      <c r="F41" s="381">
        <f t="shared" si="6"/>
        <v>68828076.858975515</v>
      </c>
      <c r="G41" s="890">
        <v>58192773.259041972</v>
      </c>
      <c r="H41" s="464">
        <f t="shared" si="7"/>
        <v>391631669.64904195</v>
      </c>
      <c r="I41" s="465">
        <f t="shared" si="13"/>
        <v>571560.95944248734</v>
      </c>
      <c r="J41" s="466">
        <f t="shared" si="8"/>
        <v>68828076.858975515</v>
      </c>
      <c r="K41" s="626">
        <f t="shared" si="14"/>
        <v>129214.41130878031</v>
      </c>
      <c r="L41" s="520">
        <v>3.7499999999999999E-2</v>
      </c>
      <c r="M41" s="520">
        <v>7.4999999999999997E-2</v>
      </c>
      <c r="N41" s="628"/>
      <c r="O41" s="252">
        <f t="shared" si="15"/>
        <v>4845.5404240792614</v>
      </c>
      <c r="P41" s="628"/>
      <c r="Q41" s="625">
        <f t="shared" si="16"/>
        <v>513784.91725029098</v>
      </c>
      <c r="R41" s="640"/>
      <c r="S41" s="628"/>
      <c r="T41" s="628"/>
      <c r="U41" s="628"/>
      <c r="V41" s="627"/>
      <c r="W41" s="644">
        <f t="shared" si="17"/>
        <v>847385.71084460593</v>
      </c>
      <c r="X41" s="637">
        <f t="shared" si="18"/>
        <v>571560.95944248734</v>
      </c>
      <c r="Y41" s="637">
        <f t="shared" si="19"/>
        <v>-275824.75140211859</v>
      </c>
      <c r="Z41" s="638">
        <f>+'Proj Att-H'!$D$133</f>
        <v>0.24475999999999998</v>
      </c>
      <c r="AA41" s="639">
        <f t="shared" si="20"/>
        <v>-67510.866153182535</v>
      </c>
    </row>
    <row r="42" spans="1:27">
      <c r="A42" s="529" t="s">
        <v>667</v>
      </c>
      <c r="B42" s="467"/>
      <c r="C42" s="467"/>
      <c r="G42" s="468"/>
      <c r="H42" s="266"/>
      <c r="I42" s="266"/>
      <c r="J42" s="265"/>
      <c r="K42" s="629"/>
      <c r="L42" s="266"/>
      <c r="M42" s="252"/>
      <c r="N42" s="524">
        <f t="shared" ref="N42:T42" si="21">SUM(N18:N41)</f>
        <v>1820980.5259177049</v>
      </c>
      <c r="O42" s="524">
        <f>SUM(O18:O41)</f>
        <v>4003209.5231317785</v>
      </c>
      <c r="P42" s="548">
        <f t="shared" si="21"/>
        <v>5999149.9463235689</v>
      </c>
      <c r="Q42" s="630">
        <f t="shared" si="21"/>
        <v>6165419.0070034899</v>
      </c>
      <c r="R42" s="641">
        <f t="shared" si="21"/>
        <v>7820130.4722412741</v>
      </c>
      <c r="S42" s="524">
        <f t="shared" si="21"/>
        <v>6547813.5027485816</v>
      </c>
      <c r="T42" s="524">
        <f t="shared" si="21"/>
        <v>-1272316.9694926897</v>
      </c>
      <c r="U42" s="524"/>
      <c r="V42" s="642">
        <f>T42*'Proj Att-H'!D133</f>
        <v>-311412.30145303073</v>
      </c>
      <c r="W42" s="641">
        <f>SUM(W18:W41)</f>
        <v>10168628.530135272</v>
      </c>
      <c r="X42" s="524">
        <f>SUM(X18:X41)</f>
        <v>6739419.2962269532</v>
      </c>
      <c r="Y42" s="524">
        <f>SUM(Y18:Y41)</f>
        <v>-3429209.2339083175</v>
      </c>
      <c r="Z42" s="524"/>
      <c r="AA42" s="642">
        <f>SUM(AA18:AA41)</f>
        <v>-839333.25209139974</v>
      </c>
    </row>
    <row r="43" spans="1:27">
      <c r="A43" s="530">
        <f>A41+1</f>
        <v>28</v>
      </c>
      <c r="B43" s="267" t="s">
        <v>377</v>
      </c>
      <c r="C43" s="267"/>
      <c r="D43" s="381"/>
      <c r="E43" s="469">
        <f>SUM(E30:E41)</f>
        <v>6739419.2962269532</v>
      </c>
      <c r="F43" s="381"/>
      <c r="G43" s="324"/>
      <c r="H43" s="469"/>
      <c r="I43" s="469">
        <f>SUM(I30:I41)</f>
        <v>6739419.2962269532</v>
      </c>
      <c r="J43" s="265"/>
      <c r="K43" s="629"/>
      <c r="L43" s="266"/>
      <c r="M43" s="255"/>
      <c r="N43" s="255"/>
      <c r="O43" s="252"/>
      <c r="P43" s="252"/>
      <c r="Q43" s="625"/>
      <c r="R43" s="324"/>
      <c r="S43" s="252"/>
      <c r="T43" s="252"/>
      <c r="U43" s="252"/>
      <c r="V43" s="259"/>
      <c r="W43" s="324"/>
      <c r="X43" s="252"/>
      <c r="Y43" s="252"/>
      <c r="Z43" s="252"/>
      <c r="AA43" s="259"/>
    </row>
    <row r="44" spans="1:27">
      <c r="A44" s="530">
        <f>+A43+1</f>
        <v>29</v>
      </c>
      <c r="B44" s="267" t="s">
        <v>378</v>
      </c>
      <c r="C44" s="381"/>
      <c r="D44" s="381">
        <f>SUM(D29:D41)/13</f>
        <v>385225828.55231911</v>
      </c>
      <c r="E44" s="266"/>
      <c r="F44" s="381">
        <f>SUM(F29:F41)/13</f>
        <v>65446324.484921366</v>
      </c>
      <c r="G44" s="470"/>
      <c r="H44" s="603">
        <f>SUM(H29:H41)/13</f>
        <v>385225828.55231911</v>
      </c>
      <c r="I44" s="471"/>
      <c r="J44" s="472">
        <f>SUM(J29:J41)/13</f>
        <v>65446324.484921366</v>
      </c>
      <c r="K44" s="631"/>
      <c r="L44" s="632"/>
      <c r="M44" s="633"/>
      <c r="N44" s="633"/>
      <c r="O44" s="634"/>
      <c r="P44" s="634"/>
      <c r="Q44" s="635"/>
      <c r="R44" s="470"/>
      <c r="S44" s="634"/>
      <c r="T44" s="634"/>
      <c r="U44" s="634"/>
      <c r="V44" s="643"/>
      <c r="W44" s="470"/>
      <c r="X44" s="634"/>
      <c r="Y44" s="634"/>
      <c r="Z44" s="634"/>
      <c r="AA44" s="643"/>
    </row>
    <row r="45" spans="1:27">
      <c r="B45" s="267"/>
      <c r="D45" s="268"/>
      <c r="E45" s="268"/>
      <c r="F45" s="268"/>
      <c r="J45" s="269"/>
      <c r="K45" s="269"/>
      <c r="L45" s="269"/>
      <c r="M45" s="252"/>
      <c r="N45" s="252"/>
      <c r="Q45" s="252"/>
    </row>
    <row r="46" spans="1:27" ht="15.75" customHeight="1">
      <c r="A46" s="530"/>
    </row>
    <row r="48" spans="1:27">
      <c r="C48" s="271"/>
      <c r="G48" s="270" t="s">
        <v>172</v>
      </c>
    </row>
    <row r="49" spans="2:12" ht="66" customHeight="1">
      <c r="D49" s="532"/>
      <c r="E49" s="532"/>
      <c r="F49" s="532"/>
      <c r="G49" s="272" t="s">
        <v>76</v>
      </c>
      <c r="H49" s="962" t="s">
        <v>494</v>
      </c>
      <c r="I49" s="962"/>
      <c r="J49" s="962"/>
      <c r="K49" s="511"/>
      <c r="L49" s="511"/>
    </row>
    <row r="50" spans="2:12">
      <c r="B50" s="272"/>
    </row>
  </sheetData>
  <mergeCells count="13">
    <mergeCell ref="B6:F6"/>
    <mergeCell ref="B7:F7"/>
    <mergeCell ref="G7:J7"/>
    <mergeCell ref="AK1:AL1"/>
    <mergeCell ref="L9:M9"/>
    <mergeCell ref="P9:Q9"/>
    <mergeCell ref="W7:AA7"/>
    <mergeCell ref="AA1:AB1"/>
    <mergeCell ref="L10:M10"/>
    <mergeCell ref="H49:J49"/>
    <mergeCell ref="P10:Q10"/>
    <mergeCell ref="N10:O10"/>
    <mergeCell ref="S7:V7"/>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3" manualBreakCount="3">
    <brk id="10" max="48" man="1"/>
    <brk id="17" max="48" man="1"/>
    <brk id="22" max="48" man="1"/>
  </colBreaks>
  <ignoredErrors>
    <ignoredError sqref="H14 J14 P14:Q14" unlockedFormula="1"/>
    <ignoredError sqref="I19:I28 I30:I34 V4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sheetPr>
  <dimension ref="A1:M73"/>
  <sheetViews>
    <sheetView zoomScale="80" zoomScaleNormal="80" workbookViewId="0">
      <selection activeCell="G41" sqref="G41"/>
    </sheetView>
  </sheetViews>
  <sheetFormatPr defaultColWidth="8.6328125" defaultRowHeight="13.2"/>
  <cols>
    <col min="1" max="1" width="5.1796875" style="249" customWidth="1"/>
    <col min="2" max="2" width="36" style="249" customWidth="1"/>
    <col min="3" max="3" width="32.90625" style="249" bestFit="1" customWidth="1"/>
    <col min="4" max="4" width="13.6328125" style="249" customWidth="1"/>
    <col min="5" max="5" width="14.6328125" style="249" customWidth="1"/>
    <col min="6" max="6" width="16.54296875" style="249" customWidth="1"/>
    <col min="7" max="7" width="3.1796875" style="249" customWidth="1"/>
    <col min="8" max="8" width="13.6328125" style="249" customWidth="1"/>
    <col min="9" max="9" width="11.1796875" style="249" customWidth="1"/>
    <col min="10" max="10" width="3.1796875" style="249" customWidth="1"/>
    <col min="11" max="11" width="14.1796875" style="249" customWidth="1"/>
    <col min="12" max="12" width="13.453125" style="249" customWidth="1"/>
    <col min="13" max="13" width="14.453125" style="249" bestFit="1" customWidth="1"/>
    <col min="14" max="14" width="13.1796875" style="249" customWidth="1"/>
    <col min="15" max="16384" width="8.6328125" style="249"/>
  </cols>
  <sheetData>
    <row r="1" spans="1:13">
      <c r="A1" s="975" t="s">
        <v>418</v>
      </c>
      <c r="B1" s="975"/>
      <c r="C1" s="975"/>
      <c r="D1" s="975"/>
      <c r="E1" s="975"/>
      <c r="F1" s="975"/>
    </row>
    <row r="2" spans="1:13">
      <c r="A2" s="975" t="s">
        <v>436</v>
      </c>
      <c r="B2" s="975"/>
      <c r="C2" s="975"/>
      <c r="D2" s="975"/>
      <c r="E2" s="975"/>
      <c r="F2" s="975"/>
    </row>
    <row r="3" spans="1:13">
      <c r="A3" s="975" t="str">
        <f>'Act Att-H'!C7</f>
        <v>Black Hills Colorado Electric, LLC</v>
      </c>
      <c r="B3" s="975"/>
      <c r="C3" s="975"/>
      <c r="D3" s="975"/>
      <c r="E3" s="975"/>
      <c r="F3" s="975"/>
    </row>
    <row r="4" spans="1:13">
      <c r="A4" s="338"/>
      <c r="B4" s="338"/>
      <c r="C4" s="338"/>
      <c r="D4" s="338"/>
      <c r="E4" s="338"/>
      <c r="F4" s="356" t="s">
        <v>515</v>
      </c>
    </row>
    <row r="5" spans="1:13" s="252" customFormat="1">
      <c r="B5" s="357"/>
      <c r="D5" s="358"/>
      <c r="E5" s="358"/>
      <c r="F5" s="358"/>
    </row>
    <row r="6" spans="1:13">
      <c r="B6" s="359" t="s">
        <v>15</v>
      </c>
      <c r="C6" s="359" t="s">
        <v>16</v>
      </c>
      <c r="D6" s="359" t="s">
        <v>17</v>
      </c>
      <c r="E6" s="360" t="s">
        <v>18</v>
      </c>
      <c r="F6" s="360" t="s">
        <v>19</v>
      </c>
    </row>
    <row r="7" spans="1:13">
      <c r="B7" s="361"/>
      <c r="C7" s="252"/>
      <c r="D7" s="322"/>
      <c r="E7" s="358" t="s">
        <v>384</v>
      </c>
      <c r="F7" s="322"/>
      <c r="G7" s="252"/>
      <c r="H7" s="252"/>
      <c r="I7" s="252"/>
      <c r="J7" s="252"/>
      <c r="K7" s="252"/>
      <c r="L7" s="252"/>
      <c r="M7" s="252"/>
    </row>
    <row r="8" spans="1:13">
      <c r="B8" s="361"/>
      <c r="C8" s="252"/>
      <c r="D8" s="362"/>
      <c r="E8" s="358" t="s">
        <v>385</v>
      </c>
      <c r="F8" s="322"/>
      <c r="G8" s="252"/>
      <c r="H8" s="252"/>
      <c r="I8" s="252"/>
      <c r="J8" s="252"/>
      <c r="K8" s="252"/>
      <c r="L8" s="252"/>
      <c r="M8" s="252"/>
    </row>
    <row r="9" spans="1:13">
      <c r="B9" s="361"/>
      <c r="C9" s="252"/>
      <c r="D9" s="362" t="s">
        <v>386</v>
      </c>
      <c r="E9" s="358" t="s">
        <v>387</v>
      </c>
      <c r="F9" s="358" t="s">
        <v>381</v>
      </c>
      <c r="G9" s="252"/>
      <c r="H9" s="252"/>
      <c r="I9" s="252"/>
      <c r="J9" s="252"/>
      <c r="K9" s="252"/>
      <c r="L9" s="252"/>
      <c r="M9" s="252"/>
    </row>
    <row r="10" spans="1:13" ht="13.8" thickBot="1">
      <c r="A10" s="363" t="s">
        <v>4</v>
      </c>
      <c r="B10" s="363" t="s">
        <v>368</v>
      </c>
      <c r="C10" s="363" t="s">
        <v>449</v>
      </c>
      <c r="D10" s="363" t="s">
        <v>388</v>
      </c>
      <c r="E10" s="364" t="s">
        <v>383</v>
      </c>
      <c r="F10" s="363" t="s">
        <v>388</v>
      </c>
      <c r="G10" s="252"/>
      <c r="H10" s="252"/>
      <c r="I10" s="252"/>
      <c r="J10" s="252"/>
      <c r="K10" s="252"/>
      <c r="L10" s="252"/>
      <c r="M10" s="252"/>
    </row>
    <row r="11" spans="1:13">
      <c r="C11" s="252"/>
      <c r="D11" s="252"/>
      <c r="E11" s="252" t="s">
        <v>389</v>
      </c>
      <c r="F11" s="273" t="s">
        <v>390</v>
      </c>
      <c r="G11" s="252"/>
      <c r="H11" s="252"/>
      <c r="I11" s="252"/>
      <c r="J11" s="252"/>
      <c r="K11" s="252"/>
      <c r="L11" s="252"/>
      <c r="M11" s="252"/>
    </row>
    <row r="12" spans="1:13">
      <c r="A12" s="365">
        <v>1</v>
      </c>
      <c r="B12" s="249" t="s">
        <v>391</v>
      </c>
      <c r="C12" s="255" t="s">
        <v>1163</v>
      </c>
      <c r="D12" s="257">
        <f>'Act Att-H'!I66</f>
        <v>256273326.00779608</v>
      </c>
      <c r="E12" s="366"/>
      <c r="F12" s="269"/>
      <c r="G12" s="252"/>
      <c r="H12" s="252"/>
      <c r="I12" s="252"/>
      <c r="J12" s="252"/>
      <c r="K12" s="252"/>
      <c r="L12" s="252"/>
      <c r="M12" s="252"/>
    </row>
    <row r="13" spans="1:13">
      <c r="A13" s="367">
        <v>2</v>
      </c>
      <c r="B13" s="249" t="s">
        <v>392</v>
      </c>
      <c r="C13" s="269" t="s">
        <v>1164</v>
      </c>
      <c r="D13" s="269"/>
      <c r="E13" s="269"/>
      <c r="F13" s="257">
        <f>'Proj Att-H'!I60</f>
        <v>304761010.269916</v>
      </c>
      <c r="G13" s="252"/>
      <c r="H13" s="252"/>
    </row>
    <row r="14" spans="1:13">
      <c r="A14" s="251"/>
      <c r="C14" s="269"/>
      <c r="D14" s="269"/>
      <c r="E14" s="269"/>
      <c r="F14" s="269"/>
      <c r="H14" s="252"/>
    </row>
    <row r="15" spans="1:13">
      <c r="A15" s="251"/>
      <c r="B15" s="361" t="s">
        <v>393</v>
      </c>
      <c r="C15" s="269"/>
      <c r="D15" s="269"/>
      <c r="E15" s="368"/>
      <c r="F15" s="269"/>
      <c r="H15" s="252"/>
    </row>
    <row r="16" spans="1:13">
      <c r="A16" s="367">
        <f>A13+1</f>
        <v>3</v>
      </c>
      <c r="B16" s="269" t="s">
        <v>37</v>
      </c>
      <c r="C16" s="269" t="s">
        <v>1165</v>
      </c>
      <c r="D16" s="257">
        <f>'Act Att-H'!D106</f>
        <v>5464990</v>
      </c>
      <c r="E16" s="56">
        <f>IF($D$12=0,0,D16/$D$12)</f>
        <v>2.1324849078650308E-2</v>
      </c>
      <c r="F16" s="54">
        <f>E16*F$13</f>
        <v>6498982.5490629552</v>
      </c>
      <c r="G16" s="269"/>
      <c r="H16" s="252"/>
      <c r="I16" s="258"/>
    </row>
    <row r="17" spans="1:9">
      <c r="A17" s="276">
        <f>A16+1</f>
        <v>4</v>
      </c>
      <c r="B17" s="269" t="s">
        <v>129</v>
      </c>
      <c r="C17" s="269" t="s">
        <v>1166</v>
      </c>
      <c r="D17" s="257">
        <f>'Act Att-H'!D107</f>
        <v>834290</v>
      </c>
      <c r="E17" s="56">
        <f t="shared" ref="E17:E26" si="0">IF($D$12=0,0,D17/$D$12)</f>
        <v>3.2554695137277773E-3</v>
      </c>
      <c r="F17" s="54">
        <f t="shared" ref="F17:F26" si="1">E17*F$13</f>
        <v>992140.17790658958</v>
      </c>
      <c r="G17" s="269"/>
      <c r="H17" s="252"/>
      <c r="I17" s="369"/>
    </row>
    <row r="18" spans="1:9">
      <c r="A18" s="276">
        <f t="shared" ref="A18:A26" si="2">A17+1</f>
        <v>5</v>
      </c>
      <c r="B18" s="269" t="s">
        <v>38</v>
      </c>
      <c r="C18" s="269" t="s">
        <v>1167</v>
      </c>
      <c r="D18" s="257">
        <f>'Act Att-H'!D108</f>
        <v>2195835</v>
      </c>
      <c r="E18" s="56">
        <f t="shared" si="0"/>
        <v>8.5683322342068515E-3</v>
      </c>
      <c r="F18" s="54">
        <f t="shared" si="1"/>
        <v>2611293.5880251667</v>
      </c>
      <c r="G18" s="269"/>
      <c r="H18" s="252"/>
      <c r="I18" s="369"/>
    </row>
    <row r="19" spans="1:9">
      <c r="A19" s="276">
        <f t="shared" si="2"/>
        <v>6</v>
      </c>
      <c r="B19" s="269" t="s">
        <v>39</v>
      </c>
      <c r="C19" s="269" t="s">
        <v>1168</v>
      </c>
      <c r="D19" s="257">
        <f>'Act Att-H'!D109</f>
        <v>28786989</v>
      </c>
      <c r="E19" s="56">
        <f t="shared" si="0"/>
        <v>0.1123292441255641</v>
      </c>
      <c r="F19" s="54">
        <f t="shared" si="1"/>
        <v>34233573.922562942</v>
      </c>
      <c r="G19" s="269"/>
      <c r="H19" s="252"/>
      <c r="I19" s="369"/>
    </row>
    <row r="20" spans="1:9">
      <c r="A20" s="276">
        <f t="shared" si="2"/>
        <v>7</v>
      </c>
      <c r="B20" s="62" t="s">
        <v>832</v>
      </c>
      <c r="C20" s="269"/>
      <c r="D20" s="269"/>
      <c r="E20" s="269"/>
      <c r="F20" s="269"/>
      <c r="G20" s="269"/>
      <c r="H20" s="252"/>
      <c r="I20" s="369"/>
    </row>
    <row r="21" spans="1:9">
      <c r="A21" s="276">
        <f t="shared" si="2"/>
        <v>8</v>
      </c>
      <c r="B21" s="269" t="s">
        <v>446</v>
      </c>
      <c r="C21" s="269" t="s">
        <v>1169</v>
      </c>
      <c r="D21" s="257">
        <f>'Act Att-H'!D111</f>
        <v>1727145</v>
      </c>
      <c r="E21" s="56">
        <f t="shared" si="0"/>
        <v>6.7394645666223512E-3</v>
      </c>
      <c r="F21" s="54">
        <f t="shared" si="1"/>
        <v>2053926.0300021293</v>
      </c>
      <c r="H21" s="252"/>
      <c r="I21" s="369"/>
    </row>
    <row r="22" spans="1:9">
      <c r="A22" s="276">
        <f t="shared" si="2"/>
        <v>9</v>
      </c>
      <c r="B22" s="269" t="s">
        <v>447</v>
      </c>
      <c r="C22" s="269" t="s">
        <v>784</v>
      </c>
      <c r="D22" s="790">
        <v>0</v>
      </c>
      <c r="E22" s="56"/>
      <c r="F22" s="54">
        <f>D22</f>
        <v>0</v>
      </c>
      <c r="H22" s="252"/>
      <c r="I22" s="369"/>
    </row>
    <row r="23" spans="1:9">
      <c r="A23" s="276">
        <f t="shared" si="2"/>
        <v>10</v>
      </c>
      <c r="B23" s="269" t="s">
        <v>694</v>
      </c>
      <c r="C23" s="269" t="s">
        <v>1170</v>
      </c>
      <c r="D23" s="257">
        <f>'Act Att-H'!D113</f>
        <v>302806.47460000002</v>
      </c>
      <c r="E23" s="370"/>
      <c r="F23" s="257">
        <f>D23</f>
        <v>302806.47460000002</v>
      </c>
      <c r="H23" s="252"/>
      <c r="I23" s="369"/>
    </row>
    <row r="24" spans="1:9">
      <c r="A24" s="276">
        <f t="shared" si="2"/>
        <v>11</v>
      </c>
      <c r="B24" s="269" t="s">
        <v>695</v>
      </c>
      <c r="C24" s="269" t="s">
        <v>1171</v>
      </c>
      <c r="D24" s="257">
        <f>'Act Att-H'!D114</f>
        <v>335104.17579999997</v>
      </c>
      <c r="E24" s="56">
        <f t="shared" si="0"/>
        <v>1.3076045838254964E-3</v>
      </c>
      <c r="F24" s="54">
        <f t="shared" si="1"/>
        <v>398506.89400023135</v>
      </c>
      <c r="H24" s="252"/>
      <c r="I24" s="369"/>
    </row>
    <row r="25" spans="1:9">
      <c r="A25" s="276">
        <f t="shared" si="2"/>
        <v>12</v>
      </c>
      <c r="B25" s="269" t="s">
        <v>58</v>
      </c>
      <c r="C25" s="269" t="s">
        <v>1172</v>
      </c>
      <c r="D25" s="257">
        <f>'Act Att-H'!D115</f>
        <v>0</v>
      </c>
      <c r="E25" s="56">
        <f t="shared" si="0"/>
        <v>0</v>
      </c>
      <c r="F25" s="54">
        <f t="shared" si="1"/>
        <v>0</v>
      </c>
      <c r="G25" s="269"/>
      <c r="H25" s="252"/>
      <c r="I25" s="371"/>
    </row>
    <row r="26" spans="1:9" ht="13.8" thickBot="1">
      <c r="A26" s="276">
        <f t="shared" si="2"/>
        <v>13</v>
      </c>
      <c r="B26" s="269" t="s">
        <v>40</v>
      </c>
      <c r="C26" s="269" t="s">
        <v>1173</v>
      </c>
      <c r="D26" s="257">
        <f>'Act Att-H'!D116</f>
        <v>0</v>
      </c>
      <c r="E26" s="56">
        <f t="shared" si="0"/>
        <v>0</v>
      </c>
      <c r="F26" s="54">
        <f t="shared" si="1"/>
        <v>0</v>
      </c>
      <c r="G26" s="269"/>
      <c r="H26" s="252"/>
      <c r="I26" s="258"/>
    </row>
    <row r="27" spans="1:9">
      <c r="A27" s="276">
        <f>A26+1</f>
        <v>14</v>
      </c>
      <c r="B27" s="372" t="s">
        <v>448</v>
      </c>
      <c r="C27" s="372" t="s">
        <v>834</v>
      </c>
      <c r="D27" s="63">
        <f>+D16-D17-D18+D19-D21+D25+D26+D22+D23-D24</f>
        <v>29462411.298799999</v>
      </c>
      <c r="E27" s="63"/>
      <c r="F27" s="63">
        <f>+F16-F17-F18+F19-F21+F25+F26+F22+F23-F24</f>
        <v>34979496.256291777</v>
      </c>
      <c r="H27" s="252"/>
    </row>
    <row r="28" spans="1:9">
      <c r="A28" s="251"/>
      <c r="C28" s="269"/>
      <c r="D28" s="269"/>
      <c r="E28" s="269"/>
      <c r="F28" s="269"/>
      <c r="H28" s="252"/>
    </row>
    <row r="29" spans="1:9">
      <c r="A29" s="251"/>
      <c r="C29" s="269"/>
      <c r="D29" s="269"/>
      <c r="E29" s="269"/>
      <c r="F29" s="269"/>
      <c r="H29" s="252"/>
    </row>
    <row r="30" spans="1:9">
      <c r="A30" s="251"/>
      <c r="B30" s="361" t="s">
        <v>394</v>
      </c>
      <c r="C30" s="269"/>
      <c r="D30" s="269"/>
      <c r="E30" s="269"/>
      <c r="F30" s="269"/>
      <c r="H30" s="252"/>
    </row>
    <row r="31" spans="1:9">
      <c r="A31" s="251"/>
      <c r="B31" s="251" t="s">
        <v>41</v>
      </c>
      <c r="C31" s="271"/>
      <c r="D31" s="269"/>
      <c r="E31" s="269"/>
      <c r="F31" s="269"/>
      <c r="H31" s="252"/>
    </row>
    <row r="32" spans="1:9">
      <c r="A32" s="367">
        <f>A27+1</f>
        <v>15</v>
      </c>
      <c r="B32" s="251" t="s">
        <v>42</v>
      </c>
      <c r="C32" s="269" t="s">
        <v>1174</v>
      </c>
      <c r="D32" s="257">
        <f>'Act Att-H'!D128</f>
        <v>1679280</v>
      </c>
      <c r="E32" s="56">
        <f t="shared" ref="E32:E37" si="3">IF($D$12=0,0,D32/$D$12)</f>
        <v>6.5526913243749551E-3</v>
      </c>
      <c r="F32" s="54">
        <f t="shared" ref="F32:F37" si="4">E32*F$13</f>
        <v>1997004.8280034252</v>
      </c>
      <c r="H32" s="252"/>
    </row>
    <row r="33" spans="1:9">
      <c r="A33" s="367">
        <f>A32+1</f>
        <v>16</v>
      </c>
      <c r="B33" s="251" t="s">
        <v>43</v>
      </c>
      <c r="C33" s="269" t="s">
        <v>1175</v>
      </c>
      <c r="D33" s="257">
        <f>'Act Att-H'!D129</f>
        <v>0</v>
      </c>
      <c r="E33" s="56">
        <f t="shared" si="3"/>
        <v>0</v>
      </c>
      <c r="F33" s="54">
        <f t="shared" si="4"/>
        <v>0</v>
      </c>
      <c r="H33" s="252"/>
    </row>
    <row r="34" spans="1:9">
      <c r="A34" s="367">
        <f t="shared" ref="A34:A39" si="5">A33+1</f>
        <v>17</v>
      </c>
      <c r="B34" s="251" t="s">
        <v>44</v>
      </c>
      <c r="C34" s="269"/>
      <c r="D34" s="375"/>
      <c r="E34" s="56"/>
      <c r="F34" s="54"/>
      <c r="H34" s="252"/>
    </row>
    <row r="35" spans="1:9">
      <c r="A35" s="367">
        <f t="shared" si="5"/>
        <v>18</v>
      </c>
      <c r="B35" s="669" t="s">
        <v>45</v>
      </c>
      <c r="C35" s="269" t="s">
        <v>1176</v>
      </c>
      <c r="D35" s="257">
        <f>'Act Att-H'!D131</f>
        <v>11497009</v>
      </c>
      <c r="E35" s="56">
        <f t="shared" si="3"/>
        <v>4.4862292846077359E-2</v>
      </c>
      <c r="F35" s="54">
        <f t="shared" si="4"/>
        <v>13672277.69079536</v>
      </c>
      <c r="H35" s="252"/>
    </row>
    <row r="36" spans="1:9">
      <c r="A36" s="367">
        <f t="shared" si="5"/>
        <v>19</v>
      </c>
      <c r="B36" s="251" t="s">
        <v>46</v>
      </c>
      <c r="C36" s="269" t="s">
        <v>1177</v>
      </c>
      <c r="D36" s="257">
        <f>'Act Att-H'!D132</f>
        <v>-50378</v>
      </c>
      <c r="E36" s="56">
        <f t="shared" si="3"/>
        <v>-1.9657917889771896E-4</v>
      </c>
      <c r="F36" s="54">
        <f t="shared" si="4"/>
        <v>-59909.669158899385</v>
      </c>
      <c r="H36" s="252"/>
    </row>
    <row r="37" spans="1:9">
      <c r="A37" s="367">
        <f t="shared" si="5"/>
        <v>20</v>
      </c>
      <c r="B37" s="251" t="s">
        <v>47</v>
      </c>
      <c r="C37" s="269" t="s">
        <v>1178</v>
      </c>
      <c r="D37" s="257">
        <f>'Act Att-H'!D133</f>
        <v>0</v>
      </c>
      <c r="E37" s="56">
        <f t="shared" si="3"/>
        <v>0</v>
      </c>
      <c r="F37" s="54">
        <f t="shared" si="4"/>
        <v>0</v>
      </c>
      <c r="H37" s="252"/>
    </row>
    <row r="38" spans="1:9">
      <c r="A38" s="367">
        <f t="shared" si="5"/>
        <v>21</v>
      </c>
      <c r="B38" s="251" t="s">
        <v>1117</v>
      </c>
      <c r="C38" s="269"/>
      <c r="D38" s="269"/>
      <c r="E38" s="56"/>
      <c r="F38" s="54"/>
      <c r="H38" s="252"/>
    </row>
    <row r="39" spans="1:9">
      <c r="A39" s="367">
        <f t="shared" si="5"/>
        <v>22</v>
      </c>
      <c r="B39" s="376" t="s">
        <v>395</v>
      </c>
      <c r="C39" s="377" t="s">
        <v>451</v>
      </c>
      <c r="D39" s="378">
        <f>SUM(D32:D37)</f>
        <v>13125911</v>
      </c>
      <c r="E39" s="374"/>
      <c r="F39" s="373">
        <f>SUM(F32:F38)</f>
        <v>15609372.849639885</v>
      </c>
      <c r="H39" s="252"/>
    </row>
    <row r="40" spans="1:9">
      <c r="A40" s="251"/>
      <c r="D40" s="379"/>
      <c r="E40" s="269"/>
      <c r="F40" s="379"/>
      <c r="H40" s="252"/>
    </row>
    <row r="41" spans="1:9">
      <c r="A41" s="270" t="s">
        <v>155</v>
      </c>
      <c r="C41" s="380"/>
      <c r="D41" s="380"/>
      <c r="E41" s="380"/>
      <c r="F41" s="380"/>
      <c r="I41" s="381"/>
    </row>
    <row r="42" spans="1:9">
      <c r="A42" s="791" t="s">
        <v>76</v>
      </c>
      <c r="B42" s="249" t="s">
        <v>1025</v>
      </c>
      <c r="C42" s="380"/>
      <c r="D42" s="380"/>
      <c r="E42" s="380"/>
      <c r="F42" s="380"/>
      <c r="I42" s="381"/>
    </row>
    <row r="43" spans="1:9">
      <c r="C43" s="380"/>
      <c r="D43" s="380"/>
      <c r="E43" s="380"/>
      <c r="F43" s="380"/>
      <c r="I43" s="381"/>
    </row>
    <row r="44" spans="1:9">
      <c r="C44" s="380"/>
      <c r="D44" s="380"/>
      <c r="E44" s="380"/>
      <c r="F44" s="380"/>
      <c r="I44" s="381"/>
    </row>
    <row r="45" spans="1:9">
      <c r="C45" s="380"/>
      <c r="D45" s="380"/>
      <c r="E45" s="380"/>
      <c r="F45" s="380"/>
      <c r="I45" s="381"/>
    </row>
    <row r="46" spans="1:9">
      <c r="C46" s="380"/>
      <c r="D46" s="380"/>
      <c r="E46" s="380"/>
      <c r="F46" s="380"/>
      <c r="I46" s="381"/>
    </row>
    <row r="47" spans="1:9">
      <c r="C47" s="380"/>
      <c r="D47" s="380"/>
      <c r="E47" s="380"/>
      <c r="F47" s="380"/>
      <c r="I47" s="381"/>
    </row>
    <row r="48" spans="1:9">
      <c r="C48" s="380"/>
      <c r="D48" s="380"/>
      <c r="E48" s="380"/>
      <c r="F48" s="380"/>
      <c r="I48" s="381"/>
    </row>
    <row r="49" spans="1:8">
      <c r="A49" s="253"/>
      <c r="B49" s="382"/>
      <c r="C49" s="255"/>
      <c r="D49" s="383"/>
      <c r="E49" s="384"/>
      <c r="F49" s="385"/>
      <c r="G49" s="255"/>
      <c r="H49" s="386"/>
    </row>
    <row r="50" spans="1:8">
      <c r="A50" s="253"/>
      <c r="B50" s="255"/>
      <c r="C50" s="255"/>
      <c r="D50" s="255"/>
      <c r="E50" s="255"/>
      <c r="F50" s="255"/>
      <c r="G50" s="255"/>
      <c r="H50" s="255"/>
    </row>
    <row r="51" spans="1:8">
      <c r="A51" s="253"/>
      <c r="B51" s="382"/>
      <c r="C51" s="255"/>
      <c r="D51" s="371"/>
      <c r="E51" s="384"/>
      <c r="F51" s="385"/>
      <c r="G51" s="255"/>
      <c r="H51" s="386"/>
    </row>
    <row r="52" spans="1:8">
      <c r="A52" s="253"/>
      <c r="B52" s="382"/>
      <c r="C52" s="255"/>
      <c r="D52" s="371"/>
      <c r="E52" s="255"/>
      <c r="F52" s="387"/>
      <c r="G52" s="255"/>
      <c r="H52" s="386"/>
    </row>
    <row r="53" spans="1:8">
      <c r="A53" s="252"/>
      <c r="B53" s="382"/>
      <c r="C53" s="255"/>
      <c r="D53" s="371"/>
      <c r="E53" s="255"/>
      <c r="F53" s="387"/>
      <c r="G53" s="255"/>
      <c r="H53" s="386"/>
    </row>
    <row r="54" spans="1:8">
      <c r="B54" s="382"/>
      <c r="C54" s="255"/>
      <c r="D54" s="371"/>
      <c r="E54" s="255"/>
      <c r="F54" s="387"/>
      <c r="G54" s="255"/>
      <c r="H54" s="386"/>
    </row>
    <row r="55" spans="1:8">
      <c r="B55" s="382"/>
      <c r="C55" s="255"/>
      <c r="D55" s="371"/>
      <c r="E55" s="255"/>
      <c r="F55" s="387"/>
      <c r="G55" s="255"/>
      <c r="H55" s="386"/>
    </row>
    <row r="56" spans="1:8">
      <c r="B56" s="382"/>
      <c r="C56" s="255"/>
      <c r="D56" s="386"/>
      <c r="E56" s="255"/>
      <c r="F56" s="387"/>
      <c r="G56" s="255"/>
      <c r="H56" s="386"/>
    </row>
    <row r="57" spans="1:8">
      <c r="B57" s="382"/>
      <c r="C57" s="255"/>
      <c r="D57" s="371"/>
      <c r="E57" s="255"/>
      <c r="F57" s="387"/>
      <c r="G57" s="255"/>
      <c r="H57" s="386"/>
    </row>
    <row r="58" spans="1:8">
      <c r="B58" s="382"/>
      <c r="C58" s="255"/>
      <c r="D58" s="371"/>
      <c r="E58" s="255"/>
      <c r="F58" s="387"/>
      <c r="G58" s="255"/>
      <c r="H58" s="386"/>
    </row>
    <row r="59" spans="1:8">
      <c r="B59" s="382"/>
      <c r="C59" s="255"/>
      <c r="D59" s="371"/>
      <c r="E59" s="255"/>
      <c r="F59" s="387"/>
      <c r="G59" s="255"/>
      <c r="H59" s="386"/>
    </row>
    <row r="60" spans="1:8">
      <c r="B60" s="382"/>
      <c r="C60" s="255"/>
      <c r="D60" s="371"/>
      <c r="E60" s="255"/>
      <c r="F60" s="387"/>
      <c r="G60" s="255"/>
      <c r="H60" s="386"/>
    </row>
    <row r="61" spans="1:8">
      <c r="B61" s="382"/>
      <c r="C61" s="255"/>
      <c r="D61" s="386"/>
      <c r="E61" s="255"/>
      <c r="F61" s="387"/>
      <c r="G61" s="255"/>
      <c r="H61" s="386"/>
    </row>
    <row r="62" spans="1:8">
      <c r="B62" s="382"/>
      <c r="C62" s="255"/>
      <c r="D62" s="388"/>
      <c r="E62" s="255"/>
      <c r="F62" s="387"/>
      <c r="G62" s="255"/>
      <c r="H62" s="386"/>
    </row>
    <row r="63" spans="1:8">
      <c r="B63" s="389"/>
      <c r="C63" s="255"/>
      <c r="D63" s="371"/>
      <c r="E63" s="255"/>
      <c r="F63" s="387"/>
      <c r="G63" s="255"/>
      <c r="H63" s="386"/>
    </row>
    <row r="64" spans="1:8">
      <c r="B64" s="389"/>
      <c r="C64" s="255"/>
      <c r="D64" s="388"/>
      <c r="E64" s="255"/>
      <c r="F64" s="387"/>
      <c r="G64" s="255"/>
      <c r="H64" s="386"/>
    </row>
    <row r="65" spans="2:8">
      <c r="B65" s="389"/>
      <c r="C65" s="255"/>
      <c r="D65" s="388"/>
      <c r="E65" s="255"/>
      <c r="F65" s="387"/>
      <c r="G65" s="255"/>
      <c r="H65" s="386"/>
    </row>
    <row r="66" spans="2:8">
      <c r="B66" s="389"/>
      <c r="C66" s="255"/>
      <c r="D66" s="371"/>
      <c r="E66" s="255"/>
      <c r="F66" s="387"/>
      <c r="G66" s="255"/>
      <c r="H66" s="386"/>
    </row>
    <row r="67" spans="2:8">
      <c r="B67" s="382"/>
      <c r="C67" s="255"/>
      <c r="D67" s="255"/>
      <c r="E67" s="255"/>
      <c r="F67" s="387"/>
      <c r="G67" s="255"/>
      <c r="H67" s="386"/>
    </row>
    <row r="68" spans="2:8">
      <c r="B68" s="382"/>
      <c r="C68" s="255"/>
      <c r="D68" s="255"/>
      <c r="E68" s="255"/>
      <c r="F68" s="255"/>
      <c r="G68" s="255"/>
      <c r="H68" s="386"/>
    </row>
    <row r="69" spans="2:8">
      <c r="B69" s="382"/>
      <c r="C69" s="255"/>
      <c r="D69" s="255"/>
      <c r="E69" s="255"/>
      <c r="F69" s="255"/>
      <c r="G69" s="255"/>
      <c r="H69" s="386"/>
    </row>
    <row r="70" spans="2:8">
      <c r="B70" s="382"/>
      <c r="C70" s="255"/>
      <c r="D70" s="255"/>
      <c r="E70" s="255"/>
      <c r="F70" s="255"/>
      <c r="G70" s="255"/>
      <c r="H70" s="386"/>
    </row>
    <row r="71" spans="2:8">
      <c r="B71" s="382"/>
      <c r="C71" s="255"/>
      <c r="D71" s="255"/>
      <c r="E71" s="255"/>
      <c r="F71" s="255"/>
      <c r="G71" s="255"/>
      <c r="H71" s="386"/>
    </row>
    <row r="72" spans="2:8">
      <c r="B72" s="389"/>
      <c r="C72" s="255"/>
      <c r="D72" s="386"/>
      <c r="E72" s="255"/>
      <c r="F72" s="387"/>
      <c r="G72" s="255"/>
      <c r="H72" s="386"/>
    </row>
    <row r="73" spans="2:8">
      <c r="B73" s="389"/>
      <c r="C73" s="255"/>
      <c r="D73" s="386"/>
      <c r="E73" s="255"/>
      <c r="F73" s="255"/>
      <c r="G73" s="255"/>
      <c r="H73" s="386"/>
    </row>
  </sheetData>
  <mergeCells count="3">
    <mergeCell ref="A1:F1"/>
    <mergeCell ref="A2:F2"/>
    <mergeCell ref="A3:F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B6:F6" numberStoredAsText="1"/>
    <ignoredError sqref="F13:F19 D12:D19 D32:D37 D21 F21 F23 D23:D26 D3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5"/>
  <sheetViews>
    <sheetView zoomScale="80" zoomScaleNormal="80" workbookViewId="0">
      <selection activeCell="G41" sqref="G41"/>
    </sheetView>
  </sheetViews>
  <sheetFormatPr defaultColWidth="8.6328125" defaultRowHeight="13.2"/>
  <cols>
    <col min="1" max="1" width="5.1796875" style="249" customWidth="1"/>
    <col min="2" max="2" width="15.08984375" style="249" customWidth="1"/>
    <col min="3" max="3" width="19.08984375" style="249" bestFit="1" customWidth="1"/>
    <col min="4" max="4" width="17.08984375" style="249" customWidth="1"/>
    <col min="5" max="5" width="17.453125" style="249" customWidth="1"/>
    <col min="6" max="6" width="13.6328125" style="249" customWidth="1"/>
    <col min="7" max="7" width="12.54296875" style="249" customWidth="1"/>
    <col min="8" max="8" width="7" style="249" customWidth="1"/>
    <col min="9" max="9" width="7.6328125" style="249" bestFit="1" customWidth="1"/>
    <col min="10" max="10" width="2.1796875" style="249" customWidth="1"/>
    <col min="11" max="11" width="6.6328125" style="249" customWidth="1"/>
    <col min="12" max="16384" width="8.6328125" style="249"/>
  </cols>
  <sheetData>
    <row r="1" spans="1:14">
      <c r="A1" s="975" t="s">
        <v>437</v>
      </c>
      <c r="B1" s="975"/>
      <c r="C1" s="975"/>
      <c r="D1" s="975"/>
      <c r="E1" s="975"/>
      <c r="F1" s="975"/>
      <c r="G1" s="975"/>
    </row>
    <row r="2" spans="1:14">
      <c r="A2" s="975" t="s">
        <v>1230</v>
      </c>
      <c r="B2" s="975"/>
      <c r="C2" s="975"/>
      <c r="D2" s="975"/>
      <c r="E2" s="975"/>
      <c r="F2" s="975"/>
      <c r="G2" s="975"/>
    </row>
    <row r="3" spans="1:14">
      <c r="A3" s="975" t="str">
        <f>'P1-Trans Plant'!B3</f>
        <v>Black Hills Colorado Electric, LLC</v>
      </c>
      <c r="B3" s="975"/>
      <c r="C3" s="975"/>
      <c r="D3" s="975"/>
      <c r="E3" s="975"/>
      <c r="F3" s="975"/>
      <c r="G3" s="975"/>
    </row>
    <row r="4" spans="1:14">
      <c r="A4" s="269"/>
      <c r="B4" s="269"/>
      <c r="C4" s="269"/>
      <c r="D4" s="269"/>
      <c r="E4" s="269"/>
      <c r="F4" s="269"/>
      <c r="G4" s="356" t="s">
        <v>515</v>
      </c>
    </row>
    <row r="5" spans="1:14">
      <c r="A5" s="274" t="s">
        <v>396</v>
      </c>
      <c r="B5" s="269"/>
      <c r="C5" s="269"/>
      <c r="D5" s="269"/>
      <c r="E5" s="269"/>
      <c r="F5" s="269"/>
      <c r="G5" s="269"/>
    </row>
    <row r="6" spans="1:14">
      <c r="A6" s="275"/>
      <c r="B6" s="269"/>
      <c r="C6" s="269"/>
      <c r="D6" s="269"/>
      <c r="E6" s="269"/>
      <c r="F6" s="269"/>
      <c r="G6" s="269"/>
    </row>
    <row r="7" spans="1:14" ht="15" customHeight="1">
      <c r="A7" s="276">
        <v>1</v>
      </c>
      <c r="B7" s="269" t="s">
        <v>164</v>
      </c>
      <c r="C7" s="269"/>
      <c r="D7" s="269"/>
      <c r="E7" s="269"/>
      <c r="F7" s="269"/>
      <c r="G7" s="269"/>
      <c r="I7" s="473"/>
      <c r="J7" s="269"/>
      <c r="K7" s="473"/>
      <c r="L7" s="269"/>
      <c r="M7" s="474"/>
      <c r="N7" s="269"/>
    </row>
    <row r="8" spans="1:14">
      <c r="A8" s="269"/>
      <c r="B8" s="269"/>
      <c r="C8" s="269"/>
      <c r="D8" s="269"/>
      <c r="E8" s="269"/>
      <c r="F8" s="269"/>
      <c r="G8" s="269"/>
    </row>
    <row r="9" spans="1:14">
      <c r="A9" s="269"/>
      <c r="B9" s="475" t="s">
        <v>138</v>
      </c>
      <c r="C9" s="476" t="s">
        <v>139</v>
      </c>
      <c r="D9" s="475" t="s">
        <v>140</v>
      </c>
      <c r="E9" s="475" t="s">
        <v>141</v>
      </c>
      <c r="F9" s="475" t="s">
        <v>142</v>
      </c>
      <c r="G9" s="475" t="s">
        <v>143</v>
      </c>
    </row>
    <row r="10" spans="1:14" ht="92.25" customHeight="1">
      <c r="A10" s="269"/>
      <c r="B10" s="277" t="s">
        <v>219</v>
      </c>
      <c r="C10" s="277" t="s">
        <v>1224</v>
      </c>
      <c r="D10" s="278" t="s">
        <v>1225</v>
      </c>
      <c r="E10" s="278" t="s">
        <v>1226</v>
      </c>
      <c r="F10" s="277" t="s">
        <v>439</v>
      </c>
      <c r="G10" s="277" t="s">
        <v>1227</v>
      </c>
    </row>
    <row r="11" spans="1:14">
      <c r="A11" s="276">
        <v>2</v>
      </c>
      <c r="B11" s="477" t="s">
        <v>146</v>
      </c>
      <c r="C11" s="478"/>
      <c r="D11" s="478"/>
      <c r="E11" s="479"/>
      <c r="F11" s="480">
        <v>353000</v>
      </c>
      <c r="G11" s="481">
        <f t="shared" ref="G11:G18" si="0">F11</f>
        <v>353000</v>
      </c>
      <c r="I11" s="482"/>
    </row>
    <row r="12" spans="1:14">
      <c r="A12" s="276">
        <v>3</v>
      </c>
      <c r="B12" s="477" t="s">
        <v>147</v>
      </c>
      <c r="C12" s="483"/>
      <c r="D12" s="483"/>
      <c r="E12" s="484"/>
      <c r="F12" s="480">
        <v>359000</v>
      </c>
      <c r="G12" s="481">
        <f t="shared" si="0"/>
        <v>359000</v>
      </c>
    </row>
    <row r="13" spans="1:14">
      <c r="A13" s="276">
        <v>4</v>
      </c>
      <c r="B13" s="477" t="s">
        <v>397</v>
      </c>
      <c r="C13" s="483"/>
      <c r="D13" s="483"/>
      <c r="E13" s="484"/>
      <c r="F13" s="480">
        <v>324000</v>
      </c>
      <c r="G13" s="481">
        <f t="shared" si="0"/>
        <v>324000</v>
      </c>
    </row>
    <row r="14" spans="1:14">
      <c r="A14" s="276">
        <v>5</v>
      </c>
      <c r="B14" s="477" t="s">
        <v>148</v>
      </c>
      <c r="C14" s="483"/>
      <c r="D14" s="483"/>
      <c r="E14" s="484"/>
      <c r="F14" s="480">
        <v>335000</v>
      </c>
      <c r="G14" s="481">
        <f t="shared" si="0"/>
        <v>335000</v>
      </c>
    </row>
    <row r="15" spans="1:14">
      <c r="A15" s="276">
        <v>6</v>
      </c>
      <c r="B15" s="477" t="s">
        <v>149</v>
      </c>
      <c r="C15" s="483"/>
      <c r="D15" s="483"/>
      <c r="E15" s="484"/>
      <c r="F15" s="480">
        <v>361000</v>
      </c>
      <c r="G15" s="481">
        <f t="shared" si="0"/>
        <v>361000</v>
      </c>
    </row>
    <row r="16" spans="1:14">
      <c r="A16" s="276">
        <v>7</v>
      </c>
      <c r="B16" s="477" t="s">
        <v>150</v>
      </c>
      <c r="C16" s="483"/>
      <c r="D16" s="483"/>
      <c r="E16" s="484"/>
      <c r="F16" s="480">
        <v>458000</v>
      </c>
      <c r="G16" s="481">
        <f t="shared" si="0"/>
        <v>458000</v>
      </c>
    </row>
    <row r="17" spans="1:15">
      <c r="A17" s="276">
        <v>8</v>
      </c>
      <c r="B17" s="477" t="s">
        <v>151</v>
      </c>
      <c r="C17" s="483"/>
      <c r="D17" s="483"/>
      <c r="E17" s="484"/>
      <c r="F17" s="480">
        <v>489000</v>
      </c>
      <c r="G17" s="481">
        <f t="shared" si="0"/>
        <v>489000</v>
      </c>
    </row>
    <row r="18" spans="1:15">
      <c r="A18" s="276">
        <v>9</v>
      </c>
      <c r="B18" s="477" t="s">
        <v>398</v>
      </c>
      <c r="C18" s="485"/>
      <c r="D18" s="485"/>
      <c r="E18" s="486"/>
      <c r="F18" s="480">
        <v>498000</v>
      </c>
      <c r="G18" s="481">
        <f t="shared" si="0"/>
        <v>498000</v>
      </c>
      <c r="I18" s="487"/>
    </row>
    <row r="19" spans="1:15">
      <c r="A19" s="276">
        <v>10</v>
      </c>
      <c r="B19" s="488" t="s">
        <v>152</v>
      </c>
      <c r="C19" s="489">
        <f>'A6-Divisor'!G16</f>
        <v>1.0891410048622365</v>
      </c>
      <c r="D19" s="490">
        <f>AVERAGE($F$11:$F$18)</f>
        <v>397125</v>
      </c>
      <c r="E19" s="491">
        <f>C19*D19</f>
        <v>432525.12155591568</v>
      </c>
      <c r="F19" s="479"/>
      <c r="G19" s="492">
        <f>E19</f>
        <v>432525.12155591568</v>
      </c>
    </row>
    <row r="20" spans="1:15">
      <c r="A20" s="276">
        <v>11</v>
      </c>
      <c r="B20" s="488" t="s">
        <v>153</v>
      </c>
      <c r="C20" s="489">
        <f>'A6-Divisor'!G17</f>
        <v>0.89724473257698545</v>
      </c>
      <c r="D20" s="490">
        <f>AVERAGE($F$11:$F$18)</f>
        <v>397125</v>
      </c>
      <c r="E20" s="491">
        <f>C20*D20</f>
        <v>356318.31442463532</v>
      </c>
      <c r="F20" s="484"/>
      <c r="G20" s="492">
        <f>E20</f>
        <v>356318.31442463532</v>
      </c>
    </row>
    <row r="21" spans="1:15">
      <c r="A21" s="276">
        <v>12</v>
      </c>
      <c r="B21" s="488" t="s">
        <v>154</v>
      </c>
      <c r="C21" s="489">
        <f>'A6-Divisor'!G18</f>
        <v>0.90502431118314419</v>
      </c>
      <c r="D21" s="490">
        <f>AVERAGE($F$11:$F$18)</f>
        <v>397125</v>
      </c>
      <c r="E21" s="491">
        <f>C21*D21</f>
        <v>359407.77957860613</v>
      </c>
      <c r="F21" s="484"/>
      <c r="G21" s="492">
        <f>E21</f>
        <v>359407.77957860613</v>
      </c>
    </row>
    <row r="22" spans="1:15">
      <c r="A22" s="276">
        <v>13</v>
      </c>
      <c r="B22" s="488" t="s">
        <v>399</v>
      </c>
      <c r="C22" s="489">
        <f>'A6-Divisor'!G19</f>
        <v>0.90243111831442469</v>
      </c>
      <c r="D22" s="490">
        <f>AVERAGE($F$11:$F$18)</f>
        <v>397125</v>
      </c>
      <c r="E22" s="491">
        <f>C22*D22</f>
        <v>358377.95786061592</v>
      </c>
      <c r="F22" s="484"/>
      <c r="G22" s="492">
        <f>E22</f>
        <v>358377.95786061592</v>
      </c>
    </row>
    <row r="23" spans="1:15">
      <c r="A23" s="276">
        <v>14</v>
      </c>
      <c r="B23" s="493" t="s">
        <v>9</v>
      </c>
      <c r="C23" s="494"/>
      <c r="D23" s="495"/>
      <c r="E23" s="495"/>
      <c r="F23" s="494"/>
      <c r="G23" s="496">
        <f>SUM(G11:G22)</f>
        <v>4683629.1734197726</v>
      </c>
      <c r="L23" s="251"/>
    </row>
    <row r="24" spans="1:15">
      <c r="A24" s="276">
        <v>15</v>
      </c>
      <c r="B24" s="493" t="s">
        <v>164</v>
      </c>
      <c r="C24" s="494"/>
      <c r="D24" s="495"/>
      <c r="E24" s="495"/>
      <c r="F24" s="494"/>
      <c r="G24" s="497">
        <f>G23/12</f>
        <v>390302.43111831439</v>
      </c>
    </row>
    <row r="25" spans="1:15">
      <c r="A25" s="269"/>
      <c r="B25" s="269"/>
      <c r="C25" s="269"/>
      <c r="D25" s="269"/>
      <c r="E25" s="269"/>
      <c r="F25" s="269"/>
      <c r="G25" s="269"/>
    </row>
    <row r="26" spans="1:15">
      <c r="A26" s="269"/>
      <c r="B26" s="269"/>
      <c r="C26" s="269"/>
      <c r="D26" s="269"/>
      <c r="E26" s="269"/>
      <c r="F26" s="269"/>
      <c r="G26" s="269"/>
    </row>
    <row r="27" spans="1:15" ht="30" customHeight="1">
      <c r="A27" s="498" t="s">
        <v>400</v>
      </c>
      <c r="B27" s="976" t="s">
        <v>1228</v>
      </c>
      <c r="C27" s="977"/>
      <c r="D27" s="977"/>
      <c r="E27" s="977"/>
      <c r="F27" s="977"/>
      <c r="G27" s="977"/>
      <c r="H27" s="499"/>
      <c r="I27" s="499"/>
      <c r="J27" s="499"/>
      <c r="K27" s="499"/>
      <c r="L27" s="499"/>
      <c r="M27" s="499"/>
      <c r="N27" s="499"/>
      <c r="O27" s="499"/>
    </row>
    <row r="28" spans="1:15">
      <c r="A28" s="269"/>
      <c r="B28" s="500" t="s">
        <v>1229</v>
      </c>
      <c r="C28" s="501"/>
      <c r="D28" s="501"/>
      <c r="E28" s="501"/>
      <c r="F28" s="501"/>
      <c r="G28" s="501"/>
      <c r="H28" s="502"/>
      <c r="I28" s="502"/>
    </row>
    <row r="29" spans="1:15">
      <c r="A29" s="269"/>
      <c r="B29" s="271" t="s">
        <v>989</v>
      </c>
      <c r="C29" s="501"/>
      <c r="D29" s="501"/>
      <c r="E29" s="501"/>
      <c r="F29" s="501"/>
      <c r="G29" s="501"/>
      <c r="H29" s="502"/>
      <c r="I29" s="502"/>
    </row>
    <row r="30" spans="1:15" ht="17.25" customHeight="1">
      <c r="A30" s="269"/>
      <c r="B30" s="978" t="s">
        <v>607</v>
      </c>
      <c r="C30" s="979"/>
      <c r="D30" s="979"/>
      <c r="E30" s="979"/>
      <c r="F30" s="979"/>
      <c r="G30" s="979"/>
    </row>
    <row r="35" spans="2:4" ht="13.8">
      <c r="B35" s="269"/>
      <c r="C35" s="503"/>
      <c r="D35" s="269"/>
    </row>
  </sheetData>
  <mergeCells count="5">
    <mergeCell ref="B27:G27"/>
    <mergeCell ref="B30:G30"/>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C19:G2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S140"/>
  <sheetViews>
    <sheetView topLeftCell="A14" zoomScale="80" zoomScaleNormal="80" workbookViewId="0">
      <selection activeCell="G41" sqref="G41"/>
    </sheetView>
  </sheetViews>
  <sheetFormatPr defaultColWidth="8.6328125" defaultRowHeight="13.8"/>
  <cols>
    <col min="1" max="1" width="5.6328125" style="1" customWidth="1"/>
    <col min="2" max="2" width="9.6328125" style="28" customWidth="1"/>
    <col min="3" max="6" width="12.6328125" style="2" customWidth="1"/>
    <col min="7" max="7" width="3" style="28" customWidth="1"/>
    <col min="8" max="11" width="12.6328125" style="2" customWidth="1"/>
    <col min="12" max="12" width="15.1796875" style="2" bestFit="1" customWidth="1"/>
    <col min="13" max="15" width="12.6328125" style="2" customWidth="1"/>
    <col min="16" max="16" width="10.6328125" style="2" customWidth="1"/>
    <col min="17" max="17" width="8.6328125" style="4"/>
    <col min="18" max="16384" width="8.6328125" style="2"/>
  </cols>
  <sheetData>
    <row r="1" spans="1:19">
      <c r="A1" s="922" t="s">
        <v>556</v>
      </c>
      <c r="B1" s="922"/>
      <c r="C1" s="922"/>
      <c r="D1" s="922"/>
      <c r="E1" s="922"/>
      <c r="F1" s="922"/>
      <c r="G1" s="922"/>
      <c r="H1" s="922"/>
      <c r="I1" s="922"/>
      <c r="J1" s="922"/>
      <c r="K1" s="922"/>
      <c r="L1" s="922"/>
      <c r="M1" s="922"/>
      <c r="N1" s="922"/>
      <c r="O1" s="922"/>
    </row>
    <row r="2" spans="1:19">
      <c r="A2" s="952" t="s">
        <v>547</v>
      </c>
      <c r="B2" s="952"/>
      <c r="C2" s="952"/>
      <c r="D2" s="952"/>
      <c r="E2" s="952"/>
      <c r="F2" s="952"/>
      <c r="G2" s="952"/>
      <c r="H2" s="952"/>
      <c r="I2" s="952"/>
      <c r="J2" s="952"/>
      <c r="K2" s="952"/>
      <c r="L2" s="952"/>
      <c r="M2" s="952"/>
      <c r="N2" s="952"/>
      <c r="O2" s="952"/>
    </row>
    <row r="3" spans="1:19">
      <c r="A3" s="953" t="str">
        <f>'Act Att-H'!C7</f>
        <v>Black Hills Colorado Electric, LLC</v>
      </c>
      <c r="B3" s="953"/>
      <c r="C3" s="953"/>
      <c r="D3" s="953"/>
      <c r="E3" s="953"/>
      <c r="F3" s="953"/>
      <c r="G3" s="953"/>
      <c r="H3" s="953"/>
      <c r="I3" s="953"/>
      <c r="J3" s="953"/>
      <c r="K3" s="953"/>
      <c r="L3" s="953"/>
      <c r="M3" s="953"/>
      <c r="N3" s="953"/>
      <c r="O3" s="953"/>
    </row>
    <row r="4" spans="1:19">
      <c r="A4" s="5"/>
      <c r="C4" s="3"/>
      <c r="D4" s="3"/>
      <c r="E4" s="3"/>
      <c r="F4" s="3"/>
      <c r="G4" s="316"/>
      <c r="H4" s="3"/>
      <c r="I4" s="3"/>
      <c r="J4" s="3"/>
      <c r="O4" s="6" t="s">
        <v>515</v>
      </c>
    </row>
    <row r="5" spans="1:19" ht="15" customHeight="1">
      <c r="A5" s="35"/>
      <c r="C5" s="37"/>
      <c r="D5" s="37"/>
      <c r="E5" s="37"/>
      <c r="F5" s="37"/>
      <c r="G5" s="317"/>
    </row>
    <row r="6" spans="1:19" s="286" customFormat="1">
      <c r="A6" s="320" t="s">
        <v>4</v>
      </c>
      <c r="G6" s="295"/>
      <c r="H6" s="326" t="s">
        <v>533</v>
      </c>
      <c r="I6" s="551" t="s">
        <v>750</v>
      </c>
      <c r="P6" s="2"/>
      <c r="Q6" s="4"/>
      <c r="R6" s="2"/>
      <c r="S6" s="2"/>
    </row>
    <row r="7" spans="1:19" s="286" customFormat="1">
      <c r="A7" s="318">
        <v>1</v>
      </c>
      <c r="B7" s="295"/>
      <c r="C7" s="980"/>
      <c r="D7" s="980"/>
      <c r="E7" s="980"/>
      <c r="F7" s="980"/>
      <c r="G7" s="295"/>
      <c r="H7" s="287" t="s">
        <v>526</v>
      </c>
      <c r="I7" s="308" t="s">
        <v>534</v>
      </c>
      <c r="J7" s="308"/>
      <c r="K7" s="332"/>
      <c r="L7" s="287" t="s">
        <v>526</v>
      </c>
      <c r="M7" s="308" t="s">
        <v>536</v>
      </c>
      <c r="N7" s="308"/>
      <c r="O7" s="332"/>
      <c r="P7" s="2"/>
      <c r="Q7" s="4"/>
      <c r="R7" s="2"/>
      <c r="S7" s="2"/>
    </row>
    <row r="8" spans="1:19" s="286" customFormat="1">
      <c r="A8" s="318">
        <f>A7+1</f>
        <v>2</v>
      </c>
      <c r="G8" s="295"/>
      <c r="H8" s="288" t="s">
        <v>535</v>
      </c>
      <c r="I8" s="309" t="s">
        <v>527</v>
      </c>
      <c r="J8" s="309"/>
      <c r="K8" s="289"/>
      <c r="L8" s="288" t="s">
        <v>535</v>
      </c>
      <c r="M8" s="309" t="s">
        <v>527</v>
      </c>
      <c r="N8" s="309"/>
      <c r="O8" s="289"/>
      <c r="P8" s="2"/>
      <c r="Q8" s="4"/>
      <c r="R8" s="2"/>
      <c r="S8" s="2"/>
    </row>
    <row r="9" spans="1:19" s="286" customFormat="1">
      <c r="A9" s="318">
        <f t="shared" ref="A9:A14" si="0">A8+1</f>
        <v>3</v>
      </c>
      <c r="B9" s="295"/>
      <c r="C9" s="980"/>
      <c r="D9" s="980"/>
      <c r="E9" s="980"/>
      <c r="F9" s="980"/>
      <c r="G9" s="295"/>
      <c r="H9" s="288" t="s">
        <v>550</v>
      </c>
      <c r="I9" s="310"/>
      <c r="J9" s="310"/>
      <c r="K9" s="289" t="s">
        <v>483</v>
      </c>
      <c r="L9" s="288" t="s">
        <v>550</v>
      </c>
      <c r="M9" s="310"/>
      <c r="N9" s="310"/>
      <c r="O9" s="289" t="s">
        <v>483</v>
      </c>
      <c r="P9" s="2"/>
      <c r="Q9" s="4"/>
      <c r="R9" s="2"/>
      <c r="S9" s="2"/>
    </row>
    <row r="10" spans="1:19" s="286" customFormat="1">
      <c r="A10" s="318">
        <f t="shared" si="0"/>
        <v>4</v>
      </c>
      <c r="G10" s="295"/>
      <c r="H10" s="288" t="s">
        <v>529</v>
      </c>
      <c r="I10" s="310">
        <v>0</v>
      </c>
      <c r="J10" s="310"/>
      <c r="K10" s="289" t="s">
        <v>539</v>
      </c>
      <c r="L10" s="288" t="s">
        <v>529</v>
      </c>
      <c r="M10" s="310">
        <v>0</v>
      </c>
      <c r="N10" s="310"/>
      <c r="O10" s="289" t="s">
        <v>539</v>
      </c>
      <c r="P10" s="2"/>
      <c r="Q10" s="4"/>
      <c r="R10" s="2"/>
      <c r="S10" s="2"/>
    </row>
    <row r="11" spans="1:19" s="286" customFormat="1">
      <c r="A11" s="318">
        <f t="shared" si="0"/>
        <v>5</v>
      </c>
      <c r="B11" s="295"/>
      <c r="C11" s="980"/>
      <c r="D11" s="980"/>
      <c r="E11" s="980"/>
      <c r="F11" s="980"/>
      <c r="G11" s="295"/>
      <c r="H11" s="288" t="s">
        <v>549</v>
      </c>
      <c r="I11" s="290">
        <f>I10*'Act Att-H'!E204</f>
        <v>0</v>
      </c>
      <c r="J11" s="290"/>
      <c r="K11" s="289"/>
      <c r="L11" s="288" t="s">
        <v>549</v>
      </c>
      <c r="M11" s="290">
        <f>M10*'Act Att-H'!E204</f>
        <v>0</v>
      </c>
      <c r="N11" s="290"/>
      <c r="O11" s="289"/>
      <c r="P11" s="2"/>
      <c r="Q11" s="4"/>
      <c r="R11" s="2"/>
      <c r="S11" s="2"/>
    </row>
    <row r="12" spans="1:19" s="286" customFormat="1">
      <c r="A12" s="318">
        <f t="shared" si="0"/>
        <v>6</v>
      </c>
      <c r="G12" s="295"/>
      <c r="H12" s="288" t="s">
        <v>530</v>
      </c>
      <c r="I12" s="312"/>
      <c r="J12" s="312"/>
      <c r="K12" s="289"/>
      <c r="L12" s="288" t="s">
        <v>530</v>
      </c>
      <c r="M12" s="312"/>
      <c r="N12" s="312"/>
      <c r="O12" s="289"/>
      <c r="P12" s="2"/>
      <c r="Q12" s="4"/>
      <c r="R12" s="2"/>
      <c r="S12" s="2"/>
    </row>
    <row r="13" spans="1:19" s="286" customFormat="1">
      <c r="A13" s="318">
        <f t="shared" si="0"/>
        <v>7</v>
      </c>
      <c r="B13" s="295"/>
      <c r="C13" s="980"/>
      <c r="D13" s="980"/>
      <c r="E13" s="980"/>
      <c r="F13" s="980"/>
      <c r="G13" s="295"/>
      <c r="H13" s="288"/>
      <c r="I13" s="3"/>
      <c r="J13" s="3"/>
      <c r="K13" s="289"/>
      <c r="L13" s="288"/>
      <c r="M13" s="3"/>
      <c r="N13" s="3"/>
      <c r="O13" s="289"/>
      <c r="P13" s="2"/>
      <c r="Q13" s="4"/>
      <c r="R13" s="2"/>
      <c r="S13" s="2"/>
    </row>
    <row r="14" spans="1:19" s="286" customFormat="1">
      <c r="A14" s="318">
        <f t="shared" si="0"/>
        <v>8</v>
      </c>
      <c r="B14" s="295"/>
      <c r="C14" s="951" t="s">
        <v>9</v>
      </c>
      <c r="D14" s="951"/>
      <c r="E14" s="951"/>
      <c r="F14" s="951"/>
      <c r="G14" s="295"/>
      <c r="H14" s="288"/>
      <c r="I14" s="3"/>
      <c r="J14" s="3"/>
      <c r="K14" s="289"/>
      <c r="L14" s="288"/>
      <c r="M14" s="3"/>
      <c r="N14" s="3"/>
      <c r="O14" s="289"/>
      <c r="P14" s="2"/>
      <c r="Q14" s="4"/>
      <c r="R14" s="2"/>
      <c r="S14" s="2"/>
    </row>
    <row r="15" spans="1:19" s="286" customFormat="1">
      <c r="A15" s="318"/>
      <c r="B15" s="295"/>
      <c r="G15" s="295"/>
      <c r="H15" s="288"/>
      <c r="I15" s="3"/>
      <c r="J15" s="3"/>
      <c r="K15" s="289"/>
      <c r="L15" s="288"/>
      <c r="M15" s="3"/>
      <c r="N15" s="3"/>
      <c r="O15" s="289"/>
      <c r="P15" s="2"/>
      <c r="Q15" s="4"/>
      <c r="R15" s="2"/>
      <c r="S15" s="2"/>
    </row>
    <row r="16" spans="1:19" s="286" customFormat="1">
      <c r="A16" s="295"/>
      <c r="B16" s="315" t="s">
        <v>548</v>
      </c>
      <c r="C16" s="315" t="s">
        <v>374</v>
      </c>
      <c r="D16" s="315" t="s">
        <v>375</v>
      </c>
      <c r="E16" s="315" t="s">
        <v>376</v>
      </c>
      <c r="F16" s="315" t="s">
        <v>544</v>
      </c>
      <c r="G16" s="295"/>
      <c r="H16" s="328" t="s">
        <v>374</v>
      </c>
      <c r="I16" s="315" t="s">
        <v>375</v>
      </c>
      <c r="J16" s="315" t="s">
        <v>376</v>
      </c>
      <c r="K16" s="333" t="s">
        <v>532</v>
      </c>
      <c r="L16" s="328" t="s">
        <v>374</v>
      </c>
      <c r="M16" s="315" t="s">
        <v>375</v>
      </c>
      <c r="N16" s="315" t="s">
        <v>376</v>
      </c>
      <c r="O16" s="333" t="s">
        <v>532</v>
      </c>
      <c r="P16" s="2"/>
      <c r="Q16" s="4"/>
      <c r="R16" s="2"/>
      <c r="S16" s="2"/>
    </row>
    <row r="17" spans="1:19" s="286" customFormat="1">
      <c r="A17" s="295"/>
      <c r="B17" s="292" t="s">
        <v>138</v>
      </c>
      <c r="C17" s="292" t="s">
        <v>139</v>
      </c>
      <c r="D17" s="292" t="s">
        <v>140</v>
      </c>
      <c r="E17" s="292" t="s">
        <v>141</v>
      </c>
      <c r="F17" s="292" t="s">
        <v>142</v>
      </c>
      <c r="G17" s="292"/>
      <c r="H17" s="329" t="s">
        <v>143</v>
      </c>
      <c r="I17" s="292" t="s">
        <v>144</v>
      </c>
      <c r="J17" s="292" t="s">
        <v>145</v>
      </c>
      <c r="K17" s="291" t="s">
        <v>161</v>
      </c>
      <c r="L17" s="329" t="s">
        <v>162</v>
      </c>
      <c r="M17" s="292" t="s">
        <v>872</v>
      </c>
      <c r="N17" s="292" t="s">
        <v>871</v>
      </c>
      <c r="O17" s="291" t="s">
        <v>929</v>
      </c>
      <c r="P17" s="2"/>
      <c r="Q17" s="4"/>
      <c r="R17" s="2"/>
      <c r="S17" s="2"/>
    </row>
    <row r="18" spans="1:19" s="286" customFormat="1">
      <c r="A18" s="295"/>
      <c r="B18" s="295"/>
      <c r="G18" s="295"/>
      <c r="H18" s="313">
        <f>I12</f>
        <v>0</v>
      </c>
      <c r="I18" s="295"/>
      <c r="J18" s="295"/>
      <c r="K18" s="296"/>
      <c r="L18" s="313">
        <f>M12</f>
        <v>0</v>
      </c>
      <c r="M18" s="295"/>
      <c r="N18" s="295"/>
      <c r="O18" s="296"/>
      <c r="P18" s="2"/>
      <c r="Q18" s="4"/>
      <c r="R18" s="2"/>
      <c r="S18" s="2"/>
    </row>
    <row r="19" spans="1:19" s="286" customFormat="1">
      <c r="A19" s="318">
        <f>A14+1</f>
        <v>9</v>
      </c>
      <c r="B19" s="718">
        <f>'P1-Trans Plant'!B18</f>
        <v>44927</v>
      </c>
      <c r="C19" s="297">
        <f>+H19+L19</f>
        <v>0</v>
      </c>
      <c r="D19" s="297">
        <f t="shared" ref="D19:E19" si="1">+I19+M19</f>
        <v>0</v>
      </c>
      <c r="E19" s="297">
        <f t="shared" si="1"/>
        <v>0</v>
      </c>
      <c r="F19" s="327"/>
      <c r="G19" s="318"/>
      <c r="H19" s="313">
        <f>H18</f>
        <v>0</v>
      </c>
      <c r="I19" s="619">
        <f>H19*I$9</f>
        <v>0</v>
      </c>
      <c r="J19" s="619">
        <f>I19</f>
        <v>0</v>
      </c>
      <c r="K19" s="299">
        <f>+H19-J19</f>
        <v>0</v>
      </c>
      <c r="L19" s="313">
        <f>L18</f>
        <v>0</v>
      </c>
      <c r="M19" s="619">
        <f>L19*M$9</f>
        <v>0</v>
      </c>
      <c r="N19" s="619">
        <f>M19</f>
        <v>0</v>
      </c>
      <c r="O19" s="299">
        <f>+L19-N19</f>
        <v>0</v>
      </c>
      <c r="P19" s="2"/>
      <c r="Q19" s="4"/>
      <c r="R19" s="2"/>
      <c r="S19" s="2"/>
    </row>
    <row r="20" spans="1:19" s="286" customFormat="1">
      <c r="A20" s="318">
        <f t="shared" ref="A20:A42" si="2">A19+1</f>
        <v>10</v>
      </c>
      <c r="B20" s="718">
        <f>'P1-Trans Plant'!B19</f>
        <v>44958</v>
      </c>
      <c r="C20" s="297">
        <f t="shared" ref="C20:C42" si="3">+H20+L20</f>
        <v>0</v>
      </c>
      <c r="D20" s="297">
        <f t="shared" ref="D20:D42" si="4">+I20+M20</f>
        <v>0</v>
      </c>
      <c r="E20" s="297">
        <f t="shared" ref="E20:E42" si="5">+J20+N20</f>
        <v>0</v>
      </c>
      <c r="F20" s="327"/>
      <c r="G20" s="318"/>
      <c r="H20" s="313">
        <v>0</v>
      </c>
      <c r="I20" s="619">
        <f t="shared" ref="I20:I42" si="6">H20*I$9</f>
        <v>0</v>
      </c>
      <c r="J20" s="619">
        <f>J19+I20</f>
        <v>0</v>
      </c>
      <c r="K20" s="299">
        <f>+H20-J20</f>
        <v>0</v>
      </c>
      <c r="L20" s="313">
        <v>0</v>
      </c>
      <c r="M20" s="619">
        <f t="shared" ref="M20:M42" si="7">L20*M$9</f>
        <v>0</v>
      </c>
      <c r="N20" s="619">
        <f>N19+M20</f>
        <v>0</v>
      </c>
      <c r="O20" s="299">
        <f>+L20-N20</f>
        <v>0</v>
      </c>
      <c r="P20" s="2"/>
      <c r="Q20" s="4"/>
      <c r="R20" s="2"/>
      <c r="S20" s="2"/>
    </row>
    <row r="21" spans="1:19" s="286" customFormat="1">
      <c r="A21" s="318">
        <f t="shared" si="2"/>
        <v>11</v>
      </c>
      <c r="B21" s="718">
        <f>'P1-Trans Plant'!B20</f>
        <v>44986</v>
      </c>
      <c r="C21" s="297">
        <f t="shared" si="3"/>
        <v>0</v>
      </c>
      <c r="D21" s="297">
        <f t="shared" si="4"/>
        <v>0</v>
      </c>
      <c r="E21" s="297">
        <f t="shared" si="5"/>
        <v>0</v>
      </c>
      <c r="F21" s="327"/>
      <c r="G21" s="318"/>
      <c r="H21" s="313">
        <v>0</v>
      </c>
      <c r="I21" s="619">
        <f t="shared" si="6"/>
        <v>0</v>
      </c>
      <c r="J21" s="619">
        <f t="shared" ref="J21:J42" si="8">J20+I21</f>
        <v>0</v>
      </c>
      <c r="K21" s="299">
        <f t="shared" ref="K21:K42" si="9">+H21-J21</f>
        <v>0</v>
      </c>
      <c r="L21" s="313">
        <v>0</v>
      </c>
      <c r="M21" s="619">
        <f t="shared" si="7"/>
        <v>0</v>
      </c>
      <c r="N21" s="619">
        <f t="shared" ref="N21:N42" si="10">N20+M21</f>
        <v>0</v>
      </c>
      <c r="O21" s="299">
        <f t="shared" ref="O21:O42" si="11">+L21-N21</f>
        <v>0</v>
      </c>
      <c r="P21" s="2"/>
      <c r="Q21" s="4"/>
      <c r="R21" s="2"/>
      <c r="S21" s="2"/>
    </row>
    <row r="22" spans="1:19" s="286" customFormat="1">
      <c r="A22" s="318">
        <f t="shared" si="2"/>
        <v>12</v>
      </c>
      <c r="B22" s="718">
        <f>'P1-Trans Plant'!B21</f>
        <v>45017</v>
      </c>
      <c r="C22" s="297">
        <f t="shared" si="3"/>
        <v>0</v>
      </c>
      <c r="D22" s="297">
        <f t="shared" si="4"/>
        <v>0</v>
      </c>
      <c r="E22" s="297">
        <f t="shared" si="5"/>
        <v>0</v>
      </c>
      <c r="F22" s="327"/>
      <c r="G22" s="318"/>
      <c r="H22" s="313">
        <v>0</v>
      </c>
      <c r="I22" s="619">
        <f t="shared" si="6"/>
        <v>0</v>
      </c>
      <c r="J22" s="619">
        <f t="shared" si="8"/>
        <v>0</v>
      </c>
      <c r="K22" s="299">
        <f t="shared" si="9"/>
        <v>0</v>
      </c>
      <c r="L22" s="313">
        <v>0</v>
      </c>
      <c r="M22" s="619">
        <f t="shared" si="7"/>
        <v>0</v>
      </c>
      <c r="N22" s="619">
        <f t="shared" si="10"/>
        <v>0</v>
      </c>
      <c r="O22" s="299">
        <f t="shared" si="11"/>
        <v>0</v>
      </c>
      <c r="P22" s="2"/>
      <c r="Q22" s="4"/>
      <c r="R22" s="2"/>
      <c r="S22" s="2"/>
    </row>
    <row r="23" spans="1:19" s="286" customFormat="1">
      <c r="A23" s="318">
        <f t="shared" si="2"/>
        <v>13</v>
      </c>
      <c r="B23" s="718">
        <f>'P1-Trans Plant'!B22</f>
        <v>45047</v>
      </c>
      <c r="C23" s="297">
        <f t="shared" si="3"/>
        <v>0</v>
      </c>
      <c r="D23" s="297">
        <f t="shared" si="4"/>
        <v>0</v>
      </c>
      <c r="E23" s="297">
        <f t="shared" si="5"/>
        <v>0</v>
      </c>
      <c r="F23" s="327"/>
      <c r="G23" s="318"/>
      <c r="H23" s="313">
        <v>0</v>
      </c>
      <c r="I23" s="619">
        <f t="shared" si="6"/>
        <v>0</v>
      </c>
      <c r="J23" s="619">
        <f t="shared" si="8"/>
        <v>0</v>
      </c>
      <c r="K23" s="299">
        <f t="shared" si="9"/>
        <v>0</v>
      </c>
      <c r="L23" s="313">
        <v>0</v>
      </c>
      <c r="M23" s="619">
        <f t="shared" si="7"/>
        <v>0</v>
      </c>
      <c r="N23" s="619">
        <f t="shared" si="10"/>
        <v>0</v>
      </c>
      <c r="O23" s="299">
        <f t="shared" si="11"/>
        <v>0</v>
      </c>
      <c r="P23" s="2"/>
      <c r="Q23" s="4"/>
      <c r="R23" s="2"/>
      <c r="S23" s="2"/>
    </row>
    <row r="24" spans="1:19" s="286" customFormat="1">
      <c r="A24" s="318">
        <f t="shared" si="2"/>
        <v>14</v>
      </c>
      <c r="B24" s="718">
        <f>'P1-Trans Plant'!B23</f>
        <v>45078</v>
      </c>
      <c r="C24" s="297">
        <f t="shared" si="3"/>
        <v>0</v>
      </c>
      <c r="D24" s="297">
        <f t="shared" si="4"/>
        <v>0</v>
      </c>
      <c r="E24" s="297">
        <f t="shared" si="5"/>
        <v>0</v>
      </c>
      <c r="F24" s="327"/>
      <c r="G24" s="318"/>
      <c r="H24" s="313">
        <v>0</v>
      </c>
      <c r="I24" s="619">
        <f t="shared" si="6"/>
        <v>0</v>
      </c>
      <c r="J24" s="619">
        <f t="shared" si="8"/>
        <v>0</v>
      </c>
      <c r="K24" s="299">
        <f t="shared" si="9"/>
        <v>0</v>
      </c>
      <c r="L24" s="313">
        <v>0</v>
      </c>
      <c r="M24" s="619">
        <f t="shared" si="7"/>
        <v>0</v>
      </c>
      <c r="N24" s="619">
        <f t="shared" si="10"/>
        <v>0</v>
      </c>
      <c r="O24" s="299">
        <f t="shared" si="11"/>
        <v>0</v>
      </c>
      <c r="P24" s="2"/>
      <c r="Q24" s="4"/>
      <c r="R24" s="2"/>
      <c r="S24" s="2"/>
    </row>
    <row r="25" spans="1:19" s="286" customFormat="1">
      <c r="A25" s="318">
        <f t="shared" si="2"/>
        <v>15</v>
      </c>
      <c r="B25" s="718">
        <f>'P1-Trans Plant'!B24</f>
        <v>45108</v>
      </c>
      <c r="C25" s="297">
        <f t="shared" si="3"/>
        <v>0</v>
      </c>
      <c r="D25" s="297">
        <f t="shared" si="4"/>
        <v>0</v>
      </c>
      <c r="E25" s="297">
        <f t="shared" si="5"/>
        <v>0</v>
      </c>
      <c r="F25" s="327"/>
      <c r="G25" s="318"/>
      <c r="H25" s="313">
        <v>0</v>
      </c>
      <c r="I25" s="619">
        <f t="shared" si="6"/>
        <v>0</v>
      </c>
      <c r="J25" s="619">
        <f t="shared" si="8"/>
        <v>0</v>
      </c>
      <c r="K25" s="299">
        <f t="shared" si="9"/>
        <v>0</v>
      </c>
      <c r="L25" s="313">
        <v>0</v>
      </c>
      <c r="M25" s="619">
        <f t="shared" si="7"/>
        <v>0</v>
      </c>
      <c r="N25" s="619">
        <f t="shared" si="10"/>
        <v>0</v>
      </c>
      <c r="O25" s="299">
        <f t="shared" si="11"/>
        <v>0</v>
      </c>
      <c r="P25" s="2"/>
      <c r="Q25" s="4"/>
      <c r="R25" s="2"/>
      <c r="S25" s="2"/>
    </row>
    <row r="26" spans="1:19" s="286" customFormat="1">
      <c r="A26" s="318">
        <f t="shared" si="2"/>
        <v>16</v>
      </c>
      <c r="B26" s="718">
        <f>'P1-Trans Plant'!B25</f>
        <v>45139</v>
      </c>
      <c r="C26" s="297">
        <f t="shared" si="3"/>
        <v>0</v>
      </c>
      <c r="D26" s="297">
        <f t="shared" si="4"/>
        <v>0</v>
      </c>
      <c r="E26" s="297">
        <f t="shared" si="5"/>
        <v>0</v>
      </c>
      <c r="F26" s="327"/>
      <c r="G26" s="318"/>
      <c r="H26" s="313">
        <v>0</v>
      </c>
      <c r="I26" s="619">
        <f t="shared" si="6"/>
        <v>0</v>
      </c>
      <c r="J26" s="619">
        <f t="shared" si="8"/>
        <v>0</v>
      </c>
      <c r="K26" s="299">
        <f t="shared" si="9"/>
        <v>0</v>
      </c>
      <c r="L26" s="313">
        <v>0</v>
      </c>
      <c r="M26" s="619">
        <f t="shared" si="7"/>
        <v>0</v>
      </c>
      <c r="N26" s="619">
        <f t="shared" si="10"/>
        <v>0</v>
      </c>
      <c r="O26" s="299">
        <f t="shared" si="11"/>
        <v>0</v>
      </c>
      <c r="P26" s="2"/>
      <c r="Q26" s="4"/>
      <c r="R26" s="2"/>
      <c r="S26" s="2"/>
    </row>
    <row r="27" spans="1:19" s="286" customFormat="1">
      <c r="A27" s="318">
        <f t="shared" si="2"/>
        <v>17</v>
      </c>
      <c r="B27" s="718">
        <f>'P1-Trans Plant'!B26</f>
        <v>45170</v>
      </c>
      <c r="C27" s="297">
        <f t="shared" si="3"/>
        <v>0</v>
      </c>
      <c r="D27" s="297">
        <f t="shared" si="4"/>
        <v>0</v>
      </c>
      <c r="E27" s="297">
        <f t="shared" si="5"/>
        <v>0</v>
      </c>
      <c r="F27" s="327"/>
      <c r="G27" s="318"/>
      <c r="H27" s="313">
        <v>0</v>
      </c>
      <c r="I27" s="619">
        <f t="shared" si="6"/>
        <v>0</v>
      </c>
      <c r="J27" s="619">
        <f t="shared" si="8"/>
        <v>0</v>
      </c>
      <c r="K27" s="299">
        <f t="shared" si="9"/>
        <v>0</v>
      </c>
      <c r="L27" s="313">
        <v>0</v>
      </c>
      <c r="M27" s="619">
        <f t="shared" si="7"/>
        <v>0</v>
      </c>
      <c r="N27" s="619">
        <f t="shared" si="10"/>
        <v>0</v>
      </c>
      <c r="O27" s="299">
        <f t="shared" si="11"/>
        <v>0</v>
      </c>
      <c r="P27" s="2"/>
      <c r="Q27" s="4"/>
      <c r="R27" s="2"/>
      <c r="S27" s="2"/>
    </row>
    <row r="28" spans="1:19" s="286" customFormat="1">
      <c r="A28" s="318">
        <f t="shared" si="2"/>
        <v>18</v>
      </c>
      <c r="B28" s="718">
        <f>'P1-Trans Plant'!B27</f>
        <v>45200</v>
      </c>
      <c r="C28" s="297">
        <f t="shared" si="3"/>
        <v>0</v>
      </c>
      <c r="D28" s="297">
        <f t="shared" si="4"/>
        <v>0</v>
      </c>
      <c r="E28" s="297">
        <f t="shared" si="5"/>
        <v>0</v>
      </c>
      <c r="F28" s="327"/>
      <c r="G28" s="318"/>
      <c r="H28" s="313">
        <v>0</v>
      </c>
      <c r="I28" s="619">
        <f t="shared" si="6"/>
        <v>0</v>
      </c>
      <c r="J28" s="619">
        <f t="shared" si="8"/>
        <v>0</v>
      </c>
      <c r="K28" s="299">
        <f t="shared" si="9"/>
        <v>0</v>
      </c>
      <c r="L28" s="313">
        <v>0</v>
      </c>
      <c r="M28" s="619">
        <f t="shared" si="7"/>
        <v>0</v>
      </c>
      <c r="N28" s="619">
        <f t="shared" si="10"/>
        <v>0</v>
      </c>
      <c r="O28" s="299">
        <f t="shared" si="11"/>
        <v>0</v>
      </c>
      <c r="P28" s="2"/>
      <c r="Q28" s="4"/>
      <c r="R28" s="2"/>
      <c r="S28" s="2"/>
    </row>
    <row r="29" spans="1:19" s="286" customFormat="1">
      <c r="A29" s="318">
        <f t="shared" si="2"/>
        <v>19</v>
      </c>
      <c r="B29" s="718">
        <f>'P1-Trans Plant'!B28</f>
        <v>45231</v>
      </c>
      <c r="C29" s="297">
        <f t="shared" si="3"/>
        <v>0</v>
      </c>
      <c r="D29" s="297">
        <f t="shared" si="4"/>
        <v>0</v>
      </c>
      <c r="E29" s="297">
        <f t="shared" si="5"/>
        <v>0</v>
      </c>
      <c r="F29" s="327"/>
      <c r="G29" s="318"/>
      <c r="H29" s="313">
        <v>0</v>
      </c>
      <c r="I29" s="619">
        <f t="shared" si="6"/>
        <v>0</v>
      </c>
      <c r="J29" s="619">
        <f t="shared" si="8"/>
        <v>0</v>
      </c>
      <c r="K29" s="299">
        <f t="shared" si="9"/>
        <v>0</v>
      </c>
      <c r="L29" s="313">
        <v>0</v>
      </c>
      <c r="M29" s="619">
        <f t="shared" si="7"/>
        <v>0</v>
      </c>
      <c r="N29" s="619">
        <f t="shared" si="10"/>
        <v>0</v>
      </c>
      <c r="O29" s="299">
        <f t="shared" si="11"/>
        <v>0</v>
      </c>
      <c r="P29" s="2"/>
      <c r="Q29" s="4"/>
      <c r="R29" s="2"/>
      <c r="S29" s="2"/>
    </row>
    <row r="30" spans="1:19" s="286" customFormat="1">
      <c r="A30" s="318">
        <f t="shared" si="2"/>
        <v>20</v>
      </c>
      <c r="B30" s="718">
        <f>'P1-Trans Plant'!B29</f>
        <v>45261</v>
      </c>
      <c r="C30" s="297">
        <f t="shared" si="3"/>
        <v>0</v>
      </c>
      <c r="D30" s="297">
        <f t="shared" si="4"/>
        <v>0</v>
      </c>
      <c r="E30" s="297">
        <f t="shared" si="5"/>
        <v>0</v>
      </c>
      <c r="F30" s="327"/>
      <c r="G30" s="318"/>
      <c r="H30" s="313">
        <v>0</v>
      </c>
      <c r="I30" s="619">
        <f t="shared" si="6"/>
        <v>0</v>
      </c>
      <c r="J30" s="619">
        <f t="shared" si="8"/>
        <v>0</v>
      </c>
      <c r="K30" s="299">
        <f t="shared" si="9"/>
        <v>0</v>
      </c>
      <c r="L30" s="313">
        <v>0</v>
      </c>
      <c r="M30" s="619">
        <f t="shared" si="7"/>
        <v>0</v>
      </c>
      <c r="N30" s="619">
        <f t="shared" si="10"/>
        <v>0</v>
      </c>
      <c r="O30" s="299">
        <f t="shared" si="11"/>
        <v>0</v>
      </c>
      <c r="P30" s="2"/>
      <c r="Q30" s="4"/>
      <c r="R30" s="2"/>
      <c r="S30" s="2"/>
    </row>
    <row r="31" spans="1:19" s="286" customFormat="1">
      <c r="A31" s="318">
        <f t="shared" si="2"/>
        <v>21</v>
      </c>
      <c r="B31" s="718">
        <f>'P1-Trans Plant'!B30</f>
        <v>45292</v>
      </c>
      <c r="C31" s="297">
        <f t="shared" si="3"/>
        <v>0</v>
      </c>
      <c r="D31" s="297">
        <f t="shared" si="4"/>
        <v>0</v>
      </c>
      <c r="E31" s="297">
        <f t="shared" si="5"/>
        <v>0</v>
      </c>
      <c r="F31" s="327"/>
      <c r="G31" s="318"/>
      <c r="H31" s="313">
        <v>0</v>
      </c>
      <c r="I31" s="619">
        <f t="shared" si="6"/>
        <v>0</v>
      </c>
      <c r="J31" s="619">
        <f t="shared" si="8"/>
        <v>0</v>
      </c>
      <c r="K31" s="299">
        <f t="shared" si="9"/>
        <v>0</v>
      </c>
      <c r="L31" s="313">
        <v>0</v>
      </c>
      <c r="M31" s="619">
        <f t="shared" si="7"/>
        <v>0</v>
      </c>
      <c r="N31" s="619">
        <f t="shared" si="10"/>
        <v>0</v>
      </c>
      <c r="O31" s="299">
        <f t="shared" si="11"/>
        <v>0</v>
      </c>
      <c r="P31" s="2"/>
      <c r="Q31" s="4"/>
      <c r="R31" s="2"/>
      <c r="S31" s="2"/>
    </row>
    <row r="32" spans="1:19" s="286" customFormat="1">
      <c r="A32" s="318">
        <f t="shared" si="2"/>
        <v>22</v>
      </c>
      <c r="B32" s="718">
        <f>'P1-Trans Plant'!B31</f>
        <v>45323</v>
      </c>
      <c r="C32" s="297">
        <f t="shared" si="3"/>
        <v>0</v>
      </c>
      <c r="D32" s="297">
        <f t="shared" si="4"/>
        <v>0</v>
      </c>
      <c r="E32" s="297">
        <f t="shared" si="5"/>
        <v>0</v>
      </c>
      <c r="F32" s="327"/>
      <c r="G32" s="318"/>
      <c r="H32" s="313">
        <v>0</v>
      </c>
      <c r="I32" s="619">
        <f t="shared" si="6"/>
        <v>0</v>
      </c>
      <c r="J32" s="619">
        <f t="shared" si="8"/>
        <v>0</v>
      </c>
      <c r="K32" s="299">
        <f t="shared" si="9"/>
        <v>0</v>
      </c>
      <c r="L32" s="313">
        <v>0</v>
      </c>
      <c r="M32" s="619">
        <f t="shared" si="7"/>
        <v>0</v>
      </c>
      <c r="N32" s="619">
        <f t="shared" si="10"/>
        <v>0</v>
      </c>
      <c r="O32" s="299">
        <f t="shared" si="11"/>
        <v>0</v>
      </c>
      <c r="P32" s="2"/>
      <c r="Q32" s="4"/>
      <c r="R32" s="2"/>
      <c r="S32" s="2"/>
    </row>
    <row r="33" spans="1:19" s="286" customFormat="1">
      <c r="A33" s="318">
        <f t="shared" si="2"/>
        <v>23</v>
      </c>
      <c r="B33" s="718">
        <f>'P1-Trans Plant'!B32</f>
        <v>45352</v>
      </c>
      <c r="C33" s="297">
        <f t="shared" si="3"/>
        <v>0</v>
      </c>
      <c r="D33" s="297">
        <f t="shared" si="4"/>
        <v>0</v>
      </c>
      <c r="E33" s="297">
        <f t="shared" si="5"/>
        <v>0</v>
      </c>
      <c r="F33" s="327"/>
      <c r="G33" s="318"/>
      <c r="H33" s="313">
        <v>0</v>
      </c>
      <c r="I33" s="619">
        <f t="shared" si="6"/>
        <v>0</v>
      </c>
      <c r="J33" s="619">
        <f t="shared" si="8"/>
        <v>0</v>
      </c>
      <c r="K33" s="299">
        <f t="shared" si="9"/>
        <v>0</v>
      </c>
      <c r="L33" s="313">
        <v>0</v>
      </c>
      <c r="M33" s="619">
        <f t="shared" si="7"/>
        <v>0</v>
      </c>
      <c r="N33" s="619">
        <f t="shared" si="10"/>
        <v>0</v>
      </c>
      <c r="O33" s="299">
        <f t="shared" si="11"/>
        <v>0</v>
      </c>
      <c r="P33" s="2"/>
      <c r="Q33" s="4"/>
      <c r="R33" s="2"/>
      <c r="S33" s="2"/>
    </row>
    <row r="34" spans="1:19" s="286" customFormat="1">
      <c r="A34" s="318">
        <f t="shared" si="2"/>
        <v>24</v>
      </c>
      <c r="B34" s="718">
        <f>'P1-Trans Plant'!B33</f>
        <v>45383</v>
      </c>
      <c r="C34" s="297">
        <f t="shared" si="3"/>
        <v>0</v>
      </c>
      <c r="D34" s="297">
        <f t="shared" si="4"/>
        <v>0</v>
      </c>
      <c r="E34" s="297">
        <f t="shared" si="5"/>
        <v>0</v>
      </c>
      <c r="F34" s="327"/>
      <c r="G34" s="318"/>
      <c r="H34" s="313">
        <v>0</v>
      </c>
      <c r="I34" s="619">
        <f t="shared" si="6"/>
        <v>0</v>
      </c>
      <c r="J34" s="619">
        <f t="shared" si="8"/>
        <v>0</v>
      </c>
      <c r="K34" s="299">
        <f t="shared" si="9"/>
        <v>0</v>
      </c>
      <c r="L34" s="313">
        <v>0</v>
      </c>
      <c r="M34" s="619">
        <f t="shared" si="7"/>
        <v>0</v>
      </c>
      <c r="N34" s="619">
        <f t="shared" si="10"/>
        <v>0</v>
      </c>
      <c r="O34" s="299">
        <f t="shared" si="11"/>
        <v>0</v>
      </c>
      <c r="P34" s="2"/>
      <c r="Q34" s="4"/>
      <c r="R34" s="2"/>
      <c r="S34" s="2"/>
    </row>
    <row r="35" spans="1:19" s="286" customFormat="1">
      <c r="A35" s="318">
        <f t="shared" si="2"/>
        <v>25</v>
      </c>
      <c r="B35" s="718">
        <f>'P1-Trans Plant'!B34</f>
        <v>45413</v>
      </c>
      <c r="C35" s="297">
        <f t="shared" si="3"/>
        <v>0</v>
      </c>
      <c r="D35" s="297">
        <f t="shared" si="4"/>
        <v>0</v>
      </c>
      <c r="E35" s="297">
        <f t="shared" si="5"/>
        <v>0</v>
      </c>
      <c r="F35" s="327"/>
      <c r="G35" s="318"/>
      <c r="H35" s="313">
        <v>0</v>
      </c>
      <c r="I35" s="619">
        <f t="shared" si="6"/>
        <v>0</v>
      </c>
      <c r="J35" s="619">
        <f t="shared" si="8"/>
        <v>0</v>
      </c>
      <c r="K35" s="299">
        <f t="shared" si="9"/>
        <v>0</v>
      </c>
      <c r="L35" s="313">
        <v>0</v>
      </c>
      <c r="M35" s="619">
        <f t="shared" si="7"/>
        <v>0</v>
      </c>
      <c r="N35" s="619">
        <f t="shared" si="10"/>
        <v>0</v>
      </c>
      <c r="O35" s="299">
        <f t="shared" si="11"/>
        <v>0</v>
      </c>
      <c r="P35" s="2"/>
      <c r="Q35" s="4"/>
      <c r="R35" s="2"/>
      <c r="S35" s="2"/>
    </row>
    <row r="36" spans="1:19" s="286" customFormat="1">
      <c r="A36" s="318">
        <f t="shared" si="2"/>
        <v>26</v>
      </c>
      <c r="B36" s="718">
        <f>'P1-Trans Plant'!B35</f>
        <v>45444</v>
      </c>
      <c r="C36" s="297">
        <f t="shared" si="3"/>
        <v>0</v>
      </c>
      <c r="D36" s="297">
        <f t="shared" si="4"/>
        <v>0</v>
      </c>
      <c r="E36" s="297">
        <f t="shared" si="5"/>
        <v>0</v>
      </c>
      <c r="F36" s="327"/>
      <c r="G36" s="318"/>
      <c r="H36" s="313">
        <v>0</v>
      </c>
      <c r="I36" s="619">
        <f t="shared" si="6"/>
        <v>0</v>
      </c>
      <c r="J36" s="619">
        <f t="shared" si="8"/>
        <v>0</v>
      </c>
      <c r="K36" s="299">
        <f t="shared" si="9"/>
        <v>0</v>
      </c>
      <c r="L36" s="313">
        <v>0</v>
      </c>
      <c r="M36" s="619">
        <f t="shared" si="7"/>
        <v>0</v>
      </c>
      <c r="N36" s="619">
        <f t="shared" si="10"/>
        <v>0</v>
      </c>
      <c r="O36" s="299">
        <f t="shared" si="11"/>
        <v>0</v>
      </c>
      <c r="P36" s="2"/>
      <c r="Q36" s="4"/>
      <c r="R36" s="2"/>
      <c r="S36" s="2"/>
    </row>
    <row r="37" spans="1:19" s="286" customFormat="1">
      <c r="A37" s="318">
        <f t="shared" si="2"/>
        <v>27</v>
      </c>
      <c r="B37" s="718">
        <f>'P1-Trans Plant'!B36</f>
        <v>45474</v>
      </c>
      <c r="C37" s="297">
        <f t="shared" si="3"/>
        <v>0</v>
      </c>
      <c r="D37" s="297">
        <f t="shared" si="4"/>
        <v>0</v>
      </c>
      <c r="E37" s="297">
        <f t="shared" si="5"/>
        <v>0</v>
      </c>
      <c r="F37" s="327"/>
      <c r="G37" s="318"/>
      <c r="H37" s="313">
        <v>0</v>
      </c>
      <c r="I37" s="619">
        <f t="shared" si="6"/>
        <v>0</v>
      </c>
      <c r="J37" s="619">
        <f t="shared" si="8"/>
        <v>0</v>
      </c>
      <c r="K37" s="299">
        <f t="shared" si="9"/>
        <v>0</v>
      </c>
      <c r="L37" s="313">
        <v>0</v>
      </c>
      <c r="M37" s="619">
        <f t="shared" si="7"/>
        <v>0</v>
      </c>
      <c r="N37" s="619">
        <f t="shared" si="10"/>
        <v>0</v>
      </c>
      <c r="O37" s="299">
        <f t="shared" si="11"/>
        <v>0</v>
      </c>
      <c r="P37" s="2"/>
      <c r="Q37" s="4"/>
      <c r="R37" s="2"/>
      <c r="S37" s="2"/>
    </row>
    <row r="38" spans="1:19" s="286" customFormat="1">
      <c r="A38" s="318">
        <f t="shared" si="2"/>
        <v>28</v>
      </c>
      <c r="B38" s="718">
        <f>'P1-Trans Plant'!B37</f>
        <v>45505</v>
      </c>
      <c r="C38" s="297">
        <f t="shared" si="3"/>
        <v>0</v>
      </c>
      <c r="D38" s="297">
        <f t="shared" si="4"/>
        <v>0</v>
      </c>
      <c r="E38" s="297">
        <f t="shared" si="5"/>
        <v>0</v>
      </c>
      <c r="F38" s="327"/>
      <c r="G38" s="318"/>
      <c r="H38" s="313">
        <v>0</v>
      </c>
      <c r="I38" s="619">
        <f t="shared" si="6"/>
        <v>0</v>
      </c>
      <c r="J38" s="619">
        <f t="shared" si="8"/>
        <v>0</v>
      </c>
      <c r="K38" s="299">
        <f t="shared" si="9"/>
        <v>0</v>
      </c>
      <c r="L38" s="313">
        <v>0</v>
      </c>
      <c r="M38" s="619">
        <f t="shared" si="7"/>
        <v>0</v>
      </c>
      <c r="N38" s="619">
        <f t="shared" si="10"/>
        <v>0</v>
      </c>
      <c r="O38" s="299">
        <f t="shared" si="11"/>
        <v>0</v>
      </c>
      <c r="P38" s="2"/>
      <c r="Q38" s="4"/>
      <c r="R38" s="2"/>
      <c r="S38" s="2"/>
    </row>
    <row r="39" spans="1:19" s="286" customFormat="1">
      <c r="A39" s="318">
        <f t="shared" si="2"/>
        <v>29</v>
      </c>
      <c r="B39" s="718">
        <f>'P1-Trans Plant'!B38</f>
        <v>45536</v>
      </c>
      <c r="C39" s="297">
        <f t="shared" si="3"/>
        <v>0</v>
      </c>
      <c r="D39" s="297">
        <f t="shared" si="4"/>
        <v>0</v>
      </c>
      <c r="E39" s="297">
        <f t="shared" si="5"/>
        <v>0</v>
      </c>
      <c r="F39" s="327"/>
      <c r="G39" s="318"/>
      <c r="H39" s="313">
        <v>0</v>
      </c>
      <c r="I39" s="619">
        <f t="shared" si="6"/>
        <v>0</v>
      </c>
      <c r="J39" s="619">
        <f t="shared" si="8"/>
        <v>0</v>
      </c>
      <c r="K39" s="299">
        <f t="shared" si="9"/>
        <v>0</v>
      </c>
      <c r="L39" s="313">
        <v>0</v>
      </c>
      <c r="M39" s="619">
        <f t="shared" si="7"/>
        <v>0</v>
      </c>
      <c r="N39" s="619">
        <f t="shared" si="10"/>
        <v>0</v>
      </c>
      <c r="O39" s="299">
        <f t="shared" si="11"/>
        <v>0</v>
      </c>
      <c r="P39" s="2"/>
      <c r="Q39" s="4"/>
      <c r="R39" s="2"/>
      <c r="S39" s="2"/>
    </row>
    <row r="40" spans="1:19" s="286" customFormat="1">
      <c r="A40" s="318">
        <f t="shared" si="2"/>
        <v>30</v>
      </c>
      <c r="B40" s="718">
        <f>'P1-Trans Plant'!B39</f>
        <v>45566</v>
      </c>
      <c r="C40" s="297">
        <f t="shared" si="3"/>
        <v>0</v>
      </c>
      <c r="D40" s="297">
        <f t="shared" si="4"/>
        <v>0</v>
      </c>
      <c r="E40" s="297">
        <f t="shared" si="5"/>
        <v>0</v>
      </c>
      <c r="F40" s="327"/>
      <c r="G40" s="318"/>
      <c r="H40" s="313">
        <v>0</v>
      </c>
      <c r="I40" s="619">
        <f t="shared" si="6"/>
        <v>0</v>
      </c>
      <c r="J40" s="619">
        <f t="shared" si="8"/>
        <v>0</v>
      </c>
      <c r="K40" s="299">
        <f t="shared" si="9"/>
        <v>0</v>
      </c>
      <c r="L40" s="313">
        <v>0</v>
      </c>
      <c r="M40" s="619">
        <f t="shared" si="7"/>
        <v>0</v>
      </c>
      <c r="N40" s="619">
        <f t="shared" si="10"/>
        <v>0</v>
      </c>
      <c r="O40" s="299">
        <f t="shared" si="11"/>
        <v>0</v>
      </c>
      <c r="P40" s="2"/>
      <c r="Q40" s="4"/>
      <c r="R40" s="2"/>
      <c r="S40" s="2"/>
    </row>
    <row r="41" spans="1:19" s="286" customFormat="1">
      <c r="A41" s="318">
        <f t="shared" si="2"/>
        <v>31</v>
      </c>
      <c r="B41" s="718">
        <f>'P1-Trans Plant'!B40</f>
        <v>45597</v>
      </c>
      <c r="C41" s="297">
        <f t="shared" si="3"/>
        <v>0</v>
      </c>
      <c r="D41" s="297">
        <f t="shared" si="4"/>
        <v>0</v>
      </c>
      <c r="E41" s="297">
        <f t="shared" si="5"/>
        <v>0</v>
      </c>
      <c r="F41" s="327"/>
      <c r="G41" s="318"/>
      <c r="H41" s="313">
        <v>0</v>
      </c>
      <c r="I41" s="619">
        <f t="shared" si="6"/>
        <v>0</v>
      </c>
      <c r="J41" s="619">
        <f t="shared" si="8"/>
        <v>0</v>
      </c>
      <c r="K41" s="299">
        <f t="shared" si="9"/>
        <v>0</v>
      </c>
      <c r="L41" s="313">
        <v>0</v>
      </c>
      <c r="M41" s="619">
        <f t="shared" si="7"/>
        <v>0</v>
      </c>
      <c r="N41" s="619">
        <f t="shared" si="10"/>
        <v>0</v>
      </c>
      <c r="O41" s="299">
        <f t="shared" si="11"/>
        <v>0</v>
      </c>
      <c r="P41" s="2"/>
      <c r="Q41" s="4"/>
      <c r="R41" s="2"/>
      <c r="S41" s="2"/>
    </row>
    <row r="42" spans="1:19" s="286" customFormat="1">
      <c r="A42" s="318">
        <f t="shared" si="2"/>
        <v>32</v>
      </c>
      <c r="B42" s="718">
        <f>'P1-Trans Plant'!B41</f>
        <v>45627</v>
      </c>
      <c r="C42" s="297">
        <f t="shared" si="3"/>
        <v>0</v>
      </c>
      <c r="D42" s="297">
        <f t="shared" si="4"/>
        <v>0</v>
      </c>
      <c r="E42" s="297">
        <f t="shared" si="5"/>
        <v>0</v>
      </c>
      <c r="F42" s="327"/>
      <c r="G42" s="318"/>
      <c r="H42" s="313">
        <v>0</v>
      </c>
      <c r="I42" s="619">
        <f t="shared" si="6"/>
        <v>0</v>
      </c>
      <c r="J42" s="619">
        <f t="shared" si="8"/>
        <v>0</v>
      </c>
      <c r="K42" s="299">
        <f t="shared" si="9"/>
        <v>0</v>
      </c>
      <c r="L42" s="313">
        <v>0</v>
      </c>
      <c r="M42" s="619">
        <f t="shared" si="7"/>
        <v>0</v>
      </c>
      <c r="N42" s="619">
        <f t="shared" si="10"/>
        <v>0</v>
      </c>
      <c r="O42" s="299">
        <f t="shared" si="11"/>
        <v>0</v>
      </c>
      <c r="P42" s="2"/>
      <c r="Q42" s="4"/>
      <c r="R42" s="2"/>
      <c r="S42" s="2"/>
    </row>
    <row r="43" spans="1:19" s="286" customFormat="1">
      <c r="A43" s="318"/>
      <c r="B43" s="318"/>
      <c r="G43" s="318"/>
      <c r="H43" s="331"/>
      <c r="I43" s="305"/>
      <c r="J43" s="305"/>
      <c r="K43" s="334"/>
      <c r="L43" s="335"/>
      <c r="M43" s="305"/>
      <c r="N43" s="305"/>
      <c r="O43" s="336"/>
      <c r="P43" s="2"/>
      <c r="Q43" s="4"/>
      <c r="R43" s="2"/>
      <c r="S43" s="2"/>
    </row>
    <row r="44" spans="1:19" s="286" customFormat="1">
      <c r="A44" s="318">
        <v>33</v>
      </c>
      <c r="B44" s="256" t="s">
        <v>377</v>
      </c>
      <c r="C44" s="261"/>
      <c r="D44" s="264">
        <f>SUM(D31:D42)</f>
        <v>0</v>
      </c>
      <c r="E44" s="261"/>
      <c r="G44" s="318"/>
      <c r="H44" s="330"/>
      <c r="I44" s="264">
        <f>SUM(I31:I42)</f>
        <v>0</v>
      </c>
      <c r="J44" s="262"/>
      <c r="K44" s="334"/>
      <c r="L44" s="330"/>
      <c r="M44" s="264">
        <f>SUM(M31:M42)</f>
        <v>0</v>
      </c>
      <c r="N44" s="262"/>
      <c r="O44" s="336"/>
      <c r="P44" s="2"/>
      <c r="Q44" s="4"/>
      <c r="R44" s="2"/>
      <c r="S44" s="2"/>
    </row>
    <row r="45" spans="1:19" s="286" customFormat="1">
      <c r="A45" s="318">
        <v>34</v>
      </c>
      <c r="B45" s="256" t="s">
        <v>378</v>
      </c>
      <c r="C45" s="261">
        <f>SUM(C30:C42)/13</f>
        <v>0</v>
      </c>
      <c r="D45" s="266"/>
      <c r="E45" s="261">
        <f>SUM(E30:E42)/13</f>
        <v>0</v>
      </c>
      <c r="G45" s="318"/>
      <c r="H45" s="330">
        <f>SUM(H30:H42)/13</f>
        <v>0</v>
      </c>
      <c r="I45" s="266"/>
      <c r="J45" s="262">
        <f>SUM(J30:J42)/13</f>
        <v>0</v>
      </c>
      <c r="K45" s="263">
        <f>SUM(K30:K42)/13</f>
        <v>0</v>
      </c>
      <c r="L45" s="330">
        <f>SUM(L30:L42)/13</f>
        <v>0</v>
      </c>
      <c r="M45" s="266"/>
      <c r="N45" s="262">
        <f>SUM(N30:N42)/13</f>
        <v>0</v>
      </c>
      <c r="O45" s="263">
        <f>SUM(O30:O42)/13</f>
        <v>0</v>
      </c>
      <c r="P45" s="2"/>
      <c r="Q45" s="4"/>
      <c r="R45" s="2"/>
      <c r="S45" s="2"/>
    </row>
    <row r="46" spans="1:19" s="286" customFormat="1" ht="14.4" thickBot="1">
      <c r="A46" s="295"/>
      <c r="B46" s="256"/>
      <c r="G46" s="318"/>
      <c r="H46" s="331"/>
      <c r="I46" s="305"/>
      <c r="J46" s="305"/>
      <c r="K46" s="334"/>
      <c r="L46" s="335"/>
      <c r="M46" s="305"/>
      <c r="N46" s="305"/>
      <c r="O46" s="336"/>
      <c r="P46" s="2"/>
      <c r="Q46" s="4"/>
      <c r="R46" s="2"/>
      <c r="S46" s="2"/>
    </row>
    <row r="47" spans="1:19" s="286" customFormat="1" ht="14.4" thickBot="1">
      <c r="A47" s="318">
        <v>35</v>
      </c>
      <c r="B47" s="256" t="s">
        <v>551</v>
      </c>
      <c r="F47" s="337">
        <f>O47+K47</f>
        <v>0</v>
      </c>
      <c r="G47" s="318"/>
      <c r="H47" s="331"/>
      <c r="I47" s="305"/>
      <c r="J47" s="256"/>
      <c r="K47" s="289">
        <f>ROUND(K45*I11,2)</f>
        <v>0</v>
      </c>
      <c r="L47" s="335"/>
      <c r="M47" s="305"/>
      <c r="N47" s="256"/>
      <c r="O47" s="289">
        <f>ROUND(O45*M11,2)</f>
        <v>0</v>
      </c>
      <c r="P47" s="2"/>
      <c r="Q47" s="4"/>
      <c r="R47" s="2"/>
      <c r="S47" s="2"/>
    </row>
    <row r="48" spans="1:19" s="286" customFormat="1">
      <c r="A48" s="318"/>
      <c r="F48" s="286" t="s">
        <v>704</v>
      </c>
      <c r="G48" s="318"/>
      <c r="H48" s="655"/>
      <c r="J48" s="256"/>
      <c r="K48" s="656" t="s">
        <v>704</v>
      </c>
      <c r="L48" s="657"/>
      <c r="N48" s="256"/>
      <c r="O48" s="658" t="s">
        <v>704</v>
      </c>
      <c r="P48" s="2"/>
      <c r="Q48" s="4"/>
      <c r="R48" s="2"/>
      <c r="S48" s="2"/>
    </row>
    <row r="49" spans="1:19" s="286" customFormat="1" ht="26.4" customHeight="1">
      <c r="A49" s="295"/>
      <c r="B49" s="318"/>
      <c r="G49" s="318"/>
      <c r="H49" s="300"/>
      <c r="I49" s="871" t="s">
        <v>1179</v>
      </c>
      <c r="J49" s="871" t="s">
        <v>1180</v>
      </c>
      <c r="K49" s="868" t="s">
        <v>1181</v>
      </c>
      <c r="L49" s="869"/>
      <c r="M49" s="871" t="s">
        <v>1182</v>
      </c>
      <c r="N49" s="871" t="s">
        <v>1183</v>
      </c>
      <c r="O49" s="870" t="s">
        <v>1184</v>
      </c>
      <c r="P49" s="2"/>
      <c r="Q49" s="4"/>
      <c r="R49" s="2"/>
      <c r="S49" s="2"/>
    </row>
    <row r="50" spans="1:19" s="286" customFormat="1">
      <c r="A50" s="320" t="s">
        <v>155</v>
      </c>
      <c r="B50" s="318"/>
      <c r="G50" s="318"/>
      <c r="H50" s="305"/>
      <c r="I50" s="305"/>
      <c r="J50" s="305"/>
      <c r="K50" s="305"/>
      <c r="L50" s="306"/>
      <c r="M50" s="305"/>
      <c r="N50" s="305"/>
      <c r="O50" s="307"/>
      <c r="P50" s="2"/>
      <c r="Q50" s="4"/>
      <c r="R50" s="2"/>
      <c r="S50" s="2"/>
    </row>
    <row r="51" spans="1:19" s="286" customFormat="1">
      <c r="A51" s="295" t="s">
        <v>76</v>
      </c>
      <c r="B51" s="319" t="s">
        <v>537</v>
      </c>
      <c r="G51" s="318"/>
      <c r="H51" s="305"/>
      <c r="I51" s="305"/>
      <c r="J51" s="305"/>
      <c r="K51" s="305"/>
      <c r="L51" s="306"/>
      <c r="M51" s="305"/>
      <c r="N51" s="305"/>
      <c r="O51" s="307"/>
      <c r="P51" s="2"/>
      <c r="Q51" s="4"/>
      <c r="R51" s="2"/>
      <c r="S51" s="2"/>
    </row>
    <row r="52" spans="1:19" s="16" customFormat="1" ht="15" customHeight="1">
      <c r="A52" s="295" t="s">
        <v>77</v>
      </c>
      <c r="B52" s="319" t="s">
        <v>538</v>
      </c>
      <c r="C52" s="37"/>
      <c r="D52" s="37"/>
      <c r="E52" s="37"/>
      <c r="F52" s="37"/>
      <c r="G52" s="317"/>
      <c r="H52" s="2"/>
      <c r="I52" s="2"/>
      <c r="J52" s="2"/>
      <c r="P52" s="2"/>
      <c r="Q52" s="4"/>
      <c r="R52" s="2"/>
      <c r="S52" s="2"/>
    </row>
    <row r="53" spans="1:19" s="16" customFormat="1" ht="15" customHeight="1">
      <c r="A53" s="295" t="s">
        <v>78</v>
      </c>
      <c r="B53" s="319" t="s">
        <v>706</v>
      </c>
      <c r="C53" s="37"/>
      <c r="D53" s="37"/>
      <c r="E53" s="37"/>
      <c r="F53" s="37"/>
      <c r="G53" s="317"/>
      <c r="H53" s="2"/>
      <c r="I53" s="2"/>
      <c r="J53" s="2"/>
      <c r="P53" s="2"/>
      <c r="Q53" s="4"/>
      <c r="R53" s="2"/>
      <c r="S53" s="2"/>
    </row>
    <row r="54" spans="1:19" ht="31.2" customHeight="1">
      <c r="A54" s="295" t="s">
        <v>79</v>
      </c>
      <c r="B54" s="954" t="s">
        <v>1265</v>
      </c>
      <c r="C54" s="954"/>
      <c r="D54" s="954"/>
      <c r="E54" s="954"/>
      <c r="F54" s="954"/>
      <c r="G54" s="954"/>
      <c r="H54" s="954"/>
      <c r="I54" s="954"/>
      <c r="J54" s="954"/>
      <c r="K54" s="954"/>
      <c r="L54" s="954"/>
      <c r="M54" s="954"/>
      <c r="N54" s="954"/>
      <c r="O54" s="954"/>
    </row>
    <row r="55" spans="1:19" ht="15" customHeight="1">
      <c r="A55" s="35"/>
      <c r="B55" s="36"/>
      <c r="C55" s="37"/>
      <c r="D55" s="37"/>
      <c r="E55" s="37"/>
      <c r="F55" s="37"/>
      <c r="G55" s="317"/>
    </row>
    <row r="56" spans="1:19" ht="15" customHeight="1">
      <c r="A56" s="35"/>
      <c r="B56" s="36"/>
      <c r="C56" s="37"/>
      <c r="D56" s="37"/>
      <c r="E56" s="37"/>
      <c r="F56" s="37"/>
      <c r="G56" s="317"/>
    </row>
    <row r="57" spans="1:19" ht="15" customHeight="1">
      <c r="A57" s="35"/>
      <c r="B57" s="36"/>
      <c r="C57" s="37"/>
      <c r="D57" s="37"/>
      <c r="E57" s="37"/>
      <c r="F57" s="37"/>
      <c r="G57" s="317"/>
    </row>
    <row r="58" spans="1:19" ht="15" customHeight="1">
      <c r="A58" s="35"/>
      <c r="B58" s="36"/>
      <c r="C58" s="37"/>
      <c r="D58" s="37"/>
      <c r="E58" s="37"/>
      <c r="F58" s="37"/>
      <c r="G58" s="317"/>
    </row>
    <row r="59" spans="1:19" ht="15" customHeight="1">
      <c r="A59" s="35"/>
      <c r="B59" s="36"/>
      <c r="C59" s="37"/>
      <c r="D59" s="37"/>
      <c r="E59" s="37"/>
      <c r="F59" s="37"/>
      <c r="G59" s="317"/>
    </row>
    <row r="60" spans="1:19">
      <c r="A60" s="35"/>
      <c r="B60" s="36"/>
      <c r="C60" s="37"/>
      <c r="D60" s="37"/>
      <c r="E60" s="37"/>
      <c r="F60" s="37"/>
      <c r="G60" s="317"/>
    </row>
    <row r="61" spans="1:19">
      <c r="A61" s="35"/>
      <c r="B61" s="36"/>
      <c r="C61" s="37"/>
      <c r="D61" s="37"/>
      <c r="E61" s="37"/>
      <c r="F61" s="37"/>
      <c r="G61" s="317"/>
    </row>
    <row r="62" spans="1:19">
      <c r="A62" s="35"/>
      <c r="B62" s="36"/>
      <c r="C62" s="37"/>
      <c r="D62" s="37"/>
      <c r="E62" s="37"/>
      <c r="F62" s="37"/>
      <c r="G62" s="317"/>
    </row>
    <row r="63" spans="1:19">
      <c r="A63" s="35"/>
      <c r="B63" s="36"/>
      <c r="C63" s="37"/>
      <c r="D63" s="37"/>
      <c r="E63" s="37"/>
      <c r="F63" s="37"/>
      <c r="G63" s="317"/>
    </row>
    <row r="64" spans="1:19">
      <c r="A64" s="35"/>
      <c r="B64" s="36"/>
      <c r="C64" s="37"/>
      <c r="D64" s="37"/>
      <c r="E64" s="37"/>
      <c r="F64" s="37"/>
      <c r="G64" s="317"/>
    </row>
    <row r="65" spans="1:7">
      <c r="A65" s="35"/>
      <c r="B65" s="36"/>
      <c r="C65" s="37"/>
      <c r="D65" s="37"/>
      <c r="E65" s="37"/>
      <c r="F65" s="37"/>
      <c r="G65" s="317"/>
    </row>
    <row r="66" spans="1:7">
      <c r="A66" s="35"/>
      <c r="B66" s="36"/>
      <c r="C66" s="37"/>
      <c r="D66" s="37"/>
      <c r="E66" s="37"/>
      <c r="F66" s="37"/>
      <c r="G66" s="317"/>
    </row>
    <row r="67" spans="1:7">
      <c r="A67" s="35"/>
      <c r="B67" s="36"/>
      <c r="C67" s="37"/>
      <c r="D67" s="37"/>
      <c r="E67" s="37"/>
      <c r="F67" s="37"/>
      <c r="G67" s="317"/>
    </row>
    <row r="68" spans="1:7">
      <c r="A68" s="35"/>
      <c r="B68" s="36"/>
      <c r="C68" s="37"/>
      <c r="D68" s="37"/>
      <c r="E68" s="37"/>
      <c r="F68" s="37"/>
      <c r="G68" s="317"/>
    </row>
    <row r="69" spans="1:7">
      <c r="A69" s="35"/>
      <c r="B69" s="36"/>
      <c r="C69" s="37"/>
      <c r="D69" s="37"/>
      <c r="E69" s="37"/>
      <c r="F69" s="37"/>
      <c r="G69" s="317"/>
    </row>
    <row r="70" spans="1:7">
      <c r="A70" s="35"/>
      <c r="B70" s="36"/>
      <c r="C70" s="37"/>
      <c r="D70" s="37"/>
      <c r="E70" s="37"/>
      <c r="F70" s="37"/>
      <c r="G70" s="317"/>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279"/>
    </row>
    <row r="130" spans="11:15" ht="15" customHeight="1">
      <c r="K130" s="279"/>
      <c r="L130" s="6"/>
    </row>
    <row r="131" spans="11:15" ht="30.75" customHeight="1">
      <c r="K131" s="38"/>
    </row>
    <row r="132" spans="11:15">
      <c r="K132" s="38"/>
    </row>
    <row r="133" spans="11:15">
      <c r="K133" s="39"/>
      <c r="L133" s="39"/>
      <c r="M133" s="39"/>
      <c r="N133" s="39"/>
    </row>
    <row r="135" spans="11:15" ht="30.75" customHeight="1">
      <c r="K135" s="280"/>
      <c r="L135" s="280"/>
      <c r="M135" s="280"/>
      <c r="N135" s="280"/>
      <c r="O135" s="280"/>
    </row>
    <row r="136" spans="11:15" ht="15" customHeight="1">
      <c r="K136" s="280"/>
    </row>
    <row r="137" spans="11:15" ht="82.5" customHeight="1">
      <c r="K137" s="280"/>
      <c r="L137" s="280"/>
      <c r="M137" s="280"/>
      <c r="N137" s="280"/>
      <c r="O137" s="280"/>
    </row>
    <row r="138" spans="11:15" ht="15" customHeight="1">
      <c r="K138" s="41"/>
    </row>
    <row r="139" spans="11:15">
      <c r="K139" s="41"/>
    </row>
    <row r="140" spans="11:15" ht="69.75" customHeight="1">
      <c r="K140" s="41"/>
    </row>
  </sheetData>
  <mergeCells count="9">
    <mergeCell ref="B54:O54"/>
    <mergeCell ref="C13:F13"/>
    <mergeCell ref="A1:O1"/>
    <mergeCell ref="A2:O2"/>
    <mergeCell ref="A3:O3"/>
    <mergeCell ref="C14:F14"/>
    <mergeCell ref="C7:F7"/>
    <mergeCell ref="C9:F9"/>
    <mergeCell ref="C11:F1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H45:J45 L45:N45" formulaRange="1"/>
    <ignoredError sqref="B19:B4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77"/>
  <sheetViews>
    <sheetView topLeftCell="A139" zoomScale="80" zoomScaleNormal="80" workbookViewId="0">
      <selection activeCell="G41" sqref="G41"/>
    </sheetView>
  </sheetViews>
  <sheetFormatPr defaultColWidth="8.6328125" defaultRowHeight="13.2"/>
  <cols>
    <col min="1" max="1" width="5.1796875" style="565" customWidth="1"/>
    <col min="2" max="2" width="9.08984375" style="565" customWidth="1"/>
    <col min="3" max="4" width="7.54296875" style="565" customWidth="1"/>
    <col min="5" max="5" width="8.6328125" style="565" customWidth="1"/>
    <col min="6" max="6" width="7.54296875" style="565" customWidth="1"/>
    <col min="7" max="7" width="2.08984375" style="565" customWidth="1"/>
    <col min="8" max="9" width="11.453125" style="565" customWidth="1"/>
    <col min="10" max="10" width="13.453125" style="565" customWidth="1"/>
    <col min="11" max="11" width="1.453125" style="567" customWidth="1"/>
    <col min="12" max="13" width="10.1796875" style="565" bestFit="1" customWidth="1"/>
    <col min="14" max="14" width="10.6328125" style="565" bestFit="1" customWidth="1"/>
    <col min="15" max="16384" width="8.6328125" style="565"/>
  </cols>
  <sheetData>
    <row r="1" spans="1:16" s="564" customFormat="1">
      <c r="A1" s="925" t="s">
        <v>649</v>
      </c>
      <c r="B1" s="925"/>
      <c r="C1" s="925"/>
      <c r="D1" s="925"/>
      <c r="E1" s="925"/>
      <c r="F1" s="925"/>
      <c r="G1" s="925"/>
      <c r="H1" s="925"/>
      <c r="I1" s="925"/>
      <c r="J1" s="925"/>
      <c r="K1" s="925"/>
    </row>
    <row r="2" spans="1:16" s="564" customFormat="1">
      <c r="A2" s="925" t="s">
        <v>171</v>
      </c>
      <c r="B2" s="925"/>
      <c r="C2" s="925"/>
      <c r="D2" s="925"/>
      <c r="E2" s="925"/>
      <c r="F2" s="925"/>
      <c r="G2" s="925"/>
      <c r="H2" s="925"/>
      <c r="I2" s="925"/>
      <c r="J2" s="925"/>
      <c r="K2" s="925"/>
    </row>
    <row r="3" spans="1:16" s="564" customFormat="1">
      <c r="A3" s="926" t="s">
        <v>912</v>
      </c>
      <c r="B3" s="926"/>
      <c r="C3" s="926"/>
      <c r="D3" s="926"/>
      <c r="E3" s="926"/>
      <c r="F3" s="926"/>
      <c r="G3" s="926"/>
      <c r="H3" s="926"/>
      <c r="I3" s="926"/>
      <c r="J3" s="926"/>
      <c r="K3" s="926"/>
    </row>
    <row r="4" spans="1:16" s="564" customFormat="1">
      <c r="A4" s="563"/>
      <c r="B4" s="563"/>
      <c r="C4" s="563"/>
      <c r="D4" s="563"/>
      <c r="E4" s="563"/>
      <c r="F4" s="563"/>
      <c r="G4" s="563"/>
      <c r="H4" s="563"/>
      <c r="I4" s="563"/>
      <c r="J4" s="518" t="s">
        <v>724</v>
      </c>
    </row>
    <row r="5" spans="1:16">
      <c r="I5" s="566" t="s">
        <v>627</v>
      </c>
      <c r="J5" s="670">
        <v>2024</v>
      </c>
    </row>
    <row r="6" spans="1:16">
      <c r="A6" s="565">
        <v>1</v>
      </c>
      <c r="B6" s="568" t="s">
        <v>628</v>
      </c>
      <c r="H6" s="569"/>
      <c r="I6" s="569"/>
      <c r="J6" s="569"/>
      <c r="K6" s="570"/>
    </row>
    <row r="7" spans="1:16">
      <c r="A7" s="565">
        <f>+A6+1</f>
        <v>2</v>
      </c>
      <c r="B7" s="981" t="s">
        <v>629</v>
      </c>
      <c r="C7" s="982"/>
      <c r="D7" s="982"/>
      <c r="E7" s="982"/>
      <c r="F7" s="983"/>
      <c r="G7" s="571"/>
      <c r="H7" s="981" t="s">
        <v>630</v>
      </c>
      <c r="I7" s="982"/>
      <c r="J7" s="983"/>
      <c r="K7" s="570"/>
    </row>
    <row r="8" spans="1:16">
      <c r="B8" s="572" t="s">
        <v>76</v>
      </c>
      <c r="C8" s="572" t="s">
        <v>77</v>
      </c>
      <c r="D8" s="572" t="s">
        <v>78</v>
      </c>
      <c r="E8" s="572" t="s">
        <v>79</v>
      </c>
      <c r="F8" s="572" t="s">
        <v>80</v>
      </c>
      <c r="G8" s="571"/>
      <c r="H8" s="572" t="s">
        <v>81</v>
      </c>
      <c r="I8" s="572" t="s">
        <v>82</v>
      </c>
      <c r="J8" s="572" t="s">
        <v>343</v>
      </c>
      <c r="K8" s="570"/>
    </row>
    <row r="9" spans="1:16" ht="52.8">
      <c r="A9" s="565">
        <f>+A7+1</f>
        <v>3</v>
      </c>
      <c r="B9" s="573" t="s">
        <v>219</v>
      </c>
      <c r="C9" s="573" t="s">
        <v>631</v>
      </c>
      <c r="D9" s="573" t="s">
        <v>632</v>
      </c>
      <c r="E9" s="573" t="s">
        <v>633</v>
      </c>
      <c r="F9" s="573" t="s">
        <v>634</v>
      </c>
      <c r="G9" s="574"/>
      <c r="H9" s="573" t="s">
        <v>635</v>
      </c>
      <c r="I9" s="573" t="s">
        <v>636</v>
      </c>
      <c r="J9" s="573" t="s">
        <v>637</v>
      </c>
      <c r="K9" s="574"/>
    </row>
    <row r="10" spans="1:16" ht="37.950000000000003" customHeight="1">
      <c r="A10" s="565">
        <f t="shared" ref="A10:A24" si="0">+A9+1</f>
        <v>4</v>
      </c>
      <c r="C10" s="574"/>
      <c r="D10" s="574"/>
      <c r="E10" s="574"/>
      <c r="F10" s="574"/>
      <c r="G10" s="574"/>
      <c r="H10" s="574" t="s">
        <v>1188</v>
      </c>
      <c r="I10" s="574"/>
      <c r="J10" s="574"/>
      <c r="K10" s="574"/>
    </row>
    <row r="11" spans="1:16">
      <c r="A11" s="565">
        <f t="shared" si="0"/>
        <v>5</v>
      </c>
      <c r="B11" s="575" t="s">
        <v>638</v>
      </c>
      <c r="C11" s="576"/>
      <c r="D11" s="577"/>
      <c r="E11" s="577"/>
      <c r="F11" s="577"/>
      <c r="G11" s="577"/>
      <c r="H11" s="578"/>
      <c r="I11" s="578"/>
      <c r="J11" s="582">
        <v>0</v>
      </c>
      <c r="K11" s="580"/>
    </row>
    <row r="12" spans="1:16">
      <c r="A12" s="565">
        <f t="shared" si="0"/>
        <v>6</v>
      </c>
      <c r="B12" s="576" t="s">
        <v>146</v>
      </c>
      <c r="C12" s="581">
        <v>31</v>
      </c>
      <c r="D12" s="545">
        <f>E12-C12</f>
        <v>335</v>
      </c>
      <c r="E12" s="671">
        <v>366</v>
      </c>
      <c r="F12" s="516">
        <f>IF(E12=0,0,D12/E12)</f>
        <v>0.91530054644808745</v>
      </c>
      <c r="G12" s="512"/>
      <c r="H12" s="160">
        <f>-H152*'Proj Att-H'!D239</f>
        <v>-25332.788717588763</v>
      </c>
      <c r="I12" s="543">
        <f>+H12*F12</f>
        <v>-23187.115356262941</v>
      </c>
      <c r="J12" s="543">
        <f t="shared" ref="J12:J23" si="1">+I12+J11</f>
        <v>-23187.115356262941</v>
      </c>
      <c r="K12" s="580"/>
      <c r="O12" s="601"/>
      <c r="P12" s="601"/>
    </row>
    <row r="13" spans="1:16">
      <c r="A13" s="565">
        <f t="shared" si="0"/>
        <v>7</v>
      </c>
      <c r="B13" s="576" t="s">
        <v>147</v>
      </c>
      <c r="C13" s="582">
        <v>29</v>
      </c>
      <c r="D13" s="545">
        <f>D12-C13</f>
        <v>306</v>
      </c>
      <c r="E13" s="545">
        <f>$E$12</f>
        <v>366</v>
      </c>
      <c r="F13" s="516">
        <f t="shared" ref="F13:F23" si="2">IF(E13=0,0,D13/E13)</f>
        <v>0.83606557377049184</v>
      </c>
      <c r="G13" s="512"/>
      <c r="H13" s="160">
        <f>-H153*'Proj Att-H'!D239</f>
        <v>-25332.788717588763</v>
      </c>
      <c r="I13" s="543">
        <f t="shared" ref="I13:I23" si="3">+H13*F13</f>
        <v>-21179.87253437749</v>
      </c>
      <c r="J13" s="543">
        <f t="shared" si="1"/>
        <v>-44366.987890640434</v>
      </c>
      <c r="K13" s="580"/>
      <c r="O13" s="601"/>
      <c r="P13" s="601"/>
    </row>
    <row r="14" spans="1:16">
      <c r="A14" s="565">
        <f t="shared" si="0"/>
        <v>8</v>
      </c>
      <c r="B14" s="576" t="s">
        <v>397</v>
      </c>
      <c r="C14" s="581">
        <v>31</v>
      </c>
      <c r="D14" s="545">
        <f t="shared" ref="D14:D22" si="4">D13-C14</f>
        <v>275</v>
      </c>
      <c r="E14" s="545">
        <f t="shared" ref="E14:E23" si="5">$E$12</f>
        <v>366</v>
      </c>
      <c r="F14" s="516">
        <f t="shared" si="2"/>
        <v>0.75136612021857918</v>
      </c>
      <c r="G14" s="512"/>
      <c r="H14" s="160">
        <f>-H154*'Proj Att-H'!D239</f>
        <v>-25332.788717588763</v>
      </c>
      <c r="I14" s="543">
        <f t="shared" si="3"/>
        <v>-19034.199173051664</v>
      </c>
      <c r="J14" s="543">
        <f t="shared" si="1"/>
        <v>-63401.187063692094</v>
      </c>
      <c r="K14" s="580"/>
      <c r="O14" s="601"/>
      <c r="P14" s="601"/>
    </row>
    <row r="15" spans="1:16">
      <c r="A15" s="565">
        <f t="shared" si="0"/>
        <v>9</v>
      </c>
      <c r="B15" s="576" t="s">
        <v>148</v>
      </c>
      <c r="C15" s="581">
        <v>30</v>
      </c>
      <c r="D15" s="545">
        <f t="shared" si="4"/>
        <v>245</v>
      </c>
      <c r="E15" s="545">
        <f t="shared" si="5"/>
        <v>366</v>
      </c>
      <c r="F15" s="516">
        <f t="shared" si="2"/>
        <v>0.6693989071038251</v>
      </c>
      <c r="G15" s="512"/>
      <c r="H15" s="160">
        <f>-H155*'Proj Att-H'!D239</f>
        <v>-25332.788717588763</v>
      </c>
      <c r="I15" s="543">
        <f t="shared" si="3"/>
        <v>-16957.741081446027</v>
      </c>
      <c r="J15" s="543">
        <f t="shared" si="1"/>
        <v>-80358.928145138125</v>
      </c>
      <c r="K15" s="580"/>
      <c r="O15" s="601"/>
      <c r="P15" s="601"/>
    </row>
    <row r="16" spans="1:16">
      <c r="A16" s="565">
        <f t="shared" si="0"/>
        <v>10</v>
      </c>
      <c r="B16" s="576" t="s">
        <v>149</v>
      </c>
      <c r="C16" s="581">
        <v>31</v>
      </c>
      <c r="D16" s="545">
        <f t="shared" si="4"/>
        <v>214</v>
      </c>
      <c r="E16" s="545">
        <f t="shared" si="5"/>
        <v>366</v>
      </c>
      <c r="F16" s="516">
        <f t="shared" si="2"/>
        <v>0.58469945355191255</v>
      </c>
      <c r="G16" s="512"/>
      <c r="H16" s="160">
        <f>-H156*'Proj Att-H'!D239</f>
        <v>-25332.788717588763</v>
      </c>
      <c r="I16" s="543">
        <f t="shared" si="3"/>
        <v>-14812.067720120205</v>
      </c>
      <c r="J16" s="543">
        <f t="shared" si="1"/>
        <v>-95170.99586525833</v>
      </c>
      <c r="K16" s="580"/>
      <c r="O16" s="601"/>
      <c r="P16" s="601"/>
    </row>
    <row r="17" spans="1:16">
      <c r="A17" s="565">
        <f t="shared" si="0"/>
        <v>11</v>
      </c>
      <c r="B17" s="576" t="s">
        <v>150</v>
      </c>
      <c r="C17" s="581">
        <v>30</v>
      </c>
      <c r="D17" s="545">
        <f t="shared" si="4"/>
        <v>184</v>
      </c>
      <c r="E17" s="545">
        <f t="shared" si="5"/>
        <v>366</v>
      </c>
      <c r="F17" s="516">
        <f t="shared" si="2"/>
        <v>0.50273224043715847</v>
      </c>
      <c r="G17" s="512"/>
      <c r="H17" s="160">
        <f>-H157*'Proj Att-H'!D239</f>
        <v>-25332.788717588763</v>
      </c>
      <c r="I17" s="543">
        <f t="shared" si="3"/>
        <v>-12735.609628514569</v>
      </c>
      <c r="J17" s="543">
        <f t="shared" si="1"/>
        <v>-107906.60549377289</v>
      </c>
      <c r="K17" s="580"/>
      <c r="O17" s="601"/>
      <c r="P17" s="601"/>
    </row>
    <row r="18" spans="1:16">
      <c r="A18" s="565">
        <f t="shared" si="0"/>
        <v>12</v>
      </c>
      <c r="B18" s="576" t="s">
        <v>151</v>
      </c>
      <c r="C18" s="581">
        <v>31</v>
      </c>
      <c r="D18" s="545">
        <f t="shared" si="4"/>
        <v>153</v>
      </c>
      <c r="E18" s="545">
        <f t="shared" si="5"/>
        <v>366</v>
      </c>
      <c r="F18" s="516">
        <f t="shared" si="2"/>
        <v>0.41803278688524592</v>
      </c>
      <c r="G18" s="512"/>
      <c r="H18" s="160">
        <f>-H158*'Proj Att-H'!D239</f>
        <v>-25332.788717588763</v>
      </c>
      <c r="I18" s="543">
        <f t="shared" si="3"/>
        <v>-10589.936267188745</v>
      </c>
      <c r="J18" s="543">
        <f t="shared" si="1"/>
        <v>-118496.54176096164</v>
      </c>
      <c r="K18" s="580"/>
      <c r="O18" s="601"/>
      <c r="P18" s="601"/>
    </row>
    <row r="19" spans="1:16">
      <c r="A19" s="565">
        <f t="shared" si="0"/>
        <v>13</v>
      </c>
      <c r="B19" s="576" t="s">
        <v>398</v>
      </c>
      <c r="C19" s="581">
        <v>31</v>
      </c>
      <c r="D19" s="545">
        <f t="shared" si="4"/>
        <v>122</v>
      </c>
      <c r="E19" s="545">
        <f t="shared" si="5"/>
        <v>366</v>
      </c>
      <c r="F19" s="516">
        <f t="shared" si="2"/>
        <v>0.33333333333333331</v>
      </c>
      <c r="G19" s="512"/>
      <c r="H19" s="160">
        <f>-H159*'Proj Att-H'!D239</f>
        <v>-25332.788717588763</v>
      </c>
      <c r="I19" s="543">
        <f t="shared" si="3"/>
        <v>-8444.2629058629209</v>
      </c>
      <c r="J19" s="543">
        <f t="shared" si="1"/>
        <v>-126940.80466682457</v>
      </c>
      <c r="K19" s="580"/>
      <c r="O19" s="601"/>
      <c r="P19" s="601"/>
    </row>
    <row r="20" spans="1:16">
      <c r="A20" s="565">
        <f t="shared" si="0"/>
        <v>14</v>
      </c>
      <c r="B20" s="576" t="s">
        <v>152</v>
      </c>
      <c r="C20" s="581">
        <v>30</v>
      </c>
      <c r="D20" s="545">
        <f t="shared" si="4"/>
        <v>92</v>
      </c>
      <c r="E20" s="545">
        <f t="shared" si="5"/>
        <v>366</v>
      </c>
      <c r="F20" s="516">
        <f t="shared" si="2"/>
        <v>0.25136612021857924</v>
      </c>
      <c r="G20" s="512"/>
      <c r="H20" s="160">
        <f>-H160*'Proj Att-H'!D239</f>
        <v>-25332.788717588763</v>
      </c>
      <c r="I20" s="543">
        <f t="shared" si="3"/>
        <v>-6367.8048142572843</v>
      </c>
      <c r="J20" s="543">
        <f t="shared" si="1"/>
        <v>-133308.60948108186</v>
      </c>
      <c r="K20" s="580"/>
      <c r="O20" s="601"/>
      <c r="P20" s="601"/>
    </row>
    <row r="21" spans="1:16">
      <c r="A21" s="565">
        <f t="shared" si="0"/>
        <v>15</v>
      </c>
      <c r="B21" s="576" t="s">
        <v>153</v>
      </c>
      <c r="C21" s="581">
        <v>31</v>
      </c>
      <c r="D21" s="545">
        <f t="shared" si="4"/>
        <v>61</v>
      </c>
      <c r="E21" s="545">
        <f t="shared" si="5"/>
        <v>366</v>
      </c>
      <c r="F21" s="516">
        <f t="shared" si="2"/>
        <v>0.16666666666666666</v>
      </c>
      <c r="G21" s="512"/>
      <c r="H21" s="160">
        <f>-H161*'Proj Att-H'!D239</f>
        <v>-25332.788717588763</v>
      </c>
      <c r="I21" s="543">
        <f t="shared" si="3"/>
        <v>-4222.1314529314604</v>
      </c>
      <c r="J21" s="543">
        <f t="shared" si="1"/>
        <v>-137530.74093401333</v>
      </c>
      <c r="K21" s="580"/>
      <c r="O21" s="601"/>
      <c r="P21" s="601"/>
    </row>
    <row r="22" spans="1:16">
      <c r="A22" s="565">
        <f t="shared" si="0"/>
        <v>16</v>
      </c>
      <c r="B22" s="576" t="s">
        <v>154</v>
      </c>
      <c r="C22" s="581">
        <v>30</v>
      </c>
      <c r="D22" s="545">
        <f t="shared" si="4"/>
        <v>31</v>
      </c>
      <c r="E22" s="545">
        <f t="shared" si="5"/>
        <v>366</v>
      </c>
      <c r="F22" s="516">
        <f t="shared" si="2"/>
        <v>8.4699453551912565E-2</v>
      </c>
      <c r="G22" s="512"/>
      <c r="H22" s="160">
        <f>-H162*'Proj Att-H'!D239</f>
        <v>-25332.788717588763</v>
      </c>
      <c r="I22" s="543">
        <f t="shared" si="3"/>
        <v>-2145.6733613258239</v>
      </c>
      <c r="J22" s="543">
        <f t="shared" si="1"/>
        <v>-139676.41429533914</v>
      </c>
      <c r="K22" s="580"/>
      <c r="O22" s="601"/>
      <c r="P22" s="601"/>
    </row>
    <row r="23" spans="1:16">
      <c r="A23" s="565">
        <f t="shared" si="0"/>
        <v>17</v>
      </c>
      <c r="B23" s="576" t="s">
        <v>399</v>
      </c>
      <c r="C23" s="581">
        <v>31</v>
      </c>
      <c r="D23" s="545">
        <v>1</v>
      </c>
      <c r="E23" s="545">
        <f t="shared" si="5"/>
        <v>366</v>
      </c>
      <c r="F23" s="516">
        <f t="shared" si="2"/>
        <v>2.7322404371584699E-3</v>
      </c>
      <c r="G23" s="512"/>
      <c r="H23" s="160">
        <f>-H163*'Proj Att-H'!D239</f>
        <v>-25332.788717588763</v>
      </c>
      <c r="I23" s="543">
        <f t="shared" si="3"/>
        <v>-69.215269720187877</v>
      </c>
      <c r="J23" s="543">
        <f t="shared" si="1"/>
        <v>-139745.62956505932</v>
      </c>
      <c r="K23" s="580"/>
      <c r="L23" s="599"/>
      <c r="M23" s="601"/>
      <c r="N23" s="599"/>
      <c r="O23" s="601"/>
      <c r="P23" s="601"/>
    </row>
    <row r="24" spans="1:16">
      <c r="A24" s="565">
        <f t="shared" si="0"/>
        <v>18</v>
      </c>
      <c r="B24" s="583"/>
      <c r="C24" s="583" t="s">
        <v>9</v>
      </c>
      <c r="D24" s="583"/>
      <c r="E24" s="583"/>
      <c r="F24" s="584"/>
      <c r="G24" s="577"/>
      <c r="H24" s="585">
        <f>SUM(H12:H23)</f>
        <v>-303993.46461106517</v>
      </c>
      <c r="I24" s="585">
        <f>SUM(I12:I23)</f>
        <v>-139745.62956505932</v>
      </c>
      <c r="J24" s="584"/>
      <c r="K24" s="574"/>
    </row>
    <row r="25" spans="1:16">
      <c r="B25" s="586"/>
      <c r="C25" s="586"/>
      <c r="D25" s="586"/>
      <c r="E25" s="586"/>
      <c r="F25" s="587"/>
      <c r="G25" s="587"/>
      <c r="I25" s="588"/>
      <c r="J25" s="587"/>
      <c r="K25" s="574"/>
      <c r="L25" s="599"/>
    </row>
    <row r="26" spans="1:16">
      <c r="A26" s="565">
        <f>+A24+1</f>
        <v>19</v>
      </c>
      <c r="B26" s="565" t="s">
        <v>737</v>
      </c>
      <c r="F26" s="565" t="s">
        <v>1057</v>
      </c>
      <c r="G26" s="587"/>
      <c r="I26" s="587"/>
      <c r="J26" s="160">
        <f>'A3-ADIT'!E15</f>
        <v>76686825</v>
      </c>
      <c r="N26" s="735"/>
    </row>
    <row r="27" spans="1:16">
      <c r="A27" s="565">
        <f>+A26+1</f>
        <v>20</v>
      </c>
      <c r="B27" s="565" t="s">
        <v>819</v>
      </c>
      <c r="F27" s="565" t="s">
        <v>907</v>
      </c>
      <c r="G27" s="587"/>
      <c r="I27" s="587"/>
      <c r="J27" s="600">
        <f>J166*-(('Proj Att-H'!D239*'Proj Att-H'!D240)+'Proj Att-H'!D240)</f>
        <v>2002848.2039675999</v>
      </c>
    </row>
    <row r="28" spans="1:16">
      <c r="A28" s="565">
        <f t="shared" ref="A28" si="6">+A27+1</f>
        <v>21</v>
      </c>
      <c r="B28" s="565" t="s">
        <v>820</v>
      </c>
      <c r="F28" s="565" t="s">
        <v>738</v>
      </c>
      <c r="G28" s="587"/>
      <c r="I28" s="587"/>
      <c r="J28" s="600">
        <f>J26-J27</f>
        <v>74683976.796032399</v>
      </c>
    </row>
    <row r="29" spans="1:16">
      <c r="A29" s="565">
        <f>+A28+1</f>
        <v>22</v>
      </c>
      <c r="B29" s="834" t="s">
        <v>821</v>
      </c>
      <c r="F29" s="565" t="s">
        <v>739</v>
      </c>
      <c r="G29" s="587"/>
      <c r="I29" s="587"/>
      <c r="J29" s="600">
        <f>J27</f>
        <v>2002848.2039675999</v>
      </c>
    </row>
    <row r="30" spans="1:16">
      <c r="A30" s="565">
        <f>+A29+1</f>
        <v>23</v>
      </c>
      <c r="B30" s="565" t="s">
        <v>673</v>
      </c>
      <c r="F30" s="565" t="s">
        <v>685</v>
      </c>
      <c r="G30" s="587"/>
      <c r="I30" s="587"/>
      <c r="J30" s="582">
        <v>0</v>
      </c>
    </row>
    <row r="31" spans="1:16">
      <c r="A31" s="565">
        <f>+A30+1</f>
        <v>24</v>
      </c>
      <c r="B31" s="834" t="s">
        <v>818</v>
      </c>
      <c r="F31" s="565" t="s">
        <v>966</v>
      </c>
      <c r="G31" s="587"/>
      <c r="I31" s="587"/>
      <c r="J31" s="589">
        <f>J29+J30</f>
        <v>2002848.2039675999</v>
      </c>
    </row>
    <row r="32" spans="1:16">
      <c r="A32" s="565">
        <v>25</v>
      </c>
      <c r="B32" s="565" t="s">
        <v>643</v>
      </c>
      <c r="F32" s="565" t="s">
        <v>1005</v>
      </c>
      <c r="G32" s="587"/>
      <c r="I32" s="574"/>
      <c r="J32" s="590">
        <f>J23</f>
        <v>-139745.62956505932</v>
      </c>
      <c r="N32" s="735"/>
    </row>
    <row r="33" spans="1:11">
      <c r="A33" s="565">
        <v>26</v>
      </c>
      <c r="B33" s="565" t="s">
        <v>735</v>
      </c>
      <c r="F33" s="565" t="s">
        <v>1041</v>
      </c>
      <c r="J33" s="601">
        <f>J31+J32</f>
        <v>1863102.5744025405</v>
      </c>
    </row>
    <row r="34" spans="1:11">
      <c r="A34" s="565">
        <v>27</v>
      </c>
      <c r="B34" s="833" t="s">
        <v>910</v>
      </c>
      <c r="F34" s="123" t="s">
        <v>908</v>
      </c>
      <c r="J34" s="835">
        <f>'A3.1-EDIT-DDIT'!O45</f>
        <v>0.22680814926774853</v>
      </c>
    </row>
    <row r="35" spans="1:11">
      <c r="A35" s="565">
        <v>28</v>
      </c>
      <c r="B35" s="568" t="s">
        <v>652</v>
      </c>
      <c r="F35" s="565" t="s">
        <v>1042</v>
      </c>
      <c r="J35" s="608">
        <f>J33*J34</f>
        <v>422566.84679621796</v>
      </c>
    </row>
    <row r="36" spans="1:11">
      <c r="J36" s="601"/>
    </row>
    <row r="37" spans="1:11">
      <c r="J37" s="601"/>
    </row>
    <row r="38" spans="1:11" ht="15">
      <c r="A38"/>
      <c r="B38"/>
      <c r="C38"/>
      <c r="D38"/>
      <c r="E38"/>
      <c r="F38"/>
      <c r="G38"/>
      <c r="H38"/>
      <c r="I38"/>
      <c r="J38"/>
    </row>
    <row r="39" spans="1:11">
      <c r="A39" s="984" t="str">
        <f>A1</f>
        <v>Worksheet P5</v>
      </c>
      <c r="B39" s="984"/>
      <c r="C39" s="984"/>
      <c r="D39" s="984"/>
      <c r="E39" s="984"/>
      <c r="F39" s="984"/>
      <c r="G39" s="984"/>
      <c r="H39" s="984"/>
      <c r="I39" s="984"/>
      <c r="J39" s="984"/>
      <c r="K39" s="984"/>
    </row>
    <row r="40" spans="1:11">
      <c r="A40" s="984" t="str">
        <f>A2</f>
        <v>Accumulated Deferred Income Taxes</v>
      </c>
      <c r="B40" s="984"/>
      <c r="C40" s="984"/>
      <c r="D40" s="984"/>
      <c r="E40" s="984"/>
      <c r="F40" s="984"/>
      <c r="G40" s="984"/>
      <c r="H40" s="984"/>
      <c r="I40" s="984"/>
      <c r="J40" s="984"/>
      <c r="K40" s="984"/>
    </row>
    <row r="41" spans="1:11">
      <c r="A41" s="988" t="str">
        <f>A3</f>
        <v>Black Hills Colorado Electric, LLC</v>
      </c>
      <c r="B41" s="988"/>
      <c r="C41" s="988"/>
      <c r="D41" s="988"/>
      <c r="E41" s="988"/>
      <c r="F41" s="988"/>
      <c r="G41" s="988"/>
      <c r="H41" s="988"/>
      <c r="I41" s="988"/>
      <c r="J41" s="988"/>
      <c r="K41" s="988"/>
    </row>
    <row r="42" spans="1:11">
      <c r="J42" s="567" t="s">
        <v>725</v>
      </c>
    </row>
    <row r="43" spans="1:11">
      <c r="B43" s="568"/>
      <c r="J43" s="566"/>
      <c r="K43" s="592"/>
    </row>
    <row r="44" spans="1:11">
      <c r="A44" s="565">
        <f>A35+1</f>
        <v>29</v>
      </c>
      <c r="B44" s="568" t="s">
        <v>646</v>
      </c>
      <c r="H44" s="569"/>
      <c r="I44" s="569"/>
      <c r="J44" s="569"/>
    </row>
    <row r="45" spans="1:11">
      <c r="A45" s="565">
        <f>+A44+1</f>
        <v>30</v>
      </c>
      <c r="B45" s="981" t="s">
        <v>629</v>
      </c>
      <c r="C45" s="982"/>
      <c r="D45" s="982"/>
      <c r="E45" s="982"/>
      <c r="F45" s="983"/>
      <c r="G45" s="571"/>
      <c r="H45" s="981" t="s">
        <v>630</v>
      </c>
      <c r="I45" s="982"/>
      <c r="J45" s="983"/>
    </row>
    <row r="46" spans="1:11">
      <c r="B46" s="572" t="s">
        <v>76</v>
      </c>
      <c r="C46" s="572" t="s">
        <v>77</v>
      </c>
      <c r="D46" s="572" t="s">
        <v>78</v>
      </c>
      <c r="E46" s="572" t="s">
        <v>79</v>
      </c>
      <c r="F46" s="572" t="s">
        <v>80</v>
      </c>
      <c r="G46" s="571"/>
      <c r="H46" s="572" t="s">
        <v>81</v>
      </c>
      <c r="I46" s="572" t="s">
        <v>82</v>
      </c>
      <c r="J46" s="572" t="s">
        <v>343</v>
      </c>
    </row>
    <row r="47" spans="1:11" ht="52.8">
      <c r="A47" s="565">
        <f>+A45+1</f>
        <v>31</v>
      </c>
      <c r="B47" s="573" t="s">
        <v>219</v>
      </c>
      <c r="C47" s="573" t="s">
        <v>631</v>
      </c>
      <c r="D47" s="573" t="s">
        <v>632</v>
      </c>
      <c r="E47" s="573" t="s">
        <v>633</v>
      </c>
      <c r="F47" s="573" t="s">
        <v>634</v>
      </c>
      <c r="G47" s="574"/>
      <c r="H47" s="573" t="s">
        <v>635</v>
      </c>
      <c r="I47" s="573" t="s">
        <v>636</v>
      </c>
      <c r="J47" s="573" t="s">
        <v>637</v>
      </c>
    </row>
    <row r="48" spans="1:11">
      <c r="A48" s="565">
        <f t="shared" ref="A48:A62" si="7">+A47+1</f>
        <v>32</v>
      </c>
      <c r="C48" s="574"/>
      <c r="D48" s="574"/>
      <c r="E48" s="574"/>
      <c r="F48" s="574"/>
      <c r="G48" s="574"/>
      <c r="H48" s="574"/>
      <c r="I48" s="574"/>
      <c r="J48" s="574"/>
    </row>
    <row r="49" spans="1:16">
      <c r="A49" s="565">
        <f t="shared" si="7"/>
        <v>33</v>
      </c>
      <c r="B49" s="575" t="s">
        <v>638</v>
      </c>
      <c r="C49" s="576"/>
      <c r="D49" s="577"/>
      <c r="E49" s="577"/>
      <c r="F49" s="577"/>
      <c r="G49" s="577"/>
      <c r="H49" s="578"/>
      <c r="I49" s="578"/>
      <c r="J49" s="582">
        <v>0</v>
      </c>
      <c r="K49" s="593"/>
    </row>
    <row r="50" spans="1:16">
      <c r="A50" s="565">
        <f t="shared" si="7"/>
        <v>34</v>
      </c>
      <c r="B50" s="576" t="s">
        <v>146</v>
      </c>
      <c r="C50" s="600">
        <v>31</v>
      </c>
      <c r="D50" s="545">
        <f>E50-C50</f>
        <v>335</v>
      </c>
      <c r="E50" s="545">
        <f t="shared" ref="E50:E61" si="8">$E$12</f>
        <v>366</v>
      </c>
      <c r="F50" s="516">
        <f>IF(E50=0,0,D50/E50)</f>
        <v>0.91530054644808745</v>
      </c>
      <c r="G50" s="512"/>
      <c r="H50" s="579"/>
      <c r="I50" s="513">
        <f>+H50*F50</f>
        <v>0</v>
      </c>
      <c r="J50" s="513">
        <f t="shared" ref="J50:J61" si="9">+I50+J49</f>
        <v>0</v>
      </c>
      <c r="N50" s="726"/>
      <c r="O50" s="601"/>
      <c r="P50" s="601"/>
    </row>
    <row r="51" spans="1:16">
      <c r="A51" s="565">
        <f t="shared" si="7"/>
        <v>35</v>
      </c>
      <c r="B51" s="576" t="s">
        <v>147</v>
      </c>
      <c r="C51" s="545">
        <f>C13</f>
        <v>29</v>
      </c>
      <c r="D51" s="545">
        <f>D50-C51</f>
        <v>306</v>
      </c>
      <c r="E51" s="545">
        <f t="shared" si="8"/>
        <v>366</v>
      </c>
      <c r="F51" s="516">
        <f t="shared" ref="F51:F61" si="10">IF(E51=0,0,D51/E51)</f>
        <v>0.83606557377049184</v>
      </c>
      <c r="G51" s="512"/>
      <c r="H51" s="579"/>
      <c r="I51" s="513">
        <f t="shared" ref="I51:I61" si="11">+H51*F51</f>
        <v>0</v>
      </c>
      <c r="J51" s="513">
        <f t="shared" si="9"/>
        <v>0</v>
      </c>
      <c r="N51" s="726"/>
      <c r="O51" s="601"/>
      <c r="P51" s="601"/>
    </row>
    <row r="52" spans="1:16">
      <c r="A52" s="565">
        <f t="shared" si="7"/>
        <v>36</v>
      </c>
      <c r="B52" s="576" t="s">
        <v>397</v>
      </c>
      <c r="C52" s="600">
        <v>31</v>
      </c>
      <c r="D52" s="545">
        <f t="shared" ref="D52:D60" si="12">D51-C52</f>
        <v>275</v>
      </c>
      <c r="E52" s="545">
        <f t="shared" si="8"/>
        <v>366</v>
      </c>
      <c r="F52" s="516">
        <f t="shared" si="10"/>
        <v>0.75136612021857918</v>
      </c>
      <c r="G52" s="512"/>
      <c r="H52" s="579"/>
      <c r="I52" s="513">
        <f t="shared" si="11"/>
        <v>0</v>
      </c>
      <c r="J52" s="513">
        <f t="shared" si="9"/>
        <v>0</v>
      </c>
      <c r="N52" s="726"/>
      <c r="O52" s="601"/>
      <c r="P52" s="601"/>
    </row>
    <row r="53" spans="1:16">
      <c r="A53" s="565">
        <f t="shared" si="7"/>
        <v>37</v>
      </c>
      <c r="B53" s="576" t="s">
        <v>148</v>
      </c>
      <c r="C53" s="600">
        <v>30</v>
      </c>
      <c r="D53" s="545">
        <f t="shared" si="12"/>
        <v>245</v>
      </c>
      <c r="E53" s="545">
        <f t="shared" si="8"/>
        <v>366</v>
      </c>
      <c r="F53" s="516">
        <f t="shared" si="10"/>
        <v>0.6693989071038251</v>
      </c>
      <c r="G53" s="512"/>
      <c r="H53" s="579"/>
      <c r="I53" s="513">
        <f t="shared" si="11"/>
        <v>0</v>
      </c>
      <c r="J53" s="513">
        <f t="shared" si="9"/>
        <v>0</v>
      </c>
      <c r="N53" s="726"/>
      <c r="O53" s="601"/>
      <c r="P53" s="601"/>
    </row>
    <row r="54" spans="1:16">
      <c r="A54" s="565">
        <f t="shared" si="7"/>
        <v>38</v>
      </c>
      <c r="B54" s="576" t="s">
        <v>149</v>
      </c>
      <c r="C54" s="600">
        <v>31</v>
      </c>
      <c r="D54" s="545">
        <f t="shared" si="12"/>
        <v>214</v>
      </c>
      <c r="E54" s="545">
        <f t="shared" si="8"/>
        <v>366</v>
      </c>
      <c r="F54" s="516">
        <f t="shared" si="10"/>
        <v>0.58469945355191255</v>
      </c>
      <c r="G54" s="512"/>
      <c r="H54" s="579"/>
      <c r="I54" s="513">
        <f t="shared" si="11"/>
        <v>0</v>
      </c>
      <c r="J54" s="513">
        <f t="shared" si="9"/>
        <v>0</v>
      </c>
      <c r="N54" s="726"/>
      <c r="O54" s="601"/>
      <c r="P54" s="601"/>
    </row>
    <row r="55" spans="1:16">
      <c r="A55" s="565">
        <f t="shared" si="7"/>
        <v>39</v>
      </c>
      <c r="B55" s="576" t="s">
        <v>150</v>
      </c>
      <c r="C55" s="600">
        <v>30</v>
      </c>
      <c r="D55" s="545">
        <f t="shared" si="12"/>
        <v>184</v>
      </c>
      <c r="E55" s="545">
        <f t="shared" si="8"/>
        <v>366</v>
      </c>
      <c r="F55" s="516">
        <f t="shared" si="10"/>
        <v>0.50273224043715847</v>
      </c>
      <c r="G55" s="512"/>
      <c r="H55" s="579"/>
      <c r="I55" s="513">
        <f t="shared" si="11"/>
        <v>0</v>
      </c>
      <c r="J55" s="513">
        <f t="shared" si="9"/>
        <v>0</v>
      </c>
      <c r="N55" s="726"/>
      <c r="O55" s="601"/>
      <c r="P55" s="601"/>
    </row>
    <row r="56" spans="1:16">
      <c r="A56" s="565">
        <f t="shared" si="7"/>
        <v>40</v>
      </c>
      <c r="B56" s="576" t="s">
        <v>151</v>
      </c>
      <c r="C56" s="600">
        <v>31</v>
      </c>
      <c r="D56" s="545">
        <f t="shared" si="12"/>
        <v>153</v>
      </c>
      <c r="E56" s="545">
        <f t="shared" si="8"/>
        <v>366</v>
      </c>
      <c r="F56" s="516">
        <f t="shared" si="10"/>
        <v>0.41803278688524592</v>
      </c>
      <c r="G56" s="512"/>
      <c r="H56" s="579"/>
      <c r="I56" s="513">
        <f t="shared" si="11"/>
        <v>0</v>
      </c>
      <c r="J56" s="513">
        <f t="shared" si="9"/>
        <v>0</v>
      </c>
      <c r="N56" s="726"/>
      <c r="O56" s="601"/>
      <c r="P56" s="601"/>
    </row>
    <row r="57" spans="1:16">
      <c r="A57" s="565">
        <f t="shared" si="7"/>
        <v>41</v>
      </c>
      <c r="B57" s="576" t="s">
        <v>398</v>
      </c>
      <c r="C57" s="600">
        <v>31</v>
      </c>
      <c r="D57" s="545">
        <f t="shared" si="12"/>
        <v>122</v>
      </c>
      <c r="E57" s="545">
        <f t="shared" si="8"/>
        <v>366</v>
      </c>
      <c r="F57" s="516">
        <f t="shared" si="10"/>
        <v>0.33333333333333331</v>
      </c>
      <c r="G57" s="512"/>
      <c r="H57" s="579"/>
      <c r="I57" s="513">
        <f t="shared" si="11"/>
        <v>0</v>
      </c>
      <c r="J57" s="513">
        <f t="shared" si="9"/>
        <v>0</v>
      </c>
      <c r="N57" s="726"/>
      <c r="O57" s="601"/>
      <c r="P57" s="601"/>
    </row>
    <row r="58" spans="1:16">
      <c r="A58" s="565">
        <f t="shared" si="7"/>
        <v>42</v>
      </c>
      <c r="B58" s="576" t="s">
        <v>152</v>
      </c>
      <c r="C58" s="600">
        <v>30</v>
      </c>
      <c r="D58" s="545">
        <f t="shared" si="12"/>
        <v>92</v>
      </c>
      <c r="E58" s="545">
        <f t="shared" si="8"/>
        <v>366</v>
      </c>
      <c r="F58" s="516">
        <f t="shared" si="10"/>
        <v>0.25136612021857924</v>
      </c>
      <c r="G58" s="512"/>
      <c r="H58" s="579"/>
      <c r="I58" s="513">
        <f t="shared" si="11"/>
        <v>0</v>
      </c>
      <c r="J58" s="513">
        <f t="shared" si="9"/>
        <v>0</v>
      </c>
      <c r="N58" s="726"/>
      <c r="O58" s="601"/>
      <c r="P58" s="601"/>
    </row>
    <row r="59" spans="1:16">
      <c r="A59" s="565">
        <f t="shared" si="7"/>
        <v>43</v>
      </c>
      <c r="B59" s="576" t="s">
        <v>153</v>
      </c>
      <c r="C59" s="600">
        <v>31</v>
      </c>
      <c r="D59" s="545">
        <f t="shared" si="12"/>
        <v>61</v>
      </c>
      <c r="E59" s="545">
        <f t="shared" si="8"/>
        <v>366</v>
      </c>
      <c r="F59" s="516">
        <f t="shared" si="10"/>
        <v>0.16666666666666666</v>
      </c>
      <c r="G59" s="512"/>
      <c r="H59" s="579"/>
      <c r="I59" s="513">
        <f t="shared" si="11"/>
        <v>0</v>
      </c>
      <c r="J59" s="513">
        <f t="shared" si="9"/>
        <v>0</v>
      </c>
      <c r="N59" s="726"/>
      <c r="O59" s="601"/>
      <c r="P59" s="601"/>
    </row>
    <row r="60" spans="1:16">
      <c r="A60" s="565">
        <f t="shared" si="7"/>
        <v>44</v>
      </c>
      <c r="B60" s="576" t="s">
        <v>154</v>
      </c>
      <c r="C60" s="600">
        <v>30</v>
      </c>
      <c r="D60" s="545">
        <f t="shared" si="12"/>
        <v>31</v>
      </c>
      <c r="E60" s="545">
        <f t="shared" si="8"/>
        <v>366</v>
      </c>
      <c r="F60" s="516">
        <f t="shared" si="10"/>
        <v>8.4699453551912565E-2</v>
      </c>
      <c r="G60" s="512"/>
      <c r="H60" s="579"/>
      <c r="I60" s="513">
        <f t="shared" si="11"/>
        <v>0</v>
      </c>
      <c r="J60" s="513">
        <f t="shared" si="9"/>
        <v>0</v>
      </c>
      <c r="N60" s="726"/>
      <c r="O60" s="601"/>
      <c r="P60" s="601"/>
    </row>
    <row r="61" spans="1:16">
      <c r="A61" s="565">
        <f t="shared" si="7"/>
        <v>45</v>
      </c>
      <c r="B61" s="576" t="s">
        <v>399</v>
      </c>
      <c r="C61" s="600">
        <v>31</v>
      </c>
      <c r="D61" s="545">
        <v>1</v>
      </c>
      <c r="E61" s="545">
        <f t="shared" si="8"/>
        <v>366</v>
      </c>
      <c r="F61" s="516">
        <f t="shared" si="10"/>
        <v>2.7322404371584699E-3</v>
      </c>
      <c r="G61" s="512"/>
      <c r="H61" s="579"/>
      <c r="I61" s="513">
        <f t="shared" si="11"/>
        <v>0</v>
      </c>
      <c r="J61" s="513">
        <f t="shared" si="9"/>
        <v>0</v>
      </c>
      <c r="N61" s="726"/>
      <c r="O61" s="601"/>
      <c r="P61" s="601"/>
    </row>
    <row r="62" spans="1:16">
      <c r="A62" s="565">
        <f t="shared" si="7"/>
        <v>46</v>
      </c>
      <c r="B62" s="583"/>
      <c r="C62" s="583" t="s">
        <v>9</v>
      </c>
      <c r="D62" s="583"/>
      <c r="E62" s="583"/>
      <c r="F62" s="584"/>
      <c r="G62" s="577"/>
      <c r="H62" s="585">
        <f>SUM(H50:H61)</f>
        <v>0</v>
      </c>
      <c r="I62" s="585">
        <f>SUM(I50:I61)</f>
        <v>0</v>
      </c>
      <c r="J62" s="584"/>
    </row>
    <row r="63" spans="1:16">
      <c r="B63" s="586"/>
      <c r="C63" s="586"/>
      <c r="D63" s="586"/>
      <c r="E63" s="586"/>
      <c r="F63" s="587"/>
      <c r="G63" s="587"/>
      <c r="I63" s="588"/>
      <c r="J63" s="587"/>
    </row>
    <row r="64" spans="1:16">
      <c r="A64" s="565">
        <f>+A62+1</f>
        <v>47</v>
      </c>
      <c r="B64" s="565" t="s">
        <v>779</v>
      </c>
      <c r="F64" s="565" t="s">
        <v>647</v>
      </c>
      <c r="G64" s="587"/>
      <c r="I64" s="587"/>
      <c r="J64" s="582">
        <v>0</v>
      </c>
    </row>
    <row r="65" spans="1:11">
      <c r="A65" s="565">
        <f>+A64+1</f>
        <v>48</v>
      </c>
      <c r="B65" s="565" t="s">
        <v>640</v>
      </c>
      <c r="F65" s="565" t="str">
        <f>"(Line "&amp;A64&amp;" less line "&amp;A66&amp;")"</f>
        <v>(Line 47 less line 49)</v>
      </c>
      <c r="G65" s="587"/>
      <c r="I65" s="587"/>
      <c r="J65" s="589">
        <f>+J64-J66</f>
        <v>0</v>
      </c>
    </row>
    <row r="66" spans="1:11">
      <c r="A66" s="565">
        <f t="shared" ref="A66:A72" si="13">+A65+1</f>
        <v>49</v>
      </c>
      <c r="B66" s="565" t="s">
        <v>641</v>
      </c>
      <c r="F66" s="565" t="str">
        <f>"(Line "&amp;A49&amp;", Col H)"</f>
        <v>(Line 33, Col H)</v>
      </c>
      <c r="G66" s="587"/>
      <c r="I66" s="587"/>
      <c r="J66" s="578">
        <f>+J49</f>
        <v>0</v>
      </c>
    </row>
    <row r="67" spans="1:11">
      <c r="A67" s="565">
        <f t="shared" si="13"/>
        <v>50</v>
      </c>
      <c r="B67" s="565" t="s">
        <v>642</v>
      </c>
      <c r="F67" s="565" t="s">
        <v>648</v>
      </c>
      <c r="G67" s="587"/>
      <c r="I67" s="587"/>
      <c r="J67" s="582">
        <v>0</v>
      </c>
    </row>
    <row r="68" spans="1:11">
      <c r="A68" s="565">
        <f t="shared" si="13"/>
        <v>51</v>
      </c>
      <c r="B68" s="565" t="str">
        <f>+B65</f>
        <v>Less non Prorated Items</v>
      </c>
      <c r="F68" s="565" t="str">
        <f>"(Line "&amp;A67&amp;" less line "&amp;A69&amp;")"</f>
        <v>(Line 50 less line 52)</v>
      </c>
      <c r="G68" s="587"/>
      <c r="I68" s="587"/>
      <c r="J68" s="589">
        <f>+J67-J69</f>
        <v>0</v>
      </c>
    </row>
    <row r="69" spans="1:11">
      <c r="A69" s="565">
        <f t="shared" si="13"/>
        <v>52</v>
      </c>
      <c r="B69" s="565" t="s">
        <v>643</v>
      </c>
      <c r="F69" s="565" t="str">
        <f>"(Line "&amp;A61&amp;", Col H)"</f>
        <v>(Line 45, Col H)</v>
      </c>
      <c r="G69" s="587"/>
      <c r="I69" s="587"/>
      <c r="J69" s="578">
        <f>+J61</f>
        <v>0</v>
      </c>
    </row>
    <row r="70" spans="1:11">
      <c r="A70" s="565">
        <f t="shared" si="13"/>
        <v>53</v>
      </c>
      <c r="B70" s="565" t="s">
        <v>588</v>
      </c>
      <c r="F70" s="565" t="str">
        <f>"([Lines "&amp;A66&amp;" + "&amp;A69&amp;"] /2)+([Lines "&amp;A65&amp;" +"&amp;A68&amp;")/2])"</f>
        <v>([Lines 49 + 52] /2)+([Lines 48 +51)/2])</v>
      </c>
      <c r="G70" s="587"/>
      <c r="I70" s="574"/>
      <c r="J70" s="590">
        <f>(J66+J69)/2+(J65+J68)/2</f>
        <v>0</v>
      </c>
    </row>
    <row r="71" spans="1:11">
      <c r="A71" s="565">
        <f t="shared" si="13"/>
        <v>54</v>
      </c>
      <c r="B71" s="565" t="s">
        <v>1043</v>
      </c>
      <c r="G71" s="587"/>
      <c r="I71" s="574"/>
      <c r="J71" s="600">
        <v>0</v>
      </c>
    </row>
    <row r="72" spans="1:11">
      <c r="A72" s="565">
        <f t="shared" si="13"/>
        <v>55</v>
      </c>
      <c r="B72" s="565" t="s">
        <v>652</v>
      </c>
      <c r="F72" s="565" t="s">
        <v>1044</v>
      </c>
      <c r="J72" s="591">
        <f>+J70</f>
        <v>0</v>
      </c>
    </row>
    <row r="73" spans="1:11">
      <c r="A73" s="984" t="str">
        <f>A1</f>
        <v>Worksheet P5</v>
      </c>
      <c r="B73" s="984"/>
      <c r="C73" s="984"/>
      <c r="D73" s="984"/>
      <c r="E73" s="984"/>
      <c r="F73" s="984"/>
      <c r="G73" s="984"/>
      <c r="H73" s="984"/>
      <c r="I73" s="984"/>
      <c r="J73" s="984"/>
      <c r="K73" s="984"/>
    </row>
    <row r="74" spans="1:11">
      <c r="A74" s="984" t="str">
        <f>A2</f>
        <v>Accumulated Deferred Income Taxes</v>
      </c>
      <c r="B74" s="984"/>
      <c r="C74" s="984"/>
      <c r="D74" s="984"/>
      <c r="E74" s="984"/>
      <c r="F74" s="984"/>
      <c r="G74" s="984"/>
      <c r="H74" s="984"/>
      <c r="I74" s="984"/>
      <c r="J74" s="984"/>
      <c r="K74" s="984"/>
    </row>
    <row r="75" spans="1:11">
      <c r="A75" s="984" t="str">
        <f>A3</f>
        <v>Black Hills Colorado Electric, LLC</v>
      </c>
      <c r="B75" s="984"/>
      <c r="C75" s="984"/>
      <c r="D75" s="984"/>
      <c r="E75" s="984"/>
      <c r="F75" s="984"/>
      <c r="G75" s="984"/>
      <c r="H75" s="984"/>
      <c r="I75" s="984"/>
      <c r="J75" s="984"/>
      <c r="K75" s="984"/>
    </row>
    <row r="76" spans="1:11">
      <c r="A76" s="594"/>
      <c r="B76" s="594"/>
      <c r="C76" s="594"/>
      <c r="D76" s="594"/>
      <c r="E76" s="594"/>
      <c r="F76" s="594"/>
      <c r="G76" s="594"/>
      <c r="H76" s="594"/>
      <c r="I76" s="594"/>
      <c r="J76" s="567" t="s">
        <v>726</v>
      </c>
      <c r="K76" s="594"/>
    </row>
    <row r="78" spans="1:11">
      <c r="A78" s="565">
        <f>+A72+1</f>
        <v>56</v>
      </c>
      <c r="B78" s="568" t="s">
        <v>644</v>
      </c>
      <c r="H78" s="569"/>
      <c r="I78" s="569"/>
      <c r="J78" s="569"/>
    </row>
    <row r="79" spans="1:11">
      <c r="A79" s="565">
        <f>+A78+1</f>
        <v>57</v>
      </c>
      <c r="B79" s="985" t="s">
        <v>629</v>
      </c>
      <c r="C79" s="986"/>
      <c r="D79" s="986"/>
      <c r="E79" s="986"/>
      <c r="F79" s="987"/>
      <c r="G79" s="571"/>
      <c r="H79" s="981" t="s">
        <v>630</v>
      </c>
      <c r="I79" s="982"/>
      <c r="J79" s="983"/>
    </row>
    <row r="80" spans="1:11">
      <c r="B80" s="572" t="s">
        <v>76</v>
      </c>
      <c r="C80" s="572" t="s">
        <v>77</v>
      </c>
      <c r="D80" s="572" t="s">
        <v>78</v>
      </c>
      <c r="E80" s="572" t="s">
        <v>79</v>
      </c>
      <c r="F80" s="572" t="s">
        <v>80</v>
      </c>
      <c r="G80" s="571"/>
      <c r="H80" s="572" t="s">
        <v>81</v>
      </c>
      <c r="I80" s="572" t="s">
        <v>82</v>
      </c>
      <c r="J80" s="572" t="s">
        <v>343</v>
      </c>
    </row>
    <row r="81" spans="1:16" ht="52.8">
      <c r="A81" s="565">
        <f>+A79+1</f>
        <v>58</v>
      </c>
      <c r="B81" s="573" t="s">
        <v>219</v>
      </c>
      <c r="C81" s="573" t="s">
        <v>631</v>
      </c>
      <c r="D81" s="573" t="s">
        <v>632</v>
      </c>
      <c r="E81" s="573" t="s">
        <v>633</v>
      </c>
      <c r="F81" s="573" t="s">
        <v>634</v>
      </c>
      <c r="G81" s="574"/>
      <c r="H81" s="573" t="s">
        <v>635</v>
      </c>
      <c r="I81" s="573" t="s">
        <v>636</v>
      </c>
      <c r="J81" s="573" t="s">
        <v>637</v>
      </c>
    </row>
    <row r="82" spans="1:16" ht="31.2" customHeight="1">
      <c r="A82" s="565">
        <f t="shared" ref="A82:A96" si="14">+A81+1</f>
        <v>59</v>
      </c>
      <c r="C82" s="574"/>
      <c r="D82" s="574"/>
      <c r="E82" s="574"/>
      <c r="F82" s="574"/>
      <c r="G82" s="574"/>
      <c r="H82" s="574" t="s">
        <v>1187</v>
      </c>
      <c r="I82" s="574"/>
      <c r="J82" s="574"/>
      <c r="L82" s="595"/>
      <c r="M82" s="595"/>
      <c r="N82" s="595"/>
      <c r="O82" s="595"/>
      <c r="P82" s="595"/>
    </row>
    <row r="83" spans="1:16">
      <c r="A83" s="565">
        <f>+A82+1</f>
        <v>60</v>
      </c>
      <c r="B83" s="565" t="s">
        <v>641</v>
      </c>
      <c r="C83" s="576"/>
      <c r="D83" s="577"/>
      <c r="E83" s="577"/>
      <c r="F83" s="577"/>
      <c r="G83" s="577"/>
      <c r="H83" s="578"/>
      <c r="I83" s="578"/>
      <c r="J83" s="582">
        <v>0</v>
      </c>
      <c r="L83" s="596"/>
      <c r="M83" s="595"/>
      <c r="N83" s="595"/>
      <c r="O83" s="595"/>
      <c r="P83" s="595"/>
    </row>
    <row r="84" spans="1:16">
      <c r="A84" s="565">
        <f t="shared" si="14"/>
        <v>61</v>
      </c>
      <c r="B84" s="576" t="s">
        <v>146</v>
      </c>
      <c r="C84" s="600">
        <v>31</v>
      </c>
      <c r="D84" s="545">
        <f>E84-C84</f>
        <v>335</v>
      </c>
      <c r="E84" s="545">
        <f t="shared" ref="E84:E95" si="15">$E$12</f>
        <v>366</v>
      </c>
      <c r="F84" s="533">
        <f>IF(E84=0,0,D84/E84)</f>
        <v>0.91530054644808745</v>
      </c>
      <c r="G84" s="597"/>
      <c r="H84" s="160">
        <f>'P1-Trans Plant'!AA30</f>
        <v>-70906.950829296155</v>
      </c>
      <c r="I84" s="543">
        <f>+H84*F84</f>
        <v>-64901.170841022438</v>
      </c>
      <c r="J84" s="543">
        <f>+I84+J83</f>
        <v>-64901.170841022438</v>
      </c>
      <c r="L84" s="514"/>
      <c r="M84" s="515"/>
      <c r="N84" s="735"/>
      <c r="O84" s="601"/>
      <c r="P84" s="601"/>
    </row>
    <row r="85" spans="1:16">
      <c r="A85" s="565">
        <f t="shared" si="14"/>
        <v>62</v>
      </c>
      <c r="B85" s="576" t="s">
        <v>147</v>
      </c>
      <c r="C85" s="545">
        <f>C13</f>
        <v>29</v>
      </c>
      <c r="D85" s="545">
        <f>D84-C85</f>
        <v>306</v>
      </c>
      <c r="E85" s="545">
        <f t="shared" si="15"/>
        <v>366</v>
      </c>
      <c r="F85" s="533">
        <f t="shared" ref="F85:F95" si="16">IF(E85=0,0,D85/E85)</f>
        <v>0.83606557377049184</v>
      </c>
      <c r="G85" s="517"/>
      <c r="H85" s="160">
        <f>'P1-Trans Plant'!AA31</f>
        <v>-70807.175534435315</v>
      </c>
      <c r="I85" s="543">
        <f t="shared" ref="I85:I95" si="17">+H85*F85</f>
        <v>-59199.441840265594</v>
      </c>
      <c r="J85" s="543">
        <f t="shared" ref="J85:J95" si="18">+I85+J84</f>
        <v>-124100.61268128804</v>
      </c>
      <c r="K85" s="598"/>
      <c r="L85" s="514"/>
      <c r="M85" s="514"/>
      <c r="N85" s="735"/>
      <c r="O85" s="601"/>
      <c r="P85" s="601"/>
    </row>
    <row r="86" spans="1:16">
      <c r="A86" s="565">
        <f t="shared" si="14"/>
        <v>63</v>
      </c>
      <c r="B86" s="576" t="s">
        <v>397</v>
      </c>
      <c r="C86" s="600">
        <v>31</v>
      </c>
      <c r="D86" s="545">
        <f t="shared" ref="D86:D94" si="19">D85-C86</f>
        <v>275</v>
      </c>
      <c r="E86" s="545">
        <f t="shared" si="15"/>
        <v>366</v>
      </c>
      <c r="F86" s="533">
        <f t="shared" si="16"/>
        <v>0.75136612021857918</v>
      </c>
      <c r="G86" s="517"/>
      <c r="H86" s="160">
        <f>'P1-Trans Plant'!AA32</f>
        <v>-70724.185338459021</v>
      </c>
      <c r="I86" s="543">
        <f t="shared" si="17"/>
        <v>-53139.756743377679</v>
      </c>
      <c r="J86" s="543">
        <f t="shared" si="18"/>
        <v>-177240.36942466573</v>
      </c>
      <c r="L86" s="514"/>
      <c r="M86" s="514"/>
      <c r="N86" s="735"/>
      <c r="O86" s="601"/>
      <c r="P86" s="601"/>
    </row>
    <row r="87" spans="1:16">
      <c r="A87" s="565">
        <f t="shared" si="14"/>
        <v>64</v>
      </c>
      <c r="B87" s="576" t="s">
        <v>148</v>
      </c>
      <c r="C87" s="600">
        <v>30</v>
      </c>
      <c r="D87" s="545">
        <f t="shared" si="19"/>
        <v>245</v>
      </c>
      <c r="E87" s="545">
        <f t="shared" si="15"/>
        <v>366</v>
      </c>
      <c r="F87" s="533">
        <f t="shared" si="16"/>
        <v>0.6693989071038251</v>
      </c>
      <c r="G87" s="517"/>
      <c r="H87" s="160">
        <f>'P1-Trans Plant'!AA33</f>
        <v>-70647.150249362239</v>
      </c>
      <c r="I87" s="543">
        <f t="shared" si="17"/>
        <v>-47291.125166922808</v>
      </c>
      <c r="J87" s="543">
        <f t="shared" si="18"/>
        <v>-224531.49459158853</v>
      </c>
      <c r="L87" s="514"/>
      <c r="M87" s="514"/>
      <c r="N87" s="735"/>
      <c r="O87" s="601"/>
      <c r="P87" s="601"/>
    </row>
    <row r="88" spans="1:16">
      <c r="A88" s="565">
        <f t="shared" si="14"/>
        <v>65</v>
      </c>
      <c r="B88" s="576" t="s">
        <v>149</v>
      </c>
      <c r="C88" s="600">
        <v>31</v>
      </c>
      <c r="D88" s="545">
        <f t="shared" si="19"/>
        <v>214</v>
      </c>
      <c r="E88" s="545">
        <f t="shared" si="15"/>
        <v>366</v>
      </c>
      <c r="F88" s="533">
        <f t="shared" si="16"/>
        <v>0.58469945355191255</v>
      </c>
      <c r="G88" s="517"/>
      <c r="H88" s="160">
        <f>'P1-Trans Plant'!AA34</f>
        <v>-70561.4718877384</v>
      </c>
      <c r="I88" s="543">
        <f t="shared" si="17"/>
        <v>-41257.25405457928</v>
      </c>
      <c r="J88" s="543">
        <f t="shared" si="18"/>
        <v>-265788.74864616781</v>
      </c>
      <c r="L88" s="514"/>
      <c r="M88" s="514"/>
      <c r="N88" s="735"/>
      <c r="O88" s="601"/>
      <c r="P88" s="601"/>
    </row>
    <row r="89" spans="1:16">
      <c r="A89" s="565">
        <f t="shared" si="14"/>
        <v>66</v>
      </c>
      <c r="B89" s="576" t="s">
        <v>150</v>
      </c>
      <c r="C89" s="600">
        <v>30</v>
      </c>
      <c r="D89" s="545">
        <f t="shared" si="19"/>
        <v>184</v>
      </c>
      <c r="E89" s="545">
        <f t="shared" si="15"/>
        <v>366</v>
      </c>
      <c r="F89" s="533">
        <f t="shared" si="16"/>
        <v>0.50273224043715847</v>
      </c>
      <c r="G89" s="517"/>
      <c r="H89" s="160">
        <f>'P1-Trans Plant'!AA35</f>
        <v>-70305.316214330538</v>
      </c>
      <c r="I89" s="543">
        <f t="shared" si="17"/>
        <v>-35344.749135073274</v>
      </c>
      <c r="J89" s="543">
        <f t="shared" si="18"/>
        <v>-301133.49778124108</v>
      </c>
      <c r="L89" s="514"/>
      <c r="M89" s="514"/>
      <c r="N89" s="735"/>
      <c r="O89" s="601"/>
      <c r="P89" s="601"/>
    </row>
    <row r="90" spans="1:16">
      <c r="A90" s="565">
        <f t="shared" si="14"/>
        <v>67</v>
      </c>
      <c r="B90" s="576" t="s">
        <v>151</v>
      </c>
      <c r="C90" s="600">
        <v>31</v>
      </c>
      <c r="D90" s="545">
        <f t="shared" si="19"/>
        <v>153</v>
      </c>
      <c r="E90" s="545">
        <f t="shared" si="15"/>
        <v>366</v>
      </c>
      <c r="F90" s="533">
        <f t="shared" si="16"/>
        <v>0.41803278688524592</v>
      </c>
      <c r="G90" s="517"/>
      <c r="H90" s="160">
        <f>'P1-Trans Plant'!AA36</f>
        <v>-70218.275856249646</v>
      </c>
      <c r="I90" s="543">
        <f t="shared" si="17"/>
        <v>-29353.541546465018</v>
      </c>
      <c r="J90" s="543">
        <f t="shared" si="18"/>
        <v>-330487.03932770609</v>
      </c>
      <c r="L90" s="514"/>
      <c r="M90" s="514"/>
      <c r="N90" s="735"/>
      <c r="O90" s="601"/>
      <c r="P90" s="601"/>
    </row>
    <row r="91" spans="1:16">
      <c r="A91" s="565">
        <f t="shared" si="14"/>
        <v>68</v>
      </c>
      <c r="B91" s="576" t="s">
        <v>398</v>
      </c>
      <c r="C91" s="600">
        <v>31</v>
      </c>
      <c r="D91" s="545">
        <f t="shared" si="19"/>
        <v>122</v>
      </c>
      <c r="E91" s="545">
        <f t="shared" si="15"/>
        <v>366</v>
      </c>
      <c r="F91" s="533">
        <f t="shared" si="16"/>
        <v>0.33333333333333331</v>
      </c>
      <c r="G91" s="517"/>
      <c r="H91" s="160">
        <f>'P1-Trans Plant'!AA37</f>
        <v>-70130.87804269878</v>
      </c>
      <c r="I91" s="543">
        <f t="shared" si="17"/>
        <v>-23376.959347566259</v>
      </c>
      <c r="J91" s="543">
        <f t="shared" si="18"/>
        <v>-353863.99867527233</v>
      </c>
      <c r="L91" s="514"/>
      <c r="M91" s="514"/>
      <c r="N91" s="735"/>
      <c r="O91" s="601"/>
      <c r="P91" s="601"/>
    </row>
    <row r="92" spans="1:16">
      <c r="A92" s="565">
        <f t="shared" si="14"/>
        <v>69</v>
      </c>
      <c r="B92" s="576" t="s">
        <v>152</v>
      </c>
      <c r="C92" s="600">
        <v>30</v>
      </c>
      <c r="D92" s="545">
        <f t="shared" si="19"/>
        <v>92</v>
      </c>
      <c r="E92" s="545">
        <f t="shared" si="15"/>
        <v>366</v>
      </c>
      <c r="F92" s="533">
        <f t="shared" si="16"/>
        <v>0.25136612021857924</v>
      </c>
      <c r="G92" s="517"/>
      <c r="H92" s="160">
        <f>'P1-Trans Plant'!AA38</f>
        <v>-70044.39558223293</v>
      </c>
      <c r="I92" s="543">
        <f t="shared" si="17"/>
        <v>-17606.787960561283</v>
      </c>
      <c r="J92" s="543">
        <f t="shared" si="18"/>
        <v>-371470.78663583362</v>
      </c>
      <c r="L92" s="514"/>
      <c r="M92" s="514"/>
      <c r="N92" s="735"/>
      <c r="O92" s="601"/>
      <c r="P92" s="601"/>
    </row>
    <row r="93" spans="1:16">
      <c r="A93" s="565">
        <f t="shared" si="14"/>
        <v>70</v>
      </c>
      <c r="B93" s="576" t="s">
        <v>153</v>
      </c>
      <c r="C93" s="600">
        <v>31</v>
      </c>
      <c r="D93" s="545">
        <f t="shared" si="19"/>
        <v>61</v>
      </c>
      <c r="E93" s="545">
        <f t="shared" si="15"/>
        <v>366</v>
      </c>
      <c r="F93" s="533">
        <f t="shared" si="16"/>
        <v>0.16666666666666666</v>
      </c>
      <c r="G93" s="517"/>
      <c r="H93" s="160">
        <f>'P1-Trans Plant'!AA39</f>
        <v>-69921.445708857296</v>
      </c>
      <c r="I93" s="543">
        <f t="shared" si="17"/>
        <v>-11653.574284809549</v>
      </c>
      <c r="J93" s="543">
        <f t="shared" si="18"/>
        <v>-383124.36092064314</v>
      </c>
      <c r="L93" s="514"/>
      <c r="M93" s="514"/>
      <c r="N93" s="735"/>
      <c r="O93" s="601"/>
      <c r="P93" s="601"/>
    </row>
    <row r="94" spans="1:16">
      <c r="A94" s="565">
        <f t="shared" si="14"/>
        <v>71</v>
      </c>
      <c r="B94" s="576" t="s">
        <v>154</v>
      </c>
      <c r="C94" s="600">
        <v>30</v>
      </c>
      <c r="D94" s="545">
        <f t="shared" si="19"/>
        <v>31</v>
      </c>
      <c r="E94" s="545">
        <f t="shared" si="15"/>
        <v>366</v>
      </c>
      <c r="F94" s="533">
        <f t="shared" si="16"/>
        <v>8.4699453551912565E-2</v>
      </c>
      <c r="G94" s="517"/>
      <c r="H94" s="160">
        <f>'P1-Trans Plant'!AA40</f>
        <v>-67555.140694556758</v>
      </c>
      <c r="I94" s="543">
        <f t="shared" si="17"/>
        <v>-5721.8835014515289</v>
      </c>
      <c r="J94" s="543">
        <f t="shared" si="18"/>
        <v>-388846.24442209466</v>
      </c>
      <c r="L94" s="514"/>
      <c r="M94" s="514"/>
      <c r="N94" s="735"/>
      <c r="O94" s="601"/>
      <c r="P94" s="601"/>
    </row>
    <row r="95" spans="1:16">
      <c r="A95" s="565">
        <f t="shared" si="14"/>
        <v>72</v>
      </c>
      <c r="B95" s="576" t="s">
        <v>399</v>
      </c>
      <c r="C95" s="600">
        <v>31</v>
      </c>
      <c r="D95" s="545">
        <v>1</v>
      </c>
      <c r="E95" s="545">
        <f t="shared" si="15"/>
        <v>366</v>
      </c>
      <c r="F95" s="533">
        <f t="shared" si="16"/>
        <v>2.7322404371584699E-3</v>
      </c>
      <c r="G95" s="517"/>
      <c r="H95" s="160">
        <f>'P1-Trans Plant'!AA41</f>
        <v>-67510.866153182535</v>
      </c>
      <c r="I95" s="543">
        <f t="shared" si="17"/>
        <v>-184.45591845131841</v>
      </c>
      <c r="J95" s="543">
        <f t="shared" si="18"/>
        <v>-389030.70034054597</v>
      </c>
      <c r="L95" s="514"/>
      <c r="M95" s="514"/>
      <c r="N95" s="735"/>
      <c r="O95" s="601"/>
      <c r="P95" s="601"/>
    </row>
    <row r="96" spans="1:16">
      <c r="A96" s="565">
        <f t="shared" si="14"/>
        <v>73</v>
      </c>
      <c r="B96" s="583"/>
      <c r="C96" s="583" t="s">
        <v>9</v>
      </c>
      <c r="D96" s="583"/>
      <c r="E96" s="583"/>
      <c r="F96" s="584"/>
      <c r="G96" s="577"/>
      <c r="H96" s="585">
        <f>SUM(H84:H95)</f>
        <v>-839333.25209139974</v>
      </c>
      <c r="I96" s="585">
        <f>SUM(I84:I95)</f>
        <v>-389030.70034054597</v>
      </c>
      <c r="J96" s="584"/>
      <c r="L96" s="599"/>
    </row>
    <row r="97" spans="1:16">
      <c r="B97" s="586"/>
      <c r="C97" s="586"/>
      <c r="D97" s="586"/>
      <c r="E97" s="586"/>
      <c r="F97" s="587"/>
      <c r="G97" s="577"/>
      <c r="H97" s="578"/>
      <c r="I97" s="578"/>
      <c r="J97" s="587"/>
      <c r="L97" s="599"/>
    </row>
    <row r="98" spans="1:16">
      <c r="A98" s="565">
        <f>+A96+1</f>
        <v>74</v>
      </c>
      <c r="B98" s="575" t="s">
        <v>671</v>
      </c>
      <c r="C98" s="574"/>
      <c r="D98" s="574"/>
      <c r="E98" s="574"/>
      <c r="F98" s="575" t="s">
        <v>675</v>
      </c>
      <c r="G98" s="574"/>
      <c r="H98" s="574"/>
      <c r="I98" s="574"/>
      <c r="J98" s="160">
        <f>'A3-ADIT'!E13</f>
        <v>-142243027</v>
      </c>
      <c r="L98" s="595"/>
      <c r="M98" s="595"/>
      <c r="N98" s="595"/>
      <c r="O98" s="595"/>
      <c r="P98" s="595"/>
    </row>
    <row r="99" spans="1:16">
      <c r="A99" s="565">
        <f>A98+1</f>
        <v>75</v>
      </c>
      <c r="B99" s="565" t="s">
        <v>771</v>
      </c>
      <c r="C99" s="574"/>
      <c r="D99" s="574"/>
      <c r="E99" s="574"/>
      <c r="F99" s="575" t="s">
        <v>829</v>
      </c>
      <c r="G99" s="574"/>
      <c r="H99" s="574"/>
      <c r="I99" s="574"/>
      <c r="J99" s="836">
        <f>'Proj Att-H'!G222</f>
        <v>0.27335514706963876</v>
      </c>
      <c r="L99" s="595"/>
      <c r="M99" s="595"/>
      <c r="N99" s="595"/>
      <c r="O99" s="595"/>
      <c r="P99" s="595"/>
    </row>
    <row r="100" spans="1:16">
      <c r="A100" s="565">
        <f t="shared" ref="A100:A106" si="20">+A99+1</f>
        <v>76</v>
      </c>
      <c r="B100" s="565" t="s">
        <v>672</v>
      </c>
      <c r="C100" s="574"/>
      <c r="D100" s="574"/>
      <c r="E100" s="574"/>
      <c r="F100" s="575" t="s">
        <v>1094</v>
      </c>
      <c r="G100" s="574"/>
      <c r="H100" s="574"/>
      <c r="I100" s="574"/>
      <c r="J100" s="659">
        <f>J98*J99</f>
        <v>-38882863.565215595</v>
      </c>
      <c r="L100" s="595"/>
      <c r="M100" s="595"/>
      <c r="N100" s="595"/>
      <c r="O100" s="595"/>
      <c r="P100" s="595"/>
    </row>
    <row r="101" spans="1:16">
      <c r="A101" s="565">
        <f t="shared" si="20"/>
        <v>77</v>
      </c>
      <c r="B101" s="565" t="s">
        <v>673</v>
      </c>
      <c r="C101" s="574"/>
      <c r="D101" s="574"/>
      <c r="E101" s="574"/>
      <c r="F101" s="575" t="s">
        <v>828</v>
      </c>
      <c r="G101" s="574"/>
      <c r="H101" s="574"/>
      <c r="I101" s="574"/>
      <c r="J101" s="160">
        <f>'P1-Trans Plant'!V42</f>
        <v>-311412.30145303073</v>
      </c>
      <c r="L101" s="595"/>
      <c r="M101" s="595"/>
      <c r="N101" s="595"/>
      <c r="O101" s="595"/>
      <c r="P101" s="595"/>
    </row>
    <row r="102" spans="1:16">
      <c r="A102" s="565">
        <f t="shared" si="20"/>
        <v>78</v>
      </c>
      <c r="B102" s="565" t="s">
        <v>639</v>
      </c>
      <c r="F102" s="565" t="s">
        <v>1095</v>
      </c>
      <c r="G102" s="587"/>
      <c r="I102" s="587"/>
      <c r="J102" s="600">
        <f>J100+J101</f>
        <v>-39194275.866668627</v>
      </c>
    </row>
    <row r="103" spans="1:16">
      <c r="A103" s="565">
        <f t="shared" si="20"/>
        <v>79</v>
      </c>
      <c r="B103" s="565" t="s">
        <v>643</v>
      </c>
      <c r="F103" s="565" t="str">
        <f>"(Line "&amp;A95&amp;", Col H)"</f>
        <v>(Line 72, Col H)</v>
      </c>
      <c r="G103" s="587"/>
      <c r="I103" s="587"/>
      <c r="J103" s="578">
        <f>+J95</f>
        <v>-389030.70034054597</v>
      </c>
    </row>
    <row r="104" spans="1:16">
      <c r="A104" s="565">
        <f t="shared" si="20"/>
        <v>80</v>
      </c>
      <c r="B104" s="565" t="s">
        <v>674</v>
      </c>
      <c r="F104" s="565" t="s">
        <v>1096</v>
      </c>
      <c r="G104" s="587"/>
      <c r="I104" s="574"/>
      <c r="J104" s="590">
        <f>J102+J103</f>
        <v>-39583306.567009173</v>
      </c>
      <c r="L104" s="601"/>
    </row>
    <row r="105" spans="1:16">
      <c r="A105" s="565">
        <f t="shared" si="20"/>
        <v>81</v>
      </c>
      <c r="B105" s="565" t="s">
        <v>1043</v>
      </c>
      <c r="G105" s="587"/>
      <c r="I105" s="574"/>
      <c r="J105" s="600">
        <v>0</v>
      </c>
    </row>
    <row r="106" spans="1:16">
      <c r="A106" s="565">
        <f t="shared" si="20"/>
        <v>82</v>
      </c>
      <c r="B106" s="565" t="s">
        <v>652</v>
      </c>
      <c r="F106" s="565" t="s">
        <v>1045</v>
      </c>
      <c r="J106" s="591">
        <f>+J104</f>
        <v>-39583306.567009173</v>
      </c>
    </row>
    <row r="107" spans="1:16">
      <c r="A107" s="984" t="str">
        <f>A1</f>
        <v>Worksheet P5</v>
      </c>
      <c r="B107" s="984"/>
      <c r="C107" s="984"/>
      <c r="D107" s="984"/>
      <c r="E107" s="984"/>
      <c r="F107" s="984"/>
      <c r="G107" s="984"/>
      <c r="H107" s="984"/>
      <c r="I107" s="984"/>
      <c r="J107" s="984"/>
      <c r="K107" s="984"/>
    </row>
    <row r="108" spans="1:16">
      <c r="A108" s="984" t="str">
        <f>A2</f>
        <v>Accumulated Deferred Income Taxes</v>
      </c>
      <c r="B108" s="984"/>
      <c r="C108" s="984"/>
      <c r="D108" s="984"/>
      <c r="E108" s="984"/>
      <c r="F108" s="984"/>
      <c r="G108" s="984"/>
      <c r="H108" s="984"/>
      <c r="I108" s="984"/>
      <c r="J108" s="984"/>
      <c r="K108" s="984"/>
    </row>
    <row r="109" spans="1:16">
      <c r="A109" s="984" t="str">
        <f>A3</f>
        <v>Black Hills Colorado Electric, LLC</v>
      </c>
      <c r="B109" s="984"/>
      <c r="C109" s="984"/>
      <c r="D109" s="984"/>
      <c r="E109" s="984"/>
      <c r="F109" s="984"/>
      <c r="G109" s="984"/>
      <c r="H109" s="984"/>
      <c r="I109" s="984"/>
      <c r="J109" s="984"/>
      <c r="K109" s="984"/>
    </row>
    <row r="110" spans="1:16">
      <c r="J110" s="567" t="s">
        <v>727</v>
      </c>
    </row>
    <row r="111" spans="1:16">
      <c r="A111" s="602"/>
      <c r="B111" s="602"/>
      <c r="C111" s="602"/>
      <c r="D111" s="602"/>
      <c r="E111" s="602"/>
      <c r="F111" s="602"/>
      <c r="G111" s="602"/>
      <c r="H111" s="602"/>
    </row>
    <row r="112" spans="1:16">
      <c r="A112" s="565">
        <f>A106+1</f>
        <v>83</v>
      </c>
      <c r="B112" s="568" t="s">
        <v>645</v>
      </c>
      <c r="H112" s="569"/>
      <c r="I112" s="569"/>
      <c r="J112" s="569"/>
    </row>
    <row r="113" spans="1:16">
      <c r="A113" s="565">
        <f>+A112+1</f>
        <v>84</v>
      </c>
      <c r="B113" s="981" t="s">
        <v>629</v>
      </c>
      <c r="C113" s="982"/>
      <c r="D113" s="982"/>
      <c r="E113" s="982"/>
      <c r="F113" s="983"/>
      <c r="G113" s="571"/>
      <c r="H113" s="981" t="s">
        <v>630</v>
      </c>
      <c r="I113" s="982"/>
      <c r="J113" s="983"/>
    </row>
    <row r="114" spans="1:16">
      <c r="B114" s="572" t="s">
        <v>76</v>
      </c>
      <c r="C114" s="572" t="s">
        <v>77</v>
      </c>
      <c r="D114" s="572" t="s">
        <v>78</v>
      </c>
      <c r="E114" s="572" t="s">
        <v>79</v>
      </c>
      <c r="F114" s="572" t="s">
        <v>80</v>
      </c>
      <c r="G114" s="571"/>
      <c r="H114" s="572" t="s">
        <v>81</v>
      </c>
      <c r="I114" s="572" t="s">
        <v>82</v>
      </c>
      <c r="J114" s="572" t="s">
        <v>343</v>
      </c>
    </row>
    <row r="115" spans="1:16" ht="52.8">
      <c r="A115" s="565">
        <f>+A113+1</f>
        <v>85</v>
      </c>
      <c r="B115" s="573" t="s">
        <v>219</v>
      </c>
      <c r="C115" s="573" t="s">
        <v>631</v>
      </c>
      <c r="D115" s="573" t="s">
        <v>632</v>
      </c>
      <c r="E115" s="573" t="s">
        <v>633</v>
      </c>
      <c r="F115" s="573" t="s">
        <v>634</v>
      </c>
      <c r="G115" s="574"/>
      <c r="H115" s="573" t="s">
        <v>635</v>
      </c>
      <c r="I115" s="573" t="s">
        <v>636</v>
      </c>
      <c r="J115" s="573" t="s">
        <v>637</v>
      </c>
    </row>
    <row r="116" spans="1:16">
      <c r="A116" s="565">
        <f t="shared" ref="A116:A130" si="21">+A115+1</f>
        <v>86</v>
      </c>
      <c r="C116" s="574"/>
      <c r="D116" s="574"/>
      <c r="E116" s="574"/>
      <c r="F116" s="574"/>
      <c r="G116" s="574"/>
      <c r="H116" s="574"/>
      <c r="I116" s="574"/>
      <c r="J116" s="574"/>
    </row>
    <row r="117" spans="1:16">
      <c r="A117" s="565">
        <f t="shared" si="21"/>
        <v>87</v>
      </c>
      <c r="B117" s="575" t="s">
        <v>638</v>
      </c>
      <c r="C117" s="576"/>
      <c r="D117" s="577"/>
      <c r="E117" s="577"/>
      <c r="F117" s="577"/>
      <c r="G117" s="577"/>
      <c r="H117" s="578"/>
      <c r="I117" s="578"/>
      <c r="J117" s="582">
        <v>0</v>
      </c>
    </row>
    <row r="118" spans="1:16">
      <c r="A118" s="565">
        <f t="shared" si="21"/>
        <v>88</v>
      </c>
      <c r="B118" s="576" t="s">
        <v>146</v>
      </c>
      <c r="C118" s="600">
        <v>31</v>
      </c>
      <c r="D118" s="545">
        <f>E118-C118</f>
        <v>335</v>
      </c>
      <c r="E118" s="545">
        <f t="shared" ref="E118:E129" si="22">$E$12</f>
        <v>366</v>
      </c>
      <c r="F118" s="516">
        <f>IF(E118=0,0,D118/E118)</f>
        <v>0.91530054644808745</v>
      </c>
      <c r="G118" s="512"/>
      <c r="H118" s="579">
        <v>0</v>
      </c>
      <c r="I118" s="513">
        <f>+H118*F118</f>
        <v>0</v>
      </c>
      <c r="J118" s="513">
        <f t="shared" ref="J118:J129" si="23">+I118+J117</f>
        <v>0</v>
      </c>
      <c r="O118" s="601"/>
      <c r="P118" s="601"/>
    </row>
    <row r="119" spans="1:16">
      <c r="A119" s="565">
        <f t="shared" si="21"/>
        <v>89</v>
      </c>
      <c r="B119" s="576" t="s">
        <v>147</v>
      </c>
      <c r="C119" s="545">
        <f>C13</f>
        <v>29</v>
      </c>
      <c r="D119" s="545">
        <f>D118-C119</f>
        <v>306</v>
      </c>
      <c r="E119" s="545">
        <f t="shared" si="22"/>
        <v>366</v>
      </c>
      <c r="F119" s="516">
        <f t="shared" ref="F119:F129" si="24">IF(E119=0,0,D119/E119)</f>
        <v>0.83606557377049184</v>
      </c>
      <c r="G119" s="512"/>
      <c r="H119" s="579">
        <v>0</v>
      </c>
      <c r="I119" s="513">
        <f t="shared" ref="I119:I129" si="25">+H119*F119</f>
        <v>0</v>
      </c>
      <c r="J119" s="513">
        <f t="shared" si="23"/>
        <v>0</v>
      </c>
      <c r="O119" s="601"/>
      <c r="P119" s="601"/>
    </row>
    <row r="120" spans="1:16">
      <c r="A120" s="565">
        <f t="shared" si="21"/>
        <v>90</v>
      </c>
      <c r="B120" s="576" t="s">
        <v>397</v>
      </c>
      <c r="C120" s="600">
        <v>31</v>
      </c>
      <c r="D120" s="545">
        <f t="shared" ref="D120:D128" si="26">D119-C120</f>
        <v>275</v>
      </c>
      <c r="E120" s="545">
        <f t="shared" si="22"/>
        <v>366</v>
      </c>
      <c r="F120" s="516">
        <f t="shared" si="24"/>
        <v>0.75136612021857918</v>
      </c>
      <c r="G120" s="512"/>
      <c r="H120" s="579">
        <v>0</v>
      </c>
      <c r="I120" s="513">
        <f t="shared" si="25"/>
        <v>0</v>
      </c>
      <c r="J120" s="513">
        <f t="shared" si="23"/>
        <v>0</v>
      </c>
      <c r="O120" s="601"/>
      <c r="P120" s="601"/>
    </row>
    <row r="121" spans="1:16">
      <c r="A121" s="565">
        <f t="shared" si="21"/>
        <v>91</v>
      </c>
      <c r="B121" s="576" t="s">
        <v>148</v>
      </c>
      <c r="C121" s="600">
        <v>30</v>
      </c>
      <c r="D121" s="545">
        <f t="shared" si="26"/>
        <v>245</v>
      </c>
      <c r="E121" s="545">
        <f t="shared" si="22"/>
        <v>366</v>
      </c>
      <c r="F121" s="516">
        <f t="shared" si="24"/>
        <v>0.6693989071038251</v>
      </c>
      <c r="G121" s="512"/>
      <c r="H121" s="579">
        <v>0</v>
      </c>
      <c r="I121" s="513">
        <f t="shared" si="25"/>
        <v>0</v>
      </c>
      <c r="J121" s="513">
        <f t="shared" si="23"/>
        <v>0</v>
      </c>
      <c r="O121" s="601"/>
      <c r="P121" s="601"/>
    </row>
    <row r="122" spans="1:16">
      <c r="A122" s="565">
        <f t="shared" si="21"/>
        <v>92</v>
      </c>
      <c r="B122" s="576" t="s">
        <v>149</v>
      </c>
      <c r="C122" s="600">
        <v>31</v>
      </c>
      <c r="D122" s="545">
        <f t="shared" si="26"/>
        <v>214</v>
      </c>
      <c r="E122" s="545">
        <f t="shared" si="22"/>
        <v>366</v>
      </c>
      <c r="F122" s="516">
        <f t="shared" si="24"/>
        <v>0.58469945355191255</v>
      </c>
      <c r="G122" s="512"/>
      <c r="H122" s="579">
        <v>0</v>
      </c>
      <c r="I122" s="513">
        <f t="shared" si="25"/>
        <v>0</v>
      </c>
      <c r="J122" s="513">
        <f t="shared" si="23"/>
        <v>0</v>
      </c>
      <c r="O122" s="601"/>
      <c r="P122" s="601"/>
    </row>
    <row r="123" spans="1:16">
      <c r="A123" s="565">
        <f t="shared" si="21"/>
        <v>93</v>
      </c>
      <c r="B123" s="576" t="s">
        <v>150</v>
      </c>
      <c r="C123" s="600">
        <v>30</v>
      </c>
      <c r="D123" s="545">
        <f t="shared" si="26"/>
        <v>184</v>
      </c>
      <c r="E123" s="545">
        <f t="shared" si="22"/>
        <v>366</v>
      </c>
      <c r="F123" s="516">
        <f t="shared" si="24"/>
        <v>0.50273224043715847</v>
      </c>
      <c r="G123" s="512"/>
      <c r="H123" s="579">
        <v>0</v>
      </c>
      <c r="I123" s="513">
        <f t="shared" si="25"/>
        <v>0</v>
      </c>
      <c r="J123" s="513">
        <f t="shared" si="23"/>
        <v>0</v>
      </c>
      <c r="O123" s="601"/>
      <c r="P123" s="601"/>
    </row>
    <row r="124" spans="1:16">
      <c r="A124" s="565">
        <f t="shared" si="21"/>
        <v>94</v>
      </c>
      <c r="B124" s="576" t="s">
        <v>151</v>
      </c>
      <c r="C124" s="600">
        <v>31</v>
      </c>
      <c r="D124" s="545">
        <f t="shared" si="26"/>
        <v>153</v>
      </c>
      <c r="E124" s="545">
        <f t="shared" si="22"/>
        <v>366</v>
      </c>
      <c r="F124" s="516">
        <f t="shared" si="24"/>
        <v>0.41803278688524592</v>
      </c>
      <c r="G124" s="512"/>
      <c r="H124" s="579">
        <v>0</v>
      </c>
      <c r="I124" s="513">
        <f t="shared" si="25"/>
        <v>0</v>
      </c>
      <c r="J124" s="513">
        <f t="shared" si="23"/>
        <v>0</v>
      </c>
      <c r="O124" s="601"/>
      <c r="P124" s="601"/>
    </row>
    <row r="125" spans="1:16">
      <c r="A125" s="565">
        <f t="shared" si="21"/>
        <v>95</v>
      </c>
      <c r="B125" s="576" t="s">
        <v>398</v>
      </c>
      <c r="C125" s="600">
        <v>31</v>
      </c>
      <c r="D125" s="545">
        <f t="shared" si="26"/>
        <v>122</v>
      </c>
      <c r="E125" s="545">
        <f t="shared" si="22"/>
        <v>366</v>
      </c>
      <c r="F125" s="516">
        <f t="shared" si="24"/>
        <v>0.33333333333333331</v>
      </c>
      <c r="G125" s="512"/>
      <c r="H125" s="579">
        <v>0</v>
      </c>
      <c r="I125" s="513">
        <f t="shared" si="25"/>
        <v>0</v>
      </c>
      <c r="J125" s="513">
        <f t="shared" si="23"/>
        <v>0</v>
      </c>
      <c r="O125" s="601"/>
      <c r="P125" s="601"/>
    </row>
    <row r="126" spans="1:16">
      <c r="A126" s="565">
        <f t="shared" si="21"/>
        <v>96</v>
      </c>
      <c r="B126" s="576" t="s">
        <v>152</v>
      </c>
      <c r="C126" s="600">
        <v>30</v>
      </c>
      <c r="D126" s="545">
        <f t="shared" si="26"/>
        <v>92</v>
      </c>
      <c r="E126" s="545">
        <f t="shared" si="22"/>
        <v>366</v>
      </c>
      <c r="F126" s="516">
        <f t="shared" si="24"/>
        <v>0.25136612021857924</v>
      </c>
      <c r="G126" s="512"/>
      <c r="H126" s="579">
        <v>0</v>
      </c>
      <c r="I126" s="513">
        <f t="shared" si="25"/>
        <v>0</v>
      </c>
      <c r="J126" s="513">
        <f t="shared" si="23"/>
        <v>0</v>
      </c>
      <c r="O126" s="601"/>
      <c r="P126" s="601"/>
    </row>
    <row r="127" spans="1:16">
      <c r="A127" s="565">
        <f t="shared" si="21"/>
        <v>97</v>
      </c>
      <c r="B127" s="576" t="s">
        <v>153</v>
      </c>
      <c r="C127" s="600">
        <v>31</v>
      </c>
      <c r="D127" s="545">
        <f t="shared" si="26"/>
        <v>61</v>
      </c>
      <c r="E127" s="545">
        <f t="shared" si="22"/>
        <v>366</v>
      </c>
      <c r="F127" s="516">
        <f t="shared" si="24"/>
        <v>0.16666666666666666</v>
      </c>
      <c r="G127" s="512"/>
      <c r="H127" s="579">
        <v>0</v>
      </c>
      <c r="I127" s="513">
        <f t="shared" si="25"/>
        <v>0</v>
      </c>
      <c r="J127" s="513">
        <f t="shared" si="23"/>
        <v>0</v>
      </c>
      <c r="O127" s="601"/>
      <c r="P127" s="601"/>
    </row>
    <row r="128" spans="1:16">
      <c r="A128" s="565">
        <f t="shared" si="21"/>
        <v>98</v>
      </c>
      <c r="B128" s="576" t="s">
        <v>154</v>
      </c>
      <c r="C128" s="600">
        <v>30</v>
      </c>
      <c r="D128" s="545">
        <f t="shared" si="26"/>
        <v>31</v>
      </c>
      <c r="E128" s="545">
        <f t="shared" si="22"/>
        <v>366</v>
      </c>
      <c r="F128" s="516">
        <f t="shared" si="24"/>
        <v>8.4699453551912565E-2</v>
      </c>
      <c r="G128" s="512"/>
      <c r="H128" s="579">
        <v>0</v>
      </c>
      <c r="I128" s="513">
        <f t="shared" si="25"/>
        <v>0</v>
      </c>
      <c r="J128" s="513">
        <f t="shared" si="23"/>
        <v>0</v>
      </c>
      <c r="O128" s="601"/>
      <c r="P128" s="601"/>
    </row>
    <row r="129" spans="1:16">
      <c r="A129" s="565">
        <f t="shared" si="21"/>
        <v>99</v>
      </c>
      <c r="B129" s="576" t="s">
        <v>399</v>
      </c>
      <c r="C129" s="600">
        <v>31</v>
      </c>
      <c r="D129" s="545">
        <v>1</v>
      </c>
      <c r="E129" s="545">
        <f t="shared" si="22"/>
        <v>366</v>
      </c>
      <c r="F129" s="516">
        <f t="shared" si="24"/>
        <v>2.7322404371584699E-3</v>
      </c>
      <c r="G129" s="512"/>
      <c r="H129" s="579">
        <v>0</v>
      </c>
      <c r="I129" s="513">
        <f t="shared" si="25"/>
        <v>0</v>
      </c>
      <c r="J129" s="513">
        <f t="shared" si="23"/>
        <v>0</v>
      </c>
      <c r="O129" s="601"/>
      <c r="P129" s="601"/>
    </row>
    <row r="130" spans="1:16">
      <c r="A130" s="565">
        <f t="shared" si="21"/>
        <v>100</v>
      </c>
      <c r="B130" s="583"/>
      <c r="C130" s="583" t="s">
        <v>9</v>
      </c>
      <c r="D130" s="583"/>
      <c r="E130" s="583"/>
      <c r="F130" s="584"/>
      <c r="G130" s="577"/>
      <c r="H130" s="585">
        <f>SUM(H118:H129)</f>
        <v>0</v>
      </c>
      <c r="I130" s="585">
        <f>SUM(I118:I129)</f>
        <v>0</v>
      </c>
      <c r="J130" s="584"/>
    </row>
    <row r="131" spans="1:16">
      <c r="B131" s="586"/>
      <c r="C131" s="586"/>
      <c r="D131" s="586"/>
      <c r="E131" s="586"/>
      <c r="F131" s="587"/>
      <c r="G131" s="587"/>
      <c r="I131" s="588"/>
      <c r="J131" s="587"/>
    </row>
    <row r="132" spans="1:16">
      <c r="A132" s="565">
        <f>+A130+1</f>
        <v>101</v>
      </c>
      <c r="B132" s="565" t="s">
        <v>639</v>
      </c>
      <c r="F132" s="873" t="s">
        <v>1186</v>
      </c>
      <c r="G132" s="587"/>
      <c r="I132" s="587"/>
      <c r="J132" s="160">
        <f>'A3-ADIT'!D14</f>
        <v>-61775900</v>
      </c>
      <c r="N132" s="735"/>
    </row>
    <row r="133" spans="1:16">
      <c r="A133" s="565">
        <f>+A132+1</f>
        <v>102</v>
      </c>
      <c r="B133" s="565" t="s">
        <v>640</v>
      </c>
      <c r="F133" s="565" t="str">
        <f>"(Line "&amp;A132&amp;" less line "&amp;A134&amp;")"</f>
        <v>(Line 101 less line 103)</v>
      </c>
      <c r="G133" s="587"/>
      <c r="I133" s="587"/>
      <c r="J133" s="589">
        <f>+J132-J134</f>
        <v>-61775900</v>
      </c>
    </row>
    <row r="134" spans="1:16">
      <c r="A134" s="565">
        <f t="shared" ref="A134:A140" si="27">+A133+1</f>
        <v>103</v>
      </c>
      <c r="B134" s="565" t="s">
        <v>641</v>
      </c>
      <c r="F134" s="565" t="str">
        <f>"(Line "&amp;A117&amp;", Col H)"</f>
        <v>(Line 87, Col H)</v>
      </c>
      <c r="G134" s="587"/>
      <c r="I134" s="587"/>
      <c r="J134" s="578">
        <f>+J117</f>
        <v>0</v>
      </c>
    </row>
    <row r="135" spans="1:16">
      <c r="A135" s="565">
        <f t="shared" si="27"/>
        <v>104</v>
      </c>
      <c r="B135" s="565" t="s">
        <v>642</v>
      </c>
      <c r="F135" s="565" t="s">
        <v>1047</v>
      </c>
      <c r="G135" s="587"/>
      <c r="I135" s="587"/>
      <c r="J135" s="160">
        <f>'A3-ADIT'!E14</f>
        <v>-59213144</v>
      </c>
    </row>
    <row r="136" spans="1:16">
      <c r="A136" s="565">
        <f t="shared" si="27"/>
        <v>105</v>
      </c>
      <c r="B136" s="565" t="str">
        <f>+B133</f>
        <v>Less non Prorated Items</v>
      </c>
      <c r="F136" s="565" t="str">
        <f>"(Line "&amp;A135&amp;" less line "&amp;A137&amp;")"</f>
        <v>(Line 104 less line 106)</v>
      </c>
      <c r="G136" s="587"/>
      <c r="I136" s="587"/>
      <c r="J136" s="589">
        <f>+J135-J137</f>
        <v>-59213144</v>
      </c>
    </row>
    <row r="137" spans="1:16">
      <c r="A137" s="565">
        <f t="shared" si="27"/>
        <v>106</v>
      </c>
      <c r="B137" s="565" t="s">
        <v>643</v>
      </c>
      <c r="F137" s="565" t="str">
        <f>"(Line "&amp;A129&amp;", Col H)"</f>
        <v>(Line 99, Col H)</v>
      </c>
      <c r="G137" s="587"/>
      <c r="I137" s="587"/>
      <c r="J137" s="578">
        <f>+J129</f>
        <v>0</v>
      </c>
    </row>
    <row r="138" spans="1:16">
      <c r="A138" s="565">
        <f t="shared" si="27"/>
        <v>107</v>
      </c>
      <c r="B138" s="565" t="s">
        <v>588</v>
      </c>
      <c r="F138" s="565" t="str">
        <f>"([Lines "&amp;A134&amp;" + "&amp;A137&amp;"] /2)+([Lines "&amp;A133&amp;" +"&amp;A136&amp;")/2])"</f>
        <v>([Lines 103 + 106] /2)+([Lines 102 +105)/2])</v>
      </c>
      <c r="G138" s="587"/>
      <c r="I138" s="574"/>
      <c r="J138" s="590">
        <f>(J134+J137)/2+(J133+J136)/2</f>
        <v>-60494522</v>
      </c>
    </row>
    <row r="139" spans="1:16">
      <c r="A139" s="565">
        <f t="shared" si="27"/>
        <v>108</v>
      </c>
      <c r="B139" s="565" t="s">
        <v>1043</v>
      </c>
      <c r="G139" s="587"/>
      <c r="I139" s="574"/>
      <c r="J139" s="600">
        <v>0</v>
      </c>
    </row>
    <row r="140" spans="1:16">
      <c r="A140" s="565">
        <f t="shared" si="27"/>
        <v>109</v>
      </c>
      <c r="B140" s="565" t="s">
        <v>652</v>
      </c>
      <c r="F140" s="565" t="s">
        <v>1048</v>
      </c>
      <c r="J140" s="591">
        <f>+J138</f>
        <v>-60494522</v>
      </c>
    </row>
    <row r="141" spans="1:16">
      <c r="A141" s="984" t="str">
        <f>A39</f>
        <v>Worksheet P5</v>
      </c>
      <c r="B141" s="984"/>
      <c r="C141" s="984"/>
      <c r="D141" s="984"/>
      <c r="E141" s="984"/>
      <c r="F141" s="984"/>
      <c r="G141" s="984"/>
      <c r="H141" s="984"/>
      <c r="I141" s="984"/>
      <c r="J141" s="984"/>
      <c r="K141" s="984"/>
    </row>
    <row r="142" spans="1:16">
      <c r="A142" s="984" t="str">
        <f>"Excess "&amp;A40</f>
        <v>Excess Accumulated Deferred Income Taxes</v>
      </c>
      <c r="B142" s="984"/>
      <c r="C142" s="984"/>
      <c r="D142" s="984"/>
      <c r="E142" s="984"/>
      <c r="F142" s="984"/>
      <c r="G142" s="984"/>
      <c r="H142" s="984"/>
      <c r="I142" s="984"/>
      <c r="J142" s="984"/>
      <c r="K142" s="984"/>
    </row>
    <row r="143" spans="1:16">
      <c r="A143" s="984" t="str">
        <f>A41</f>
        <v>Black Hills Colorado Electric, LLC</v>
      </c>
      <c r="B143" s="984"/>
      <c r="C143" s="984"/>
      <c r="D143" s="984"/>
      <c r="E143" s="984"/>
      <c r="F143" s="984"/>
      <c r="G143" s="984"/>
      <c r="H143" s="984"/>
      <c r="I143" s="984"/>
      <c r="J143" s="984"/>
      <c r="K143" s="984"/>
    </row>
    <row r="144" spans="1:16">
      <c r="J144" s="567" t="s">
        <v>728</v>
      </c>
    </row>
    <row r="145" spans="1:16">
      <c r="A145" s="602"/>
      <c r="B145" s="602"/>
      <c r="C145" s="602"/>
      <c r="D145" s="602"/>
      <c r="E145" s="602"/>
      <c r="F145" s="602"/>
      <c r="G145" s="602"/>
      <c r="H145" s="602"/>
    </row>
    <row r="146" spans="1:16">
      <c r="A146" s="565">
        <f>A140+1</f>
        <v>110</v>
      </c>
      <c r="B146" s="568" t="s">
        <v>836</v>
      </c>
      <c r="H146" s="569"/>
      <c r="I146" s="569"/>
      <c r="J146" s="569"/>
    </row>
    <row r="147" spans="1:16">
      <c r="A147" s="565">
        <f>+A146+1</f>
        <v>111</v>
      </c>
      <c r="B147" s="981" t="s">
        <v>629</v>
      </c>
      <c r="C147" s="982"/>
      <c r="D147" s="982"/>
      <c r="E147" s="982"/>
      <c r="F147" s="983"/>
      <c r="G147" s="571"/>
      <c r="H147" s="981" t="s">
        <v>630</v>
      </c>
      <c r="I147" s="982"/>
      <c r="J147" s="983"/>
    </row>
    <row r="148" spans="1:16">
      <c r="B148" s="572" t="s">
        <v>76</v>
      </c>
      <c r="C148" s="572" t="s">
        <v>77</v>
      </c>
      <c r="D148" s="572" t="s">
        <v>78</v>
      </c>
      <c r="E148" s="572" t="s">
        <v>79</v>
      </c>
      <c r="F148" s="572" t="s">
        <v>80</v>
      </c>
      <c r="G148" s="571"/>
      <c r="H148" s="572" t="s">
        <v>81</v>
      </c>
      <c r="I148" s="572" t="s">
        <v>82</v>
      </c>
      <c r="J148" s="572" t="s">
        <v>343</v>
      </c>
    </row>
    <row r="149" spans="1:16" ht="52.8">
      <c r="A149" s="565">
        <f>+A147+1</f>
        <v>112</v>
      </c>
      <c r="B149" s="573" t="s">
        <v>219</v>
      </c>
      <c r="C149" s="573" t="s">
        <v>631</v>
      </c>
      <c r="D149" s="573" t="s">
        <v>632</v>
      </c>
      <c r="E149" s="573" t="s">
        <v>633</v>
      </c>
      <c r="F149" s="573" t="s">
        <v>634</v>
      </c>
      <c r="G149" s="574"/>
      <c r="H149" s="573" t="s">
        <v>635</v>
      </c>
      <c r="I149" s="573" t="s">
        <v>636</v>
      </c>
      <c r="J149" s="573" t="s">
        <v>637</v>
      </c>
    </row>
    <row r="150" spans="1:16" ht="39.6">
      <c r="A150" s="565">
        <f t="shared" ref="A150:A164" si="28">+A149+1</f>
        <v>113</v>
      </c>
      <c r="C150" s="574"/>
      <c r="D150" s="574"/>
      <c r="E150" s="574"/>
      <c r="F150" s="574"/>
      <c r="G150" s="574"/>
      <c r="H150" s="872" t="s">
        <v>1185</v>
      </c>
      <c r="I150" s="574"/>
      <c r="J150" s="574"/>
    </row>
    <row r="151" spans="1:16">
      <c r="A151" s="565">
        <f t="shared" si="28"/>
        <v>114</v>
      </c>
      <c r="B151" s="575" t="s">
        <v>638</v>
      </c>
      <c r="C151" s="576"/>
      <c r="D151" s="577"/>
      <c r="E151" s="577"/>
      <c r="F151" s="577"/>
      <c r="G151" s="577"/>
      <c r="H151" s="578"/>
      <c r="I151" s="578"/>
      <c r="J151" s="579"/>
    </row>
    <row r="152" spans="1:16">
      <c r="A152" s="565">
        <f t="shared" si="28"/>
        <v>115</v>
      </c>
      <c r="B152" s="576" t="s">
        <v>146</v>
      </c>
      <c r="C152" s="600">
        <v>31</v>
      </c>
      <c r="D152" s="545">
        <f>E152-C152</f>
        <v>335</v>
      </c>
      <c r="E152" s="545">
        <f t="shared" ref="E152:E163" si="29">$E$12</f>
        <v>366</v>
      </c>
      <c r="F152" s="516">
        <f>IF(E152=0,0,D152/E152)</f>
        <v>0.91530054644808745</v>
      </c>
      <c r="G152" s="512"/>
      <c r="H152" s="160">
        <f>'A3.1-EDIT-DDIT'!$G$41/12</f>
        <v>120632.32722661317</v>
      </c>
      <c r="I152" s="513">
        <f>+H152*F152</f>
        <v>110414.83502982353</v>
      </c>
      <c r="J152" s="543">
        <f t="shared" ref="J152:J163" si="30">+I152+J151</f>
        <v>110414.83502982353</v>
      </c>
      <c r="N152" s="735"/>
      <c r="O152" s="601"/>
      <c r="P152" s="601"/>
    </row>
    <row r="153" spans="1:16">
      <c r="A153" s="565">
        <f t="shared" si="28"/>
        <v>116</v>
      </c>
      <c r="B153" s="576" t="s">
        <v>147</v>
      </c>
      <c r="C153" s="545">
        <f>C13</f>
        <v>29</v>
      </c>
      <c r="D153" s="545">
        <f>D152-C153</f>
        <v>306</v>
      </c>
      <c r="E153" s="545">
        <f t="shared" si="29"/>
        <v>366</v>
      </c>
      <c r="F153" s="516">
        <f t="shared" ref="F153:F163" si="31">IF(E153=0,0,D153/E153)</f>
        <v>0.83606557377049184</v>
      </c>
      <c r="G153" s="512"/>
      <c r="H153" s="160">
        <f>'A3.1-EDIT-DDIT'!$G$41/12</f>
        <v>120632.32722661317</v>
      </c>
      <c r="I153" s="513">
        <f t="shared" ref="I153:I163" si="32">+H153*F153</f>
        <v>100856.53587798806</v>
      </c>
      <c r="J153" s="543">
        <f t="shared" si="30"/>
        <v>211271.37090781159</v>
      </c>
      <c r="N153" s="735"/>
      <c r="O153" s="601"/>
      <c r="P153" s="601"/>
    </row>
    <row r="154" spans="1:16">
      <c r="A154" s="565">
        <f t="shared" si="28"/>
        <v>117</v>
      </c>
      <c r="B154" s="576" t="s">
        <v>397</v>
      </c>
      <c r="C154" s="600">
        <v>31</v>
      </c>
      <c r="D154" s="545">
        <f t="shared" ref="D154:D162" si="33">D153-C154</f>
        <v>275</v>
      </c>
      <c r="E154" s="545">
        <f t="shared" si="29"/>
        <v>366</v>
      </c>
      <c r="F154" s="516">
        <f t="shared" si="31"/>
        <v>0.75136612021857918</v>
      </c>
      <c r="G154" s="512"/>
      <c r="H154" s="160">
        <f>'A3.1-EDIT-DDIT'!$G$41/12</f>
        <v>120632.32722661317</v>
      </c>
      <c r="I154" s="513">
        <f t="shared" si="32"/>
        <v>90639.043681198411</v>
      </c>
      <c r="J154" s="543">
        <f t="shared" si="30"/>
        <v>301910.41458901</v>
      </c>
      <c r="N154" s="735"/>
      <c r="O154" s="601"/>
      <c r="P154" s="601"/>
    </row>
    <row r="155" spans="1:16">
      <c r="A155" s="565">
        <f t="shared" si="28"/>
        <v>118</v>
      </c>
      <c r="B155" s="576" t="s">
        <v>148</v>
      </c>
      <c r="C155" s="600">
        <v>30</v>
      </c>
      <c r="D155" s="545">
        <f t="shared" si="33"/>
        <v>245</v>
      </c>
      <c r="E155" s="545">
        <f t="shared" si="29"/>
        <v>366</v>
      </c>
      <c r="F155" s="516">
        <f t="shared" si="31"/>
        <v>0.6693989071038251</v>
      </c>
      <c r="G155" s="512"/>
      <c r="H155" s="160">
        <f>'A3.1-EDIT-DDIT'!$G$41/12</f>
        <v>120632.32722661317</v>
      </c>
      <c r="I155" s="513">
        <f t="shared" si="32"/>
        <v>80751.148006885865</v>
      </c>
      <c r="J155" s="543">
        <f t="shared" si="30"/>
        <v>382661.56259589584</v>
      </c>
      <c r="N155" s="735"/>
      <c r="O155" s="601"/>
      <c r="P155" s="601"/>
    </row>
    <row r="156" spans="1:16">
      <c r="A156" s="565">
        <f t="shared" si="28"/>
        <v>119</v>
      </c>
      <c r="B156" s="576" t="s">
        <v>149</v>
      </c>
      <c r="C156" s="600">
        <v>31</v>
      </c>
      <c r="D156" s="545">
        <f t="shared" si="33"/>
        <v>214</v>
      </c>
      <c r="E156" s="545">
        <f t="shared" si="29"/>
        <v>366</v>
      </c>
      <c r="F156" s="516">
        <f t="shared" si="31"/>
        <v>0.58469945355191255</v>
      </c>
      <c r="G156" s="512"/>
      <c r="H156" s="160">
        <f>'A3.1-EDIT-DDIT'!$G$41/12</f>
        <v>120632.32722661317</v>
      </c>
      <c r="I156" s="513">
        <f t="shared" si="32"/>
        <v>70533.655810096228</v>
      </c>
      <c r="J156" s="543">
        <f t="shared" si="30"/>
        <v>453195.21840599208</v>
      </c>
      <c r="N156" s="735"/>
      <c r="O156" s="601"/>
      <c r="P156" s="601"/>
    </row>
    <row r="157" spans="1:16">
      <c r="A157" s="565">
        <f t="shared" si="28"/>
        <v>120</v>
      </c>
      <c r="B157" s="576" t="s">
        <v>150</v>
      </c>
      <c r="C157" s="600">
        <v>30</v>
      </c>
      <c r="D157" s="545">
        <f t="shared" si="33"/>
        <v>184</v>
      </c>
      <c r="E157" s="545">
        <f t="shared" si="29"/>
        <v>366</v>
      </c>
      <c r="F157" s="516">
        <f t="shared" si="31"/>
        <v>0.50273224043715847</v>
      </c>
      <c r="G157" s="512"/>
      <c r="H157" s="160">
        <f>'A3.1-EDIT-DDIT'!$G$41/12</f>
        <v>120632.32722661317</v>
      </c>
      <c r="I157" s="513">
        <f t="shared" si="32"/>
        <v>60645.760135783668</v>
      </c>
      <c r="J157" s="543">
        <f t="shared" si="30"/>
        <v>513840.97854177572</v>
      </c>
      <c r="N157" s="735"/>
      <c r="O157" s="601"/>
      <c r="P157" s="601"/>
    </row>
    <row r="158" spans="1:16">
      <c r="A158" s="565">
        <f t="shared" si="28"/>
        <v>121</v>
      </c>
      <c r="B158" s="576" t="s">
        <v>151</v>
      </c>
      <c r="C158" s="600">
        <v>31</v>
      </c>
      <c r="D158" s="545">
        <f t="shared" si="33"/>
        <v>153</v>
      </c>
      <c r="E158" s="545">
        <f t="shared" si="29"/>
        <v>366</v>
      </c>
      <c r="F158" s="516">
        <f t="shared" si="31"/>
        <v>0.41803278688524592</v>
      </c>
      <c r="G158" s="512"/>
      <c r="H158" s="160">
        <f>'A3.1-EDIT-DDIT'!$G$41/12</f>
        <v>120632.32722661317</v>
      </c>
      <c r="I158" s="513">
        <f t="shared" si="32"/>
        <v>50428.267938994031</v>
      </c>
      <c r="J158" s="543">
        <f t="shared" si="30"/>
        <v>564269.24648076971</v>
      </c>
      <c r="N158" s="735"/>
      <c r="O158" s="601"/>
      <c r="P158" s="601"/>
    </row>
    <row r="159" spans="1:16">
      <c r="A159" s="565">
        <f t="shared" si="28"/>
        <v>122</v>
      </c>
      <c r="B159" s="576" t="s">
        <v>398</v>
      </c>
      <c r="C159" s="600">
        <v>31</v>
      </c>
      <c r="D159" s="545">
        <f t="shared" si="33"/>
        <v>122</v>
      </c>
      <c r="E159" s="545">
        <f t="shared" si="29"/>
        <v>366</v>
      </c>
      <c r="F159" s="516">
        <f t="shared" si="31"/>
        <v>0.33333333333333331</v>
      </c>
      <c r="G159" s="512"/>
      <c r="H159" s="160">
        <f>'A3.1-EDIT-DDIT'!$G$41/12</f>
        <v>120632.32722661317</v>
      </c>
      <c r="I159" s="513">
        <f t="shared" si="32"/>
        <v>40210.775742204387</v>
      </c>
      <c r="J159" s="543">
        <f t="shared" si="30"/>
        <v>604480.0222229741</v>
      </c>
      <c r="N159" s="735"/>
      <c r="O159" s="601"/>
      <c r="P159" s="601"/>
    </row>
    <row r="160" spans="1:16">
      <c r="A160" s="565">
        <f t="shared" si="28"/>
        <v>123</v>
      </c>
      <c r="B160" s="576" t="s">
        <v>152</v>
      </c>
      <c r="C160" s="600">
        <v>30</v>
      </c>
      <c r="D160" s="545">
        <f t="shared" si="33"/>
        <v>92</v>
      </c>
      <c r="E160" s="545">
        <f t="shared" si="29"/>
        <v>366</v>
      </c>
      <c r="F160" s="516">
        <f t="shared" si="31"/>
        <v>0.25136612021857924</v>
      </c>
      <c r="G160" s="512"/>
      <c r="H160" s="160">
        <f>'A3.1-EDIT-DDIT'!$G$41/12</f>
        <v>120632.32722661317</v>
      </c>
      <c r="I160" s="513">
        <f t="shared" si="32"/>
        <v>30322.880067891834</v>
      </c>
      <c r="J160" s="543">
        <f t="shared" si="30"/>
        <v>634802.9022908659</v>
      </c>
      <c r="N160" s="735"/>
      <c r="O160" s="601"/>
      <c r="P160" s="601"/>
    </row>
    <row r="161" spans="1:16">
      <c r="A161" s="565">
        <f t="shared" si="28"/>
        <v>124</v>
      </c>
      <c r="B161" s="576" t="s">
        <v>153</v>
      </c>
      <c r="C161" s="600">
        <v>31</v>
      </c>
      <c r="D161" s="545">
        <f t="shared" si="33"/>
        <v>61</v>
      </c>
      <c r="E161" s="545">
        <f t="shared" si="29"/>
        <v>366</v>
      </c>
      <c r="F161" s="516">
        <f t="shared" si="31"/>
        <v>0.16666666666666666</v>
      </c>
      <c r="G161" s="512"/>
      <c r="H161" s="160">
        <f>'A3.1-EDIT-DDIT'!$G$41/12</f>
        <v>120632.32722661317</v>
      </c>
      <c r="I161" s="513">
        <f t="shared" si="32"/>
        <v>20105.387871102193</v>
      </c>
      <c r="J161" s="543">
        <f t="shared" si="30"/>
        <v>654908.29016196809</v>
      </c>
      <c r="N161" s="735"/>
      <c r="O161" s="601"/>
      <c r="P161" s="601"/>
    </row>
    <row r="162" spans="1:16">
      <c r="A162" s="565">
        <f t="shared" si="28"/>
        <v>125</v>
      </c>
      <c r="B162" s="576" t="s">
        <v>154</v>
      </c>
      <c r="C162" s="600">
        <v>30</v>
      </c>
      <c r="D162" s="545">
        <f t="shared" si="33"/>
        <v>31</v>
      </c>
      <c r="E162" s="545">
        <f t="shared" si="29"/>
        <v>366</v>
      </c>
      <c r="F162" s="516">
        <f t="shared" si="31"/>
        <v>8.4699453551912565E-2</v>
      </c>
      <c r="G162" s="512"/>
      <c r="H162" s="160">
        <f>'A3.1-EDIT-DDIT'!$G$41/12</f>
        <v>120632.32722661317</v>
      </c>
      <c r="I162" s="513">
        <f t="shared" si="32"/>
        <v>10217.492196789639</v>
      </c>
      <c r="J162" s="543">
        <f t="shared" si="30"/>
        <v>665125.78235875769</v>
      </c>
      <c r="N162" s="735"/>
      <c r="O162" s="601"/>
      <c r="P162" s="601"/>
    </row>
    <row r="163" spans="1:16">
      <c r="A163" s="565">
        <f t="shared" si="28"/>
        <v>126</v>
      </c>
      <c r="B163" s="576" t="s">
        <v>399</v>
      </c>
      <c r="C163" s="600">
        <v>31</v>
      </c>
      <c r="D163" s="545">
        <v>1</v>
      </c>
      <c r="E163" s="545">
        <f t="shared" si="29"/>
        <v>366</v>
      </c>
      <c r="F163" s="516">
        <f t="shared" si="31"/>
        <v>2.7322404371584699E-3</v>
      </c>
      <c r="G163" s="512"/>
      <c r="H163" s="160">
        <f>'A3.1-EDIT-DDIT'!$G$41/12</f>
        <v>120632.32722661317</v>
      </c>
      <c r="I163" s="513">
        <f t="shared" si="32"/>
        <v>329.59652247708516</v>
      </c>
      <c r="J163" s="543">
        <f t="shared" si="30"/>
        <v>665455.37888123479</v>
      </c>
      <c r="L163" s="599"/>
      <c r="N163" s="735"/>
      <c r="O163" s="601"/>
      <c r="P163" s="601"/>
    </row>
    <row r="164" spans="1:16">
      <c r="A164" s="565">
        <f t="shared" si="28"/>
        <v>127</v>
      </c>
      <c r="B164" s="583"/>
      <c r="C164" s="583" t="s">
        <v>9</v>
      </c>
      <c r="D164" s="583"/>
      <c r="E164" s="583"/>
      <c r="F164" s="584"/>
      <c r="G164" s="577"/>
      <c r="H164" s="585">
        <f>SUM(H152:H163)</f>
        <v>1447587.926719358</v>
      </c>
      <c r="I164" s="585">
        <f>SUM(I152:I163)</f>
        <v>665455.37888123479</v>
      </c>
      <c r="J164" s="584"/>
    </row>
    <row r="165" spans="1:16">
      <c r="B165" s="586"/>
      <c r="C165" s="586"/>
      <c r="D165" s="586"/>
      <c r="E165" s="586"/>
      <c r="F165" s="587"/>
      <c r="G165" s="587"/>
      <c r="I165" s="606"/>
      <c r="J165" s="587"/>
    </row>
    <row r="166" spans="1:16">
      <c r="A166" s="565">
        <f>+A164+1</f>
        <v>128</v>
      </c>
      <c r="B166" s="565" t="s">
        <v>729</v>
      </c>
      <c r="F166" s="565" t="s">
        <v>1006</v>
      </c>
      <c r="G166" s="587"/>
      <c r="I166" s="587"/>
      <c r="J166" s="160">
        <f>'A3.1-EDIT-DDIT'!I41</f>
        <v>-37619237.490000002</v>
      </c>
      <c r="M166" s="599"/>
      <c r="N166" s="735"/>
    </row>
    <row r="167" spans="1:16">
      <c r="A167" s="565">
        <f t="shared" ref="A167:A175" si="34">+A166+1</f>
        <v>129</v>
      </c>
      <c r="B167" s="565" t="s">
        <v>673</v>
      </c>
      <c r="F167" s="565" t="s">
        <v>1007</v>
      </c>
      <c r="G167" s="587"/>
      <c r="I167" s="587"/>
      <c r="J167" s="160">
        <f>'A3.1-EDIT-DDIT'!G41</f>
        <v>1447587.926719358</v>
      </c>
      <c r="N167" s="735"/>
    </row>
    <row r="168" spans="1:16">
      <c r="A168" s="565">
        <f t="shared" si="34"/>
        <v>130</v>
      </c>
      <c r="B168" s="565" t="s">
        <v>730</v>
      </c>
      <c r="F168" s="565" t="s">
        <v>1097</v>
      </c>
      <c r="G168" s="587"/>
      <c r="I168" s="587"/>
      <c r="J168" s="600">
        <f>J166+J167</f>
        <v>-36171649.563280642</v>
      </c>
    </row>
    <row r="169" spans="1:16">
      <c r="A169" s="565">
        <f t="shared" si="34"/>
        <v>131</v>
      </c>
      <c r="B169" s="565" t="s">
        <v>731</v>
      </c>
      <c r="F169" s="575" t="s">
        <v>1098</v>
      </c>
      <c r="G169" s="587"/>
      <c r="I169" s="587"/>
      <c r="J169" s="589">
        <f>J168</f>
        <v>-36171649.563280642</v>
      </c>
      <c r="L169" s="575"/>
    </row>
    <row r="170" spans="1:16">
      <c r="A170" s="565">
        <f t="shared" si="34"/>
        <v>132</v>
      </c>
      <c r="B170" s="565" t="s">
        <v>643</v>
      </c>
      <c r="F170" s="565" t="s">
        <v>1099</v>
      </c>
      <c r="G170" s="587"/>
      <c r="I170" s="574"/>
      <c r="J170" s="590">
        <f>J163</f>
        <v>665455.37888123479</v>
      </c>
    </row>
    <row r="171" spans="1:16">
      <c r="A171" s="565">
        <f t="shared" si="34"/>
        <v>133</v>
      </c>
      <c r="B171" s="565" t="s">
        <v>674</v>
      </c>
      <c r="F171" s="565" t="s">
        <v>1100</v>
      </c>
      <c r="G171" s="587"/>
      <c r="I171" s="574"/>
      <c r="J171" s="600">
        <f>J169+J170</f>
        <v>-35506194.184399404</v>
      </c>
    </row>
    <row r="172" spans="1:16">
      <c r="A172" s="565">
        <f t="shared" si="34"/>
        <v>134</v>
      </c>
      <c r="B172" s="565" t="s">
        <v>1043</v>
      </c>
      <c r="G172" s="587"/>
      <c r="I172" s="574"/>
      <c r="J172" s="600">
        <v>0</v>
      </c>
    </row>
    <row r="173" spans="1:16">
      <c r="A173" s="565">
        <f t="shared" si="34"/>
        <v>135</v>
      </c>
      <c r="B173" s="565" t="s">
        <v>735</v>
      </c>
      <c r="F173" s="565" t="s">
        <v>1101</v>
      </c>
      <c r="J173" s="601">
        <f>J171</f>
        <v>-35506194.184399404</v>
      </c>
    </row>
    <row r="174" spans="1:16">
      <c r="A174" s="565">
        <f t="shared" si="34"/>
        <v>136</v>
      </c>
      <c r="B174" s="833" t="s">
        <v>910</v>
      </c>
      <c r="F174" s="123" t="s">
        <v>908</v>
      </c>
      <c r="J174" s="835">
        <f>'A3.1-EDIT-DDIT'!O45</f>
        <v>0.22680814926774853</v>
      </c>
    </row>
    <row r="175" spans="1:16">
      <c r="A175" s="565">
        <f t="shared" si="34"/>
        <v>137</v>
      </c>
      <c r="B175" s="568" t="s">
        <v>652</v>
      </c>
      <c r="F175" s="565" t="s">
        <v>1049</v>
      </c>
      <c r="J175" s="591">
        <f>J173*J174</f>
        <v>-8053094.1905049244</v>
      </c>
      <c r="L175" s="599"/>
      <c r="M175" s="601"/>
      <c r="N175" s="599"/>
    </row>
    <row r="176" spans="1:16">
      <c r="J176" s="604"/>
      <c r="M176" s="599"/>
      <c r="N176" s="599"/>
    </row>
    <row r="177" spans="10:12">
      <c r="J177" s="605"/>
      <c r="L177" s="605"/>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65"/>
  <sheetViews>
    <sheetView tabSelected="1" zoomScale="80" zoomScaleNormal="80" workbookViewId="0">
      <selection activeCell="H31" sqref="H31"/>
    </sheetView>
  </sheetViews>
  <sheetFormatPr defaultColWidth="8.6328125" defaultRowHeight="13.2"/>
  <cols>
    <col min="1" max="1" width="4.1796875" style="93" customWidth="1"/>
    <col min="2" max="2" width="40.08984375" style="93" customWidth="1"/>
    <col min="3" max="3" width="40.36328125" style="93" customWidth="1"/>
    <col min="4" max="4" width="14.08984375" style="93" customWidth="1"/>
    <col min="5" max="5" width="5.90625" style="93" customWidth="1"/>
    <col min="6" max="6" width="3.54296875" style="93" customWidth="1"/>
    <col min="7" max="7" width="11.54296875" style="93" customWidth="1"/>
    <col min="8" max="8" width="3.1796875" style="93" bestFit="1" customWidth="1"/>
    <col min="9" max="9" width="11.81640625" style="93" customWidth="1"/>
    <col min="10" max="10" width="1.453125" style="93" customWidth="1"/>
    <col min="11" max="11" width="6.54296875" style="93" customWidth="1"/>
    <col min="12" max="12" width="8.6328125" style="93"/>
    <col min="13" max="14" width="10.6328125" style="93" customWidth="1"/>
    <col min="15" max="15" width="9.1796875" style="93" bestFit="1" customWidth="1"/>
    <col min="16" max="16" width="8.6328125" style="93"/>
    <col min="17" max="17" width="10.1796875" style="93" customWidth="1"/>
    <col min="18" max="18" width="8.6328125" style="93"/>
    <col min="19" max="19" width="10.1796875" style="93" customWidth="1"/>
    <col min="20" max="16384" width="8.6328125" style="93"/>
  </cols>
  <sheetData>
    <row r="1" spans="1:11">
      <c r="B1" s="62"/>
      <c r="C1" s="62"/>
      <c r="D1" s="94"/>
      <c r="E1" s="62"/>
      <c r="F1" s="62"/>
      <c r="G1" s="62"/>
      <c r="H1" s="62"/>
      <c r="I1" s="912" t="s">
        <v>369</v>
      </c>
      <c r="J1" s="912"/>
      <c r="K1" s="912"/>
    </row>
    <row r="2" spans="1:11">
      <c r="B2" s="62"/>
      <c r="C2" s="62"/>
      <c r="D2" s="94"/>
      <c r="E2" s="62"/>
      <c r="F2" s="62"/>
      <c r="G2" s="62"/>
      <c r="H2" s="62"/>
      <c r="I2" s="62"/>
      <c r="J2" s="911" t="s">
        <v>193</v>
      </c>
      <c r="K2" s="911"/>
    </row>
    <row r="3" spans="1:11">
      <c r="B3" s="62"/>
      <c r="D3" s="94"/>
      <c r="E3" s="62"/>
      <c r="F3" s="62"/>
      <c r="G3" s="62"/>
      <c r="H3" s="62"/>
      <c r="I3" s="62"/>
      <c r="J3" s="62"/>
      <c r="K3" s="95"/>
    </row>
    <row r="4" spans="1:11">
      <c r="B4" s="94" t="s">
        <v>0</v>
      </c>
      <c r="C4" s="68" t="s">
        <v>112</v>
      </c>
      <c r="E4" s="62"/>
      <c r="F4" s="62"/>
      <c r="G4" s="62"/>
      <c r="H4" s="62"/>
      <c r="I4" s="62"/>
      <c r="J4" s="62"/>
      <c r="K4" s="96" t="s">
        <v>1267</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912</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'Act Att-H'!I156</f>
        <v>32080123.190769956</v>
      </c>
      <c r="J10" s="62"/>
      <c r="K10" s="62"/>
    </row>
    <row r="11" spans="1:11">
      <c r="A11" s="68"/>
      <c r="B11" s="62"/>
      <c r="C11" s="62"/>
      <c r="D11" s="62"/>
      <c r="E11" s="62"/>
      <c r="F11" s="62"/>
      <c r="G11" s="62"/>
      <c r="H11" s="62"/>
      <c r="I11" s="97"/>
      <c r="J11" s="62"/>
      <c r="K11" s="62"/>
    </row>
    <row r="12" spans="1:11" ht="15.75" customHeight="1" thickBot="1">
      <c r="A12" s="68" t="s">
        <v>2</v>
      </c>
      <c r="B12" s="62" t="s">
        <v>8</v>
      </c>
      <c r="C12" s="97" t="s">
        <v>355</v>
      </c>
      <c r="D12" s="101" t="s">
        <v>9</v>
      </c>
      <c r="E12" s="97"/>
      <c r="F12" s="913" t="s">
        <v>10</v>
      </c>
      <c r="G12" s="913"/>
      <c r="H12" s="62"/>
      <c r="I12" s="97"/>
      <c r="J12" s="62"/>
      <c r="K12" s="62"/>
    </row>
    <row r="13" spans="1:11">
      <c r="A13" s="68">
        <v>2</v>
      </c>
      <c r="B13" s="62" t="s">
        <v>12</v>
      </c>
      <c r="C13" s="97" t="s">
        <v>496</v>
      </c>
      <c r="D13" s="160">
        <f>'A1-RevCred'!J14</f>
        <v>1166.4899168608256</v>
      </c>
      <c r="E13" s="97"/>
      <c r="F13" s="105" t="s">
        <v>290</v>
      </c>
      <c r="G13" s="104">
        <v>1</v>
      </c>
      <c r="H13" s="97"/>
      <c r="I13" s="54">
        <f>+G13*D13</f>
        <v>1166.4899168608256</v>
      </c>
      <c r="J13" s="62"/>
      <c r="K13" s="62"/>
    </row>
    <row r="14" spans="1:11">
      <c r="A14" s="68">
        <v>3</v>
      </c>
      <c r="B14" s="62" t="s">
        <v>102</v>
      </c>
      <c r="C14" s="97" t="s">
        <v>609</v>
      </c>
      <c r="D14" s="160">
        <f>'A1-RevCred'!F50</f>
        <v>1170542.6399999997</v>
      </c>
      <c r="E14" s="97"/>
      <c r="F14" s="105" t="s">
        <v>290</v>
      </c>
      <c r="G14" s="104">
        <v>1</v>
      </c>
      <c r="H14" s="97"/>
      <c r="I14" s="54">
        <f>+G14*D14</f>
        <v>1170542.6399999997</v>
      </c>
      <c r="J14" s="62"/>
      <c r="K14" s="62"/>
    </row>
    <row r="15" spans="1:11">
      <c r="A15" s="68">
        <v>4</v>
      </c>
      <c r="B15" s="162" t="s">
        <v>441</v>
      </c>
      <c r="C15" s="97"/>
      <c r="D15" s="161"/>
      <c r="E15" s="97"/>
      <c r="F15" s="105"/>
      <c r="G15" s="104"/>
      <c r="H15" s="97"/>
      <c r="I15" s="54"/>
      <c r="J15" s="62"/>
      <c r="K15" s="62"/>
    </row>
    <row r="16" spans="1:11" ht="13.8" thickBot="1">
      <c r="A16" s="68">
        <v>5</v>
      </c>
      <c r="B16" s="162" t="s">
        <v>441</v>
      </c>
      <c r="C16" s="97"/>
      <c r="D16" s="161"/>
      <c r="E16" s="97"/>
      <c r="F16" s="105"/>
      <c r="G16" s="104"/>
      <c r="H16" s="97"/>
      <c r="I16" s="55"/>
      <c r="J16" s="62"/>
      <c r="K16" s="62"/>
    </row>
    <row r="17" spans="1:11">
      <c r="A17" s="68">
        <v>6</v>
      </c>
      <c r="B17" s="62" t="s">
        <v>88</v>
      </c>
      <c r="C17" s="62"/>
      <c r="D17" s="107" t="s">
        <v>2</v>
      </c>
      <c r="E17" s="97"/>
      <c r="F17" s="97"/>
      <c r="G17" s="108"/>
      <c r="H17" s="97"/>
      <c r="I17" s="54">
        <f>SUM(I13:I16)</f>
        <v>1171709.1299168605</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30908414.060853094</v>
      </c>
      <c r="J19" s="62"/>
      <c r="K19" s="62"/>
    </row>
    <row r="20" spans="1:11" ht="13.8" thickTop="1">
      <c r="A20" s="68"/>
      <c r="B20" s="62"/>
      <c r="C20" s="62"/>
      <c r="D20" s="107"/>
      <c r="E20" s="97"/>
      <c r="F20" s="97"/>
      <c r="G20" s="97"/>
      <c r="H20" s="97"/>
      <c r="I20" s="394"/>
      <c r="J20" s="62"/>
      <c r="K20" s="62"/>
    </row>
    <row r="21" spans="1:11">
      <c r="A21" s="68"/>
      <c r="B21" s="62" t="s">
        <v>14</v>
      </c>
      <c r="C21" s="62"/>
      <c r="D21" s="97"/>
      <c r="E21" s="62"/>
      <c r="F21" s="62"/>
      <c r="G21" s="62"/>
      <c r="H21" s="62"/>
      <c r="I21" s="97"/>
      <c r="J21" s="62"/>
      <c r="K21" s="62"/>
    </row>
    <row r="22" spans="1:11">
      <c r="A22" s="68">
        <v>8</v>
      </c>
      <c r="B22" s="62" t="s">
        <v>206</v>
      </c>
      <c r="C22" s="93" t="s">
        <v>497</v>
      </c>
      <c r="D22" s="97"/>
      <c r="E22" s="62"/>
      <c r="F22" s="62"/>
      <c r="G22" s="62"/>
      <c r="H22" s="62"/>
      <c r="I22" s="160">
        <f>'A6-Divisor'!E21</f>
        <v>379000</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712">
        <f>ROUND(I19/I22,2)</f>
        <v>81.55</v>
      </c>
      <c r="E25" s="62" t="s">
        <v>197</v>
      </c>
      <c r="F25" s="97"/>
      <c r="G25" s="97"/>
      <c r="H25" s="97"/>
      <c r="I25" s="97"/>
      <c r="J25" s="97"/>
      <c r="K25" s="62"/>
    </row>
    <row r="26" spans="1:11">
      <c r="A26" s="68">
        <v>12</v>
      </c>
      <c r="B26" s="62" t="s">
        <v>208</v>
      </c>
      <c r="C26" s="62" t="s">
        <v>603</v>
      </c>
      <c r="D26" s="712">
        <f>ROUND(D25/12,2)</f>
        <v>6.8</v>
      </c>
      <c r="E26" s="62" t="s">
        <v>198</v>
      </c>
      <c r="F26" s="97"/>
      <c r="G26" s="97"/>
      <c r="H26" s="97"/>
      <c r="I26" s="97"/>
      <c r="J26" s="97"/>
      <c r="K26" s="62"/>
    </row>
    <row r="27" spans="1:11">
      <c r="A27" s="68">
        <v>13</v>
      </c>
      <c r="B27" s="62" t="s">
        <v>209</v>
      </c>
      <c r="C27" s="62" t="s">
        <v>604</v>
      </c>
      <c r="D27" s="712">
        <f>ROUND(D25/52,2)</f>
        <v>1.57</v>
      </c>
      <c r="E27" s="62" t="s">
        <v>199</v>
      </c>
      <c r="F27" s="97"/>
      <c r="G27" s="97"/>
      <c r="H27" s="97"/>
      <c r="I27" s="97"/>
      <c r="J27" s="97"/>
      <c r="K27" s="62"/>
    </row>
    <row r="28" spans="1:11">
      <c r="A28" s="68">
        <v>14</v>
      </c>
      <c r="B28" s="62" t="s">
        <v>210</v>
      </c>
      <c r="C28" s="62" t="s">
        <v>200</v>
      </c>
      <c r="D28" s="713">
        <f>+D27/6</f>
        <v>0.26166666666666666</v>
      </c>
      <c r="E28" s="62" t="s">
        <v>201</v>
      </c>
      <c r="F28" s="97"/>
      <c r="G28" s="97"/>
      <c r="H28" s="97"/>
      <c r="I28" s="97"/>
      <c r="J28" s="97"/>
      <c r="K28" s="62"/>
    </row>
    <row r="29" spans="1:11">
      <c r="A29" s="68">
        <v>15</v>
      </c>
      <c r="B29" s="62" t="s">
        <v>211</v>
      </c>
      <c r="C29" s="62" t="s">
        <v>202</v>
      </c>
      <c r="D29" s="713">
        <f>+D27/7</f>
        <v>0.22428571428571428</v>
      </c>
      <c r="E29" s="62" t="s">
        <v>201</v>
      </c>
      <c r="F29" s="97"/>
      <c r="G29" s="97"/>
      <c r="H29" s="97"/>
      <c r="I29" s="97"/>
      <c r="J29" s="97"/>
      <c r="K29" s="62"/>
    </row>
    <row r="30" spans="1:11">
      <c r="A30" s="68">
        <v>16</v>
      </c>
      <c r="B30" s="62" t="s">
        <v>212</v>
      </c>
      <c r="C30" s="62" t="s">
        <v>203</v>
      </c>
      <c r="D30" s="712">
        <f>+D28/16*1000</f>
        <v>16.354166666666668</v>
      </c>
      <c r="E30" s="62" t="s">
        <v>668</v>
      </c>
      <c r="F30" s="97"/>
      <c r="G30" s="97"/>
      <c r="H30" s="97"/>
      <c r="I30" s="97"/>
      <c r="J30" s="97"/>
      <c r="K30" s="62"/>
    </row>
    <row r="31" spans="1:11">
      <c r="A31" s="68">
        <v>17</v>
      </c>
      <c r="B31" s="62" t="s">
        <v>213</v>
      </c>
      <c r="C31" s="62" t="s">
        <v>204</v>
      </c>
      <c r="D31" s="712">
        <f>+D29/24*1000</f>
        <v>9.3452380952380949</v>
      </c>
      <c r="E31" s="62" t="s">
        <v>668</v>
      </c>
      <c r="F31" s="97"/>
      <c r="G31" s="97"/>
      <c r="H31" s="97"/>
      <c r="I31" s="97"/>
      <c r="J31" s="97"/>
      <c r="K31" s="62"/>
    </row>
    <row r="32" spans="1:11">
      <c r="B32" s="62"/>
      <c r="C32" s="62"/>
      <c r="D32" s="94"/>
      <c r="E32" s="62"/>
      <c r="F32" s="62"/>
      <c r="G32" s="62"/>
      <c r="H32" s="62"/>
      <c r="I32" s="912" t="str">
        <f>I1</f>
        <v>Actual Attachment H</v>
      </c>
      <c r="J32" s="912"/>
      <c r="K32" s="912"/>
    </row>
    <row r="33" spans="1:11">
      <c r="B33" s="62"/>
      <c r="C33" s="62"/>
      <c r="D33" s="94"/>
      <c r="E33" s="62"/>
      <c r="F33" s="62"/>
      <c r="G33" s="62"/>
      <c r="H33" s="62"/>
      <c r="I33" s="62"/>
      <c r="J33" s="911" t="s">
        <v>194</v>
      </c>
      <c r="K33" s="911"/>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Actuals - For the 12 months ended 12/31/2024</v>
      </c>
    </row>
    <row r="36" spans="1:11">
      <c r="B36" s="62"/>
      <c r="C36" s="98" t="s">
        <v>3</v>
      </c>
      <c r="E36" s="97"/>
      <c r="F36" s="97"/>
      <c r="G36" s="97"/>
      <c r="H36" s="62"/>
      <c r="I36" s="62"/>
      <c r="J36" s="62"/>
      <c r="K36" s="62"/>
    </row>
    <row r="37" spans="1:11">
      <c r="B37" s="62"/>
      <c r="D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363</v>
      </c>
      <c r="C43" s="97"/>
      <c r="D43" s="97"/>
      <c r="E43" s="97"/>
      <c r="F43" s="97"/>
      <c r="G43" s="97"/>
      <c r="H43" s="97"/>
      <c r="I43" s="97"/>
      <c r="J43" s="97"/>
      <c r="K43" s="97"/>
    </row>
    <row r="44" spans="1:11">
      <c r="A44" s="68"/>
      <c r="B44" s="62" t="s">
        <v>361</v>
      </c>
      <c r="C44" s="97"/>
      <c r="D44" s="97"/>
      <c r="E44" s="97"/>
      <c r="F44" s="97"/>
      <c r="G44" s="97"/>
      <c r="H44" s="97"/>
      <c r="I44" s="97"/>
      <c r="J44" s="97"/>
      <c r="K44" s="97"/>
    </row>
    <row r="45" spans="1:11">
      <c r="A45" s="68">
        <v>1</v>
      </c>
      <c r="B45" s="62" t="s">
        <v>26</v>
      </c>
      <c r="C45" s="42" t="s">
        <v>501</v>
      </c>
      <c r="D45" s="160">
        <f>'A4-Rate Base'!C23</f>
        <v>430152844.51230776</v>
      </c>
      <c r="E45" s="97"/>
      <c r="F45" s="97" t="s">
        <v>27</v>
      </c>
      <c r="G45" s="119" t="s">
        <v>2</v>
      </c>
      <c r="H45" s="97"/>
      <c r="I45" s="54">
        <v>0</v>
      </c>
      <c r="J45" s="97"/>
      <c r="K45" s="97"/>
    </row>
    <row r="46" spans="1:11">
      <c r="A46" s="68">
        <v>2</v>
      </c>
      <c r="B46" s="62" t="s">
        <v>28</v>
      </c>
      <c r="C46" s="42" t="s">
        <v>502</v>
      </c>
      <c r="D46" s="160">
        <f>'A4-Rate Base'!D23</f>
        <v>323128352.09307694</v>
      </c>
      <c r="E46" s="97"/>
      <c r="F46" s="97" t="s">
        <v>11</v>
      </c>
      <c r="G46" s="104">
        <f>$I$175</f>
        <v>0.93495713255492408</v>
      </c>
      <c r="H46" s="97"/>
      <c r="I46" s="54">
        <f>+G46*D46</f>
        <v>302111157.52014112</v>
      </c>
      <c r="J46" s="97"/>
      <c r="K46" s="97"/>
    </row>
    <row r="47" spans="1:11">
      <c r="A47" s="68">
        <v>3</v>
      </c>
      <c r="B47" s="62" t="s">
        <v>29</v>
      </c>
      <c r="C47" s="42" t="s">
        <v>503</v>
      </c>
      <c r="D47" s="160">
        <f>'A4-Rate Base'!E23</f>
        <v>462030307.14813</v>
      </c>
      <c r="E47" s="97"/>
      <c r="F47" s="97" t="s">
        <v>27</v>
      </c>
      <c r="G47" s="119" t="s">
        <v>2</v>
      </c>
      <c r="H47" s="97"/>
      <c r="I47" s="54">
        <v>0</v>
      </c>
      <c r="J47" s="97"/>
      <c r="K47" s="97"/>
    </row>
    <row r="48" spans="1:11">
      <c r="A48" s="68">
        <v>4</v>
      </c>
      <c r="B48" s="62" t="s">
        <v>30</v>
      </c>
      <c r="C48" s="42" t="s">
        <v>1079</v>
      </c>
      <c r="D48" s="160">
        <f>'A4-Rate Base'!F23</f>
        <v>47750153.816923074</v>
      </c>
      <c r="E48" s="97"/>
      <c r="F48" s="97" t="s">
        <v>31</v>
      </c>
      <c r="G48" s="120">
        <f>$I$192</f>
        <v>0.1248254792149225</v>
      </c>
      <c r="H48" s="97"/>
      <c r="I48" s="54">
        <f>+G48*D48</f>
        <v>5960435.8327836832</v>
      </c>
      <c r="J48" s="97"/>
      <c r="K48" s="97"/>
    </row>
    <row r="49" spans="1:11">
      <c r="A49" s="68">
        <v>5</v>
      </c>
      <c r="B49" s="62" t="s">
        <v>58</v>
      </c>
      <c r="C49" s="42" t="s">
        <v>504</v>
      </c>
      <c r="D49" s="160">
        <f>'A4-Rate Base'!G23</f>
        <v>25710603.076923076</v>
      </c>
      <c r="E49" s="97"/>
      <c r="F49" s="97" t="s">
        <v>1255</v>
      </c>
      <c r="G49" s="120">
        <f>$K$196</f>
        <v>0.12201673244143903</v>
      </c>
      <c r="H49" s="97"/>
      <c r="I49" s="54">
        <f>+G49*D49</f>
        <v>3137123.7765449621</v>
      </c>
      <c r="J49" s="97"/>
      <c r="K49" s="97"/>
    </row>
    <row r="50" spans="1:11">
      <c r="A50" s="68">
        <v>6</v>
      </c>
      <c r="B50" s="62" t="s">
        <v>281</v>
      </c>
      <c r="C50" s="43" t="s">
        <v>280</v>
      </c>
      <c r="D50" s="170">
        <f>SUM(D45:D49)</f>
        <v>1288772260.647361</v>
      </c>
      <c r="E50" s="97"/>
      <c r="F50" s="97" t="s">
        <v>32</v>
      </c>
      <c r="G50" s="104">
        <f>IF(I50&gt;0,I50/D50,0)</f>
        <v>0.24147688977503837</v>
      </c>
      <c r="H50" s="97"/>
      <c r="I50" s="170">
        <f>SUM(I45:I49)</f>
        <v>311208717.12946981</v>
      </c>
      <c r="J50" s="97"/>
      <c r="K50" s="354"/>
    </row>
    <row r="51" spans="1:11">
      <c r="B51" s="62"/>
      <c r="C51" s="97"/>
      <c r="D51" s="97"/>
      <c r="E51" s="97"/>
      <c r="F51" s="97"/>
      <c r="G51" s="122"/>
      <c r="H51" s="97"/>
      <c r="I51" s="54"/>
      <c r="J51" s="97"/>
      <c r="K51" s="122"/>
    </row>
    <row r="52" spans="1:11">
      <c r="B52" s="62" t="s">
        <v>362</v>
      </c>
      <c r="C52" s="97"/>
      <c r="D52" s="97"/>
      <c r="E52" s="97"/>
      <c r="F52" s="97"/>
      <c r="G52" s="97"/>
      <c r="H52" s="97"/>
      <c r="I52" s="97"/>
      <c r="J52" s="97"/>
      <c r="K52" s="97"/>
    </row>
    <row r="53" spans="1:11">
      <c r="A53" s="68">
        <v>7</v>
      </c>
      <c r="B53" s="123" t="str">
        <f>+B45</f>
        <v xml:space="preserve">  Production</v>
      </c>
      <c r="C53" s="42" t="s">
        <v>505</v>
      </c>
      <c r="D53" s="160">
        <f>'A4-Rate Base'!E46</f>
        <v>147803253.15692309</v>
      </c>
      <c r="E53" s="97"/>
      <c r="F53" s="105" t="str">
        <f>+F45</f>
        <v>NA</v>
      </c>
      <c r="G53" s="120"/>
      <c r="H53" s="97"/>
      <c r="I53" s="54">
        <v>0</v>
      </c>
      <c r="J53" s="97"/>
      <c r="K53" s="97"/>
    </row>
    <row r="54" spans="1:11">
      <c r="A54" s="68">
        <v>8</v>
      </c>
      <c r="B54" s="123" t="str">
        <f>+B46</f>
        <v xml:space="preserve">  Transmission</v>
      </c>
      <c r="C54" s="42" t="s">
        <v>506</v>
      </c>
      <c r="D54" s="160">
        <f>'A4-Rate Base'!F46</f>
        <v>54277966.761538468</v>
      </c>
      <c r="E54" s="97"/>
      <c r="F54" s="105" t="str">
        <f t="shared" ref="F54:F57" si="0">+F46</f>
        <v>TP</v>
      </c>
      <c r="G54" s="104">
        <f>$I$175</f>
        <v>0.93495713255492408</v>
      </c>
      <c r="H54" s="97"/>
      <c r="I54" s="54">
        <f>+G54*D54</f>
        <v>50747572.164279483</v>
      </c>
      <c r="J54" s="97"/>
      <c r="K54" s="97"/>
    </row>
    <row r="55" spans="1:11">
      <c r="A55" s="68">
        <v>9</v>
      </c>
      <c r="B55" s="123" t="str">
        <f>+B47</f>
        <v xml:space="preserve">  Distribution</v>
      </c>
      <c r="C55" s="42" t="s">
        <v>507</v>
      </c>
      <c r="D55" s="160">
        <f>'A4-Rate Base'!G46</f>
        <v>168700029.42043775</v>
      </c>
      <c r="E55" s="97"/>
      <c r="F55" s="105" t="str">
        <f t="shared" si="0"/>
        <v>NA</v>
      </c>
      <c r="G55" s="120"/>
      <c r="H55" s="97"/>
      <c r="I55" s="54">
        <v>0</v>
      </c>
      <c r="J55" s="97"/>
      <c r="K55" s="97"/>
    </row>
    <row r="56" spans="1:11">
      <c r="A56" s="68">
        <v>10</v>
      </c>
      <c r="B56" s="123" t="str">
        <f>+B48</f>
        <v xml:space="preserve">  General &amp; Intangible</v>
      </c>
      <c r="C56" s="42" t="s">
        <v>508</v>
      </c>
      <c r="D56" s="160">
        <f>'A4-Rate Base'!H46</f>
        <v>24468564.619999997</v>
      </c>
      <c r="E56" s="97"/>
      <c r="F56" s="105" t="str">
        <f t="shared" si="0"/>
        <v>W/S</v>
      </c>
      <c r="G56" s="120">
        <f>$I$192</f>
        <v>0.1248254792149225</v>
      </c>
      <c r="H56" s="97"/>
      <c r="I56" s="54">
        <f>+G56*D56</f>
        <v>3054300.3043927979</v>
      </c>
      <c r="J56" s="97"/>
      <c r="K56" s="97"/>
    </row>
    <row r="57" spans="1:11">
      <c r="A57" s="68">
        <v>11</v>
      </c>
      <c r="B57" s="123" t="str">
        <f>+B49</f>
        <v xml:space="preserve">  Other</v>
      </c>
      <c r="C57" s="42" t="s">
        <v>509</v>
      </c>
      <c r="D57" s="160">
        <f>'A4-Rate Base'!I46</f>
        <v>9289862.384615384</v>
      </c>
      <c r="E57" s="97"/>
      <c r="F57" s="105" t="str">
        <f t="shared" si="0"/>
        <v>OE</v>
      </c>
      <c r="G57" s="120">
        <f>$K$196</f>
        <v>0.12201673244143903</v>
      </c>
      <c r="H57" s="97"/>
      <c r="I57" s="50">
        <f>+G57*D57</f>
        <v>1133518.6530014041</v>
      </c>
      <c r="J57" s="97"/>
      <c r="K57" s="97"/>
    </row>
    <row r="58" spans="1:11">
      <c r="A58" s="68">
        <v>12</v>
      </c>
      <c r="B58" s="62" t="s">
        <v>283</v>
      </c>
      <c r="C58" s="43" t="s">
        <v>282</v>
      </c>
      <c r="D58" s="170">
        <f>SUM(D53:D57)</f>
        <v>404539676.34351468</v>
      </c>
      <c r="E58" s="97"/>
      <c r="F58" s="97"/>
      <c r="G58" s="97"/>
      <c r="H58" s="97"/>
      <c r="I58" s="170">
        <f>SUM(I53:I57)</f>
        <v>54935391.121673688</v>
      </c>
      <c r="J58" s="97"/>
      <c r="K58" s="97"/>
    </row>
    <row r="59" spans="1:11">
      <c r="A59" s="68"/>
      <c r="C59" s="97" t="s">
        <v>2</v>
      </c>
      <c r="E59" s="97"/>
      <c r="F59" s="97"/>
      <c r="G59" s="122"/>
      <c r="H59" s="97"/>
      <c r="J59" s="97"/>
      <c r="K59" s="122"/>
    </row>
    <row r="60" spans="1:11">
      <c r="A60" s="68"/>
      <c r="B60" s="62" t="s">
        <v>126</v>
      </c>
      <c r="C60" s="97"/>
      <c r="D60" s="97"/>
      <c r="E60" s="97"/>
      <c r="F60" s="97"/>
      <c r="G60" s="97"/>
      <c r="H60" s="97"/>
      <c r="I60" s="97"/>
      <c r="J60" s="97"/>
      <c r="K60" s="97"/>
    </row>
    <row r="61" spans="1:11">
      <c r="A61" s="68">
        <v>13</v>
      </c>
      <c r="B61" s="123" t="str">
        <f>+B53</f>
        <v xml:space="preserve">  Production</v>
      </c>
      <c r="C61" s="43" t="str">
        <f>"(Line "&amp;A45&amp;" - Line "&amp;A53&amp;")"</f>
        <v>(Line 1 - Line 7)</v>
      </c>
      <c r="D61" s="54">
        <f>D45-D53</f>
        <v>282349591.35538471</v>
      </c>
      <c r="E61" s="97"/>
      <c r="F61" s="97"/>
      <c r="G61" s="122"/>
      <c r="H61" s="97"/>
      <c r="I61" s="97" t="s">
        <v>2</v>
      </c>
      <c r="J61" s="97"/>
      <c r="K61" s="122"/>
    </row>
    <row r="62" spans="1:11">
      <c r="A62" s="68">
        <v>14</v>
      </c>
      <c r="B62" s="123" t="str">
        <f>+B54</f>
        <v xml:space="preserve">  Transmission</v>
      </c>
      <c r="C62" s="43" t="str">
        <f>"(Line "&amp;A46&amp;" - Line "&amp;A54&amp;")"</f>
        <v>(Line 2 - Line 8)</v>
      </c>
      <c r="D62" s="54">
        <f>D46-D54</f>
        <v>268850385.3315385</v>
      </c>
      <c r="E62" s="97"/>
      <c r="F62" s="97"/>
      <c r="G62" s="119"/>
      <c r="H62" s="97"/>
      <c r="I62" s="54">
        <f>I46-I54</f>
        <v>251363585.35586163</v>
      </c>
      <c r="J62" s="97"/>
      <c r="K62" s="122"/>
    </row>
    <row r="63" spans="1:11">
      <c r="A63" s="68">
        <v>15</v>
      </c>
      <c r="B63" s="123" t="str">
        <f>+B55</f>
        <v xml:space="preserve">  Distribution</v>
      </c>
      <c r="C63" s="43" t="str">
        <f>"(Line "&amp;A47&amp;" - Line "&amp;A55&amp;")"</f>
        <v>(Line 3 - Line 9)</v>
      </c>
      <c r="D63" s="54">
        <f>D47-D55</f>
        <v>293330277.72769225</v>
      </c>
      <c r="E63" s="97"/>
      <c r="F63" s="97"/>
      <c r="G63" s="122"/>
      <c r="H63" s="97"/>
      <c r="I63" s="54" t="s">
        <v>2</v>
      </c>
      <c r="J63" s="97"/>
      <c r="K63" s="122"/>
    </row>
    <row r="64" spans="1:11">
      <c r="A64" s="68">
        <v>16</v>
      </c>
      <c r="B64" s="123" t="str">
        <f>+B56</f>
        <v xml:space="preserve">  General &amp; Intangible</v>
      </c>
      <c r="C64" s="43" t="str">
        <f>"(Line "&amp;A48&amp;" - Line "&amp;A56&amp;")"</f>
        <v>(Line 4 - Line 10)</v>
      </c>
      <c r="D64" s="54">
        <f>D48-D56</f>
        <v>23281589.196923077</v>
      </c>
      <c r="E64" s="97"/>
      <c r="F64" s="97"/>
      <c r="G64" s="122"/>
      <c r="H64" s="97"/>
      <c r="I64" s="54">
        <f>I48-I56</f>
        <v>2906135.5283908853</v>
      </c>
      <c r="J64" s="97"/>
      <c r="K64" s="122"/>
    </row>
    <row r="65" spans="1:11" ht="13.8" thickBot="1">
      <c r="A65" s="68">
        <v>17</v>
      </c>
      <c r="B65" s="123" t="str">
        <f>+B57</f>
        <v xml:space="preserve">  Other</v>
      </c>
      <c r="C65" s="43" t="str">
        <f>"(Line "&amp;A49&amp;" - Line "&amp;A57&amp;")"</f>
        <v>(Line 5 - Line 11)</v>
      </c>
      <c r="D65" s="55">
        <f>D49-D57</f>
        <v>16420740.692307692</v>
      </c>
      <c r="E65" s="97"/>
      <c r="F65" s="97"/>
      <c r="G65" s="122"/>
      <c r="H65" s="97"/>
      <c r="I65" s="50">
        <f>I49-I57</f>
        <v>2003605.1235435579</v>
      </c>
      <c r="J65" s="97"/>
      <c r="K65" s="122"/>
    </row>
    <row r="66" spans="1:11">
      <c r="A66" s="68">
        <v>18</v>
      </c>
      <c r="B66" s="62" t="s">
        <v>285</v>
      </c>
      <c r="C66" s="43" t="s">
        <v>284</v>
      </c>
      <c r="D66" s="54">
        <f>SUM(D61:D65)</f>
        <v>884232584.30384636</v>
      </c>
      <c r="E66" s="97"/>
      <c r="F66" s="97" t="s">
        <v>33</v>
      </c>
      <c r="G66" s="104">
        <f>IF(I66&gt;0,I66/D66,0)</f>
        <v>0.2898256980764391</v>
      </c>
      <c r="H66" s="97"/>
      <c r="I66" s="170">
        <f>SUM(I61:I65)</f>
        <v>256273326.00779608</v>
      </c>
      <c r="J66" s="97"/>
      <c r="K66" s="97"/>
    </row>
    <row r="67" spans="1:11" s="2" customFormat="1">
      <c r="A67" s="44"/>
      <c r="B67" s="45"/>
      <c r="C67" s="43"/>
      <c r="D67" s="46"/>
      <c r="E67" s="42"/>
      <c r="F67" s="42"/>
      <c r="G67" s="47"/>
      <c r="H67" s="42"/>
      <c r="I67" s="54"/>
      <c r="J67" s="43"/>
      <c r="K67" s="43"/>
    </row>
    <row r="68" spans="1:11" s="2" customFormat="1">
      <c r="A68" s="44" t="s">
        <v>286</v>
      </c>
      <c r="B68" s="48" t="s">
        <v>287</v>
      </c>
      <c r="C68" s="49" t="s">
        <v>1119</v>
      </c>
      <c r="D68" s="160">
        <f>'A4-Rate Base'!H23</f>
        <v>0</v>
      </c>
      <c r="E68" s="49"/>
      <c r="F68" s="64"/>
      <c r="G68" s="620"/>
      <c r="H68" s="49"/>
      <c r="I68" s="51">
        <f>+G68*D68</f>
        <v>0</v>
      </c>
      <c r="J68" s="43"/>
      <c r="K68" s="43"/>
    </row>
    <row r="69" spans="1:11" s="2" customFormat="1">
      <c r="A69" s="44"/>
      <c r="B69" s="52"/>
      <c r="C69" s="43"/>
      <c r="D69" s="46"/>
      <c r="E69" s="43"/>
      <c r="F69" s="52"/>
      <c r="G69" s="52"/>
      <c r="H69" s="43"/>
      <c r="I69" s="46"/>
      <c r="J69" s="43"/>
      <c r="K69" s="53"/>
    </row>
    <row r="70" spans="1:11">
      <c r="A70" s="68"/>
      <c r="B70" s="62" t="s">
        <v>572</v>
      </c>
      <c r="C70" s="97"/>
      <c r="D70" s="97"/>
      <c r="E70" s="97"/>
      <c r="F70" s="97"/>
      <c r="G70" s="97"/>
      <c r="H70" s="97"/>
      <c r="I70" s="97"/>
      <c r="J70" s="97"/>
      <c r="K70" s="97"/>
    </row>
    <row r="71" spans="1:11">
      <c r="A71" s="44">
        <f>+A66+1</f>
        <v>19</v>
      </c>
      <c r="B71" s="45" t="s">
        <v>772</v>
      </c>
      <c r="C71" s="43" t="s">
        <v>510</v>
      </c>
      <c r="D71" s="160">
        <f>'A4-Rate Base'!E89</f>
        <v>0</v>
      </c>
      <c r="E71" s="43"/>
      <c r="F71" s="93" t="s">
        <v>36</v>
      </c>
      <c r="G71" s="56">
        <f>GP</f>
        <v>0.24147688977503837</v>
      </c>
      <c r="H71" s="42"/>
      <c r="I71" s="46">
        <f t="shared" ref="I71:I78" si="1">D71*G71</f>
        <v>0</v>
      </c>
      <c r="J71" s="97"/>
      <c r="K71" s="122"/>
    </row>
    <row r="72" spans="1:11">
      <c r="A72" s="44">
        <f t="shared" ref="A72:A75" si="2">+A71+1</f>
        <v>20</v>
      </c>
      <c r="B72" s="45" t="s">
        <v>774</v>
      </c>
      <c r="C72" s="43" t="s">
        <v>511</v>
      </c>
      <c r="D72" s="160">
        <f>'A4-Rate Base'!F89</f>
        <v>-140121497</v>
      </c>
      <c r="E72" s="43"/>
      <c r="F72" s="93" t="s">
        <v>36</v>
      </c>
      <c r="G72" s="56">
        <f>GP</f>
        <v>0.24147688977503837</v>
      </c>
      <c r="H72" s="42"/>
      <c r="I72" s="46">
        <f t="shared" si="1"/>
        <v>-33836103.286182366</v>
      </c>
      <c r="J72" s="97"/>
      <c r="K72" s="122"/>
    </row>
    <row r="73" spans="1:11">
      <c r="A73" s="44">
        <f t="shared" si="2"/>
        <v>21</v>
      </c>
      <c r="B73" s="45" t="s">
        <v>773</v>
      </c>
      <c r="C73" s="43" t="s">
        <v>512</v>
      </c>
      <c r="D73" s="160">
        <f>'A4-Rate Base'!G89</f>
        <v>-60494522</v>
      </c>
      <c r="E73" s="43"/>
      <c r="F73" s="93" t="s">
        <v>36</v>
      </c>
      <c r="G73" s="56">
        <f>GP</f>
        <v>0.24147688977503837</v>
      </c>
      <c r="H73" s="42"/>
      <c r="I73" s="46">
        <f t="shared" si="1"/>
        <v>-14608029.020987634</v>
      </c>
      <c r="J73" s="97"/>
      <c r="K73" s="122"/>
    </row>
    <row r="74" spans="1:11">
      <c r="A74" s="44">
        <f t="shared" si="2"/>
        <v>22</v>
      </c>
      <c r="B74" s="45" t="s">
        <v>121</v>
      </c>
      <c r="C74" s="43" t="s">
        <v>513</v>
      </c>
      <c r="D74" s="160">
        <f>'A4-Rate Base'!H89</f>
        <v>76211509</v>
      </c>
      <c r="E74" s="43"/>
      <c r="F74" s="93" t="s">
        <v>36</v>
      </c>
      <c r="G74" s="56">
        <f>GP</f>
        <v>0.24147688977503837</v>
      </c>
      <c r="H74" s="42"/>
      <c r="I74" s="46">
        <f t="shared" si="1"/>
        <v>18403318.158382345</v>
      </c>
      <c r="J74" s="97"/>
      <c r="K74" s="122"/>
    </row>
    <row r="75" spans="1:11">
      <c r="A75" s="44">
        <f t="shared" si="2"/>
        <v>23</v>
      </c>
      <c r="B75" s="52" t="s">
        <v>732</v>
      </c>
      <c r="C75" s="52" t="s">
        <v>747</v>
      </c>
      <c r="D75" s="507">
        <v>0</v>
      </c>
      <c r="E75" s="43"/>
      <c r="F75" s="43"/>
      <c r="G75" s="57">
        <v>0</v>
      </c>
      <c r="H75" s="42"/>
      <c r="I75" s="51">
        <f t="shared" si="1"/>
        <v>0</v>
      </c>
      <c r="J75" s="97"/>
      <c r="K75" s="122"/>
    </row>
    <row r="76" spans="1:11">
      <c r="A76" s="44" t="s">
        <v>292</v>
      </c>
      <c r="B76" s="48" t="s">
        <v>288</v>
      </c>
      <c r="C76" s="49" t="s">
        <v>1120</v>
      </c>
      <c r="D76" s="160">
        <f>'A4-Rate Base'!C89</f>
        <v>0</v>
      </c>
      <c r="E76" s="49"/>
      <c r="F76" s="64"/>
      <c r="G76" s="620"/>
      <c r="H76" s="49"/>
      <c r="I76" s="51">
        <f t="shared" si="1"/>
        <v>0</v>
      </c>
      <c r="J76" s="97"/>
      <c r="K76" s="122"/>
    </row>
    <row r="77" spans="1:11">
      <c r="A77" s="44" t="s">
        <v>1126</v>
      </c>
      <c r="B77" s="48" t="s">
        <v>1125</v>
      </c>
      <c r="C77" s="49" t="s">
        <v>1129</v>
      </c>
      <c r="D77" s="160">
        <f>'A4-Rate Base'!I66</f>
        <v>0</v>
      </c>
      <c r="E77" s="49"/>
      <c r="F77" s="64"/>
      <c r="G77" s="620"/>
      <c r="H77" s="49"/>
      <c r="I77" s="51">
        <f t="shared" ref="I77" si="3">D77*G77</f>
        <v>0</v>
      </c>
      <c r="J77" s="97"/>
      <c r="K77" s="122"/>
    </row>
    <row r="78" spans="1:11">
      <c r="A78" s="44" t="s">
        <v>293</v>
      </c>
      <c r="B78" s="48" t="s">
        <v>289</v>
      </c>
      <c r="C78" s="49" t="s">
        <v>1121</v>
      </c>
      <c r="D78" s="160">
        <f>'A4-Rate Base'!D89</f>
        <v>0</v>
      </c>
      <c r="E78" s="49"/>
      <c r="F78" s="64"/>
      <c r="G78" s="620"/>
      <c r="H78" s="49"/>
      <c r="I78" s="51">
        <f t="shared" si="1"/>
        <v>0</v>
      </c>
      <c r="J78" s="97"/>
      <c r="K78" s="122"/>
    </row>
    <row r="79" spans="1:11">
      <c r="A79" s="44" t="s">
        <v>294</v>
      </c>
      <c r="B79" s="48" t="s">
        <v>686</v>
      </c>
      <c r="C79" s="49" t="s">
        <v>1142</v>
      </c>
      <c r="D79" s="160">
        <f>'A4-Rate Base'!F104</f>
        <v>-882125.06942508172</v>
      </c>
      <c r="E79" s="49"/>
      <c r="F79" s="49"/>
      <c r="G79" s="58"/>
      <c r="H79" s="49"/>
      <c r="I79" s="51">
        <f t="shared" ref="I79" si="4">D79</f>
        <v>-882125.06942508172</v>
      </c>
      <c r="J79" s="97"/>
      <c r="K79" s="122"/>
    </row>
    <row r="80" spans="1:11">
      <c r="A80" s="44">
        <v>24</v>
      </c>
      <c r="B80" s="123" t="s">
        <v>122</v>
      </c>
      <c r="C80" s="123" t="s">
        <v>1217</v>
      </c>
      <c r="D80" s="160">
        <f>'A3-ADIT'!F48</f>
        <v>-3322070.5900000017</v>
      </c>
      <c r="E80" s="97"/>
      <c r="F80" s="93" t="s">
        <v>36</v>
      </c>
      <c r="G80" s="56">
        <f>GP</f>
        <v>0.24147688977503837</v>
      </c>
      <c r="H80" s="97"/>
      <c r="I80" s="51">
        <f t="shared" ref="I80" si="5">D80*G80</f>
        <v>-802203.27368632704</v>
      </c>
      <c r="J80" s="97"/>
      <c r="K80" s="122"/>
    </row>
    <row r="81" spans="1:11" ht="13.8" thickBot="1">
      <c r="A81" s="68">
        <v>25</v>
      </c>
      <c r="B81" s="123" t="s">
        <v>1030</v>
      </c>
      <c r="C81" s="123" t="s">
        <v>903</v>
      </c>
      <c r="D81" s="803">
        <f>'A3.1-EDIT-DDIT'!I44</f>
        <v>-38528297.539999992</v>
      </c>
      <c r="E81" s="97"/>
      <c r="F81" s="97"/>
      <c r="G81" s="97"/>
      <c r="H81" s="97"/>
      <c r="I81" s="803">
        <f>'A3.1-EDIT-DDIT'!O44</f>
        <v>-8738531.8594845477</v>
      </c>
      <c r="J81" s="97"/>
      <c r="K81" s="122"/>
    </row>
    <row r="82" spans="1:11">
      <c r="A82" s="68">
        <v>26</v>
      </c>
      <c r="B82" s="62" t="s">
        <v>297</v>
      </c>
      <c r="C82" s="43" t="s">
        <v>762</v>
      </c>
      <c r="D82" s="54">
        <f>SUM(D71:D81)</f>
        <v>-167137003.19942507</v>
      </c>
      <c r="E82" s="97"/>
      <c r="F82" s="97"/>
      <c r="G82" s="97"/>
      <c r="H82" s="97"/>
      <c r="I82" s="54">
        <f>SUM(I71:I81)</f>
        <v>-40463674.351383612</v>
      </c>
      <c r="J82" s="97"/>
      <c r="K82" s="97"/>
    </row>
    <row r="83" spans="1:11">
      <c r="A83" s="68"/>
      <c r="C83" s="97"/>
      <c r="E83" s="97"/>
      <c r="F83" s="97"/>
      <c r="G83" s="122"/>
      <c r="H83" s="97"/>
      <c r="J83" s="97"/>
      <c r="K83" s="122"/>
    </row>
    <row r="84" spans="1:11">
      <c r="A84" s="68">
        <v>27</v>
      </c>
      <c r="B84" s="62" t="s">
        <v>34</v>
      </c>
      <c r="C84" s="60" t="s">
        <v>514</v>
      </c>
      <c r="D84" s="160">
        <f>'A4-Rate Base'!I23</f>
        <v>0</v>
      </c>
      <c r="E84" s="97"/>
      <c r="F84" s="105" t="str">
        <f>+F54</f>
        <v>TP</v>
      </c>
      <c r="G84" s="104">
        <f>$I$175</f>
        <v>0.93495713255492408</v>
      </c>
      <c r="H84" s="97"/>
      <c r="I84" s="54">
        <f>+G84*D84</f>
        <v>0</v>
      </c>
      <c r="J84" s="97"/>
      <c r="K84" s="97"/>
    </row>
    <row r="85" spans="1:11">
      <c r="A85" s="68"/>
      <c r="B85" s="62"/>
      <c r="C85" s="97"/>
      <c r="D85" s="97"/>
      <c r="E85" s="97"/>
      <c r="F85" s="97"/>
      <c r="G85" s="97"/>
      <c r="H85" s="97"/>
      <c r="I85" s="97"/>
      <c r="J85" s="97"/>
      <c r="K85" s="97"/>
    </row>
    <row r="86" spans="1:11">
      <c r="A86" s="68"/>
      <c r="B86" s="62" t="s">
        <v>127</v>
      </c>
      <c r="C86" s="43" t="s">
        <v>117</v>
      </c>
      <c r="D86" s="97"/>
      <c r="E86" s="97"/>
      <c r="F86" s="97"/>
      <c r="G86" s="97"/>
      <c r="H86" s="97"/>
      <c r="I86" s="97"/>
      <c r="J86" s="97"/>
      <c r="K86" s="97"/>
    </row>
    <row r="87" spans="1:11">
      <c r="A87" s="68">
        <v>28</v>
      </c>
      <c r="B87" s="62" t="s">
        <v>693</v>
      </c>
      <c r="C87" s="52" t="s">
        <v>472</v>
      </c>
      <c r="D87" s="54">
        <f>+D117/8</f>
        <v>3700515.4123499999</v>
      </c>
      <c r="E87" s="97"/>
      <c r="F87" s="97"/>
      <c r="G87" s="122"/>
      <c r="H87" s="97"/>
      <c r="I87" s="54">
        <f>+I117/8</f>
        <v>722839.4328097729</v>
      </c>
      <c r="J87" s="62"/>
      <c r="K87" s="122"/>
    </row>
    <row r="88" spans="1:11">
      <c r="A88" s="68">
        <v>29</v>
      </c>
      <c r="B88" s="62" t="s">
        <v>128</v>
      </c>
      <c r="C88" s="60" t="s">
        <v>1080</v>
      </c>
      <c r="D88" s="160">
        <f>'A4-Rate Base'!F129</f>
        <v>88416.417875596409</v>
      </c>
      <c r="E88" s="97"/>
      <c r="F88" s="97" t="s">
        <v>35</v>
      </c>
      <c r="G88" s="120">
        <f>$I$184</f>
        <v>0.93495713255492408</v>
      </c>
      <c r="H88" s="97"/>
      <c r="I88" s="54">
        <f>+G88*D88</f>
        <v>82665.560527745547</v>
      </c>
      <c r="J88" s="97" t="s">
        <v>2</v>
      </c>
      <c r="K88" s="122"/>
    </row>
    <row r="89" spans="1:11" ht="13.8" thickBot="1">
      <c r="A89" s="68">
        <v>30</v>
      </c>
      <c r="B89" s="62" t="s">
        <v>123</v>
      </c>
      <c r="C89" s="42" t="s">
        <v>951</v>
      </c>
      <c r="D89" s="160">
        <f>'A8-Prepmts'!H16</f>
        <v>286564.39069452288</v>
      </c>
      <c r="E89" s="97"/>
      <c r="F89" s="97"/>
      <c r="G89" s="120"/>
      <c r="H89" s="97"/>
      <c r="I89" s="55">
        <f>D89</f>
        <v>286564.39069452288</v>
      </c>
      <c r="J89" s="97"/>
      <c r="K89" s="122"/>
    </row>
    <row r="90" spans="1:11">
      <c r="A90" s="68">
        <v>31</v>
      </c>
      <c r="B90" s="62" t="s">
        <v>295</v>
      </c>
      <c r="C90" s="43" t="s">
        <v>296</v>
      </c>
      <c r="D90" s="170">
        <f>D87+D88+D89</f>
        <v>4075496.220920119</v>
      </c>
      <c r="E90" s="62"/>
      <c r="F90" s="62"/>
      <c r="G90" s="62"/>
      <c r="H90" s="62"/>
      <c r="I90" s="54">
        <f>I87+I88+I89</f>
        <v>1092069.3840320413</v>
      </c>
      <c r="J90" s="62"/>
      <c r="K90" s="62"/>
    </row>
    <row r="91" spans="1:11" ht="13.8" thickBot="1">
      <c r="C91" s="97"/>
      <c r="E91" s="97"/>
      <c r="F91" s="97"/>
      <c r="G91" s="97"/>
      <c r="H91" s="97"/>
      <c r="I91" s="124"/>
      <c r="J91" s="97"/>
      <c r="K91" s="97"/>
    </row>
    <row r="92" spans="1:11" ht="13.8" thickBot="1">
      <c r="A92" s="68">
        <v>32</v>
      </c>
      <c r="B92" s="62" t="s">
        <v>443</v>
      </c>
      <c r="C92" s="62" t="s">
        <v>444</v>
      </c>
      <c r="D92" s="61">
        <f>+D90+D84+D82+D66</f>
        <v>721171077.32534146</v>
      </c>
      <c r="E92" s="97"/>
      <c r="F92" s="97"/>
      <c r="G92" s="122"/>
      <c r="H92" s="97"/>
      <c r="I92" s="61">
        <f>+I90+I84+I82+I66</f>
        <v>216901721.04044449</v>
      </c>
      <c r="J92" s="97"/>
      <c r="K92" s="122"/>
    </row>
    <row r="93" spans="1:11" ht="13.8" thickTop="1">
      <c r="B93" s="62"/>
      <c r="C93" s="62"/>
      <c r="D93" s="94"/>
      <c r="E93" s="62"/>
      <c r="F93" s="62"/>
      <c r="G93" s="62"/>
      <c r="H93" s="62"/>
      <c r="I93" s="95"/>
      <c r="J93" s="95"/>
      <c r="K93" s="95"/>
    </row>
    <row r="94" spans="1:11">
      <c r="B94" s="62"/>
      <c r="C94" s="62"/>
      <c r="D94" s="94"/>
      <c r="E94" s="62"/>
      <c r="F94" s="62"/>
      <c r="G94" s="62"/>
      <c r="H94" s="62"/>
      <c r="I94" s="912" t="str">
        <f>I1</f>
        <v>Actual Attachment H</v>
      </c>
      <c r="J94" s="912"/>
      <c r="K94" s="912"/>
    </row>
    <row r="95" spans="1:11">
      <c r="B95" s="62"/>
      <c r="C95" s="62"/>
      <c r="D95" s="94"/>
      <c r="E95" s="62"/>
      <c r="F95" s="62"/>
      <c r="G95" s="62"/>
      <c r="H95" s="62"/>
      <c r="I95" s="62"/>
      <c r="J95" s="911" t="s">
        <v>195</v>
      </c>
      <c r="K95" s="911"/>
    </row>
    <row r="96" spans="1:11">
      <c r="B96" s="62"/>
      <c r="C96" s="62"/>
      <c r="D96" s="94"/>
      <c r="E96" s="62"/>
      <c r="F96" s="62"/>
      <c r="G96" s="62"/>
      <c r="H96" s="62"/>
      <c r="I96" s="62"/>
      <c r="J96" s="62"/>
      <c r="K96" s="95"/>
    </row>
    <row r="97" spans="1:11">
      <c r="B97" s="94" t="s">
        <v>0</v>
      </c>
      <c r="C97" s="68" t="s">
        <v>1</v>
      </c>
      <c r="E97" s="62"/>
      <c r="F97" s="62"/>
      <c r="G97" s="62"/>
      <c r="H97" s="62"/>
      <c r="I97" s="62"/>
      <c r="J97" s="62"/>
      <c r="K97" s="110" t="str">
        <f>K4</f>
        <v>Actuals - For the 12 months ended 12/31/2024</v>
      </c>
    </row>
    <row r="98" spans="1:11">
      <c r="B98" s="62"/>
      <c r="C98" s="98" t="s">
        <v>3</v>
      </c>
      <c r="E98" s="97"/>
      <c r="F98" s="97"/>
      <c r="G98" s="97"/>
      <c r="H98" s="62"/>
      <c r="I98" s="62"/>
      <c r="J98" s="62"/>
      <c r="K98" s="62"/>
    </row>
    <row r="99" spans="1:11">
      <c r="B99" s="62"/>
      <c r="C99" s="97"/>
      <c r="E99" s="97"/>
      <c r="F99" s="97"/>
      <c r="G99" s="97"/>
      <c r="H99" s="62"/>
      <c r="I99" s="62"/>
      <c r="J99" s="62"/>
      <c r="K99" s="62"/>
    </row>
    <row r="100" spans="1:11">
      <c r="A100" s="68"/>
      <c r="C100" s="111" t="str">
        <f>C7</f>
        <v>Black Hills Colorado Electric, LLC</v>
      </c>
      <c r="J100" s="97"/>
      <c r="K100" s="97"/>
    </row>
    <row r="101" spans="1:11">
      <c r="A101" s="68"/>
      <c r="C101" s="125"/>
      <c r="J101" s="97"/>
      <c r="K101" s="97"/>
    </row>
    <row r="102" spans="1:11">
      <c r="A102" s="68"/>
      <c r="B102" s="68" t="s">
        <v>15</v>
      </c>
      <c r="C102" s="68" t="s">
        <v>16</v>
      </c>
      <c r="D102" s="68" t="s">
        <v>17</v>
      </c>
      <c r="E102" s="97" t="s">
        <v>2</v>
      </c>
      <c r="F102" s="97"/>
      <c r="G102" s="112" t="s">
        <v>18</v>
      </c>
      <c r="H102" s="97"/>
      <c r="I102" s="113" t="s">
        <v>19</v>
      </c>
      <c r="J102" s="97"/>
      <c r="K102" s="97"/>
    </row>
    <row r="103" spans="1:11">
      <c r="A103" s="68" t="s">
        <v>4</v>
      </c>
      <c r="B103" s="62"/>
      <c r="C103" s="114" t="s">
        <v>20</v>
      </c>
      <c r="D103" s="97"/>
      <c r="E103" s="97"/>
      <c r="F103" s="97"/>
      <c r="G103" s="68"/>
      <c r="H103" s="97"/>
      <c r="I103" s="115" t="s">
        <v>21</v>
      </c>
      <c r="J103" s="97"/>
      <c r="K103" s="115"/>
    </row>
    <row r="104" spans="1:11" ht="13.8" thickBot="1">
      <c r="A104" s="101" t="s">
        <v>6</v>
      </c>
      <c r="B104" s="62"/>
      <c r="C104" s="116" t="s">
        <v>22</v>
      </c>
      <c r="D104" s="115" t="s">
        <v>23</v>
      </c>
      <c r="E104" s="117"/>
      <c r="F104" s="115" t="s">
        <v>24</v>
      </c>
      <c r="H104" s="117"/>
      <c r="I104" s="68" t="s">
        <v>25</v>
      </c>
      <c r="J104" s="97"/>
      <c r="K104" s="115"/>
    </row>
    <row r="105" spans="1:11">
      <c r="A105" s="68"/>
      <c r="B105" s="62" t="s">
        <v>131</v>
      </c>
      <c r="C105" s="97"/>
      <c r="D105" s="97"/>
      <c r="E105" s="97"/>
      <c r="F105" s="97"/>
      <c r="G105" s="97"/>
      <c r="H105" s="97"/>
      <c r="I105" s="97"/>
      <c r="J105" s="97"/>
      <c r="K105" s="97"/>
    </row>
    <row r="106" spans="1:11">
      <c r="A106" s="68">
        <v>1</v>
      </c>
      <c r="B106" s="62" t="s">
        <v>37</v>
      </c>
      <c r="C106" s="97" t="s">
        <v>103</v>
      </c>
      <c r="D106" s="64">
        <v>5464990</v>
      </c>
      <c r="E106" s="97"/>
      <c r="F106" s="97" t="s">
        <v>35</v>
      </c>
      <c r="G106" s="120">
        <f>$I$184</f>
        <v>0.93495713255492408</v>
      </c>
      <c r="H106" s="97"/>
      <c r="I106" s="54">
        <f>+G106*D106</f>
        <v>5109531.3798413342</v>
      </c>
      <c r="J106" s="62"/>
      <c r="K106" s="97"/>
    </row>
    <row r="107" spans="1:11">
      <c r="A107" s="68">
        <v>2</v>
      </c>
      <c r="B107" s="62" t="s">
        <v>600</v>
      </c>
      <c r="C107" s="97" t="s">
        <v>601</v>
      </c>
      <c r="D107" s="64">
        <f>100354+707270+26666</f>
        <v>834290</v>
      </c>
      <c r="E107" s="97"/>
      <c r="F107" s="97" t="s">
        <v>35</v>
      </c>
      <c r="G107" s="120">
        <f>$I$184</f>
        <v>0.93495713255492408</v>
      </c>
      <c r="H107" s="97"/>
      <c r="I107" s="46">
        <f t="shared" ref="I107:I116" si="6">+G107*D107</f>
        <v>780025.38611924765</v>
      </c>
      <c r="J107" s="62"/>
      <c r="K107" s="97"/>
    </row>
    <row r="108" spans="1:11">
      <c r="A108" s="68" t="s">
        <v>130</v>
      </c>
      <c r="B108" s="62" t="s">
        <v>38</v>
      </c>
      <c r="C108" s="97" t="s">
        <v>104</v>
      </c>
      <c r="D108" s="64">
        <v>2195835</v>
      </c>
      <c r="E108" s="97"/>
      <c r="F108" s="97" t="s">
        <v>35</v>
      </c>
      <c r="G108" s="120">
        <f>$I$184</f>
        <v>0.93495713255492408</v>
      </c>
      <c r="H108" s="97"/>
      <c r="I108" s="46">
        <f t="shared" ref="I108" si="7">+G108*D108</f>
        <v>2053011.5951637416</v>
      </c>
      <c r="J108" s="62"/>
      <c r="K108" s="97"/>
    </row>
    <row r="109" spans="1:11">
      <c r="A109" s="68">
        <v>3</v>
      </c>
      <c r="B109" s="62" t="s">
        <v>39</v>
      </c>
      <c r="C109" s="97" t="s">
        <v>105</v>
      </c>
      <c r="D109" s="64">
        <v>28786989</v>
      </c>
      <c r="E109" s="97"/>
      <c r="F109" s="97" t="s">
        <v>31</v>
      </c>
      <c r="G109" s="120">
        <f>$I$192</f>
        <v>0.1248254792149225</v>
      </c>
      <c r="H109" s="97"/>
      <c r="I109" s="54">
        <f t="shared" si="6"/>
        <v>3593349.6970797027</v>
      </c>
      <c r="J109" s="97"/>
      <c r="K109" s="97" t="s">
        <v>2</v>
      </c>
    </row>
    <row r="110" spans="1:11">
      <c r="A110" s="68">
        <v>4</v>
      </c>
      <c r="B110" s="62" t="s">
        <v>832</v>
      </c>
      <c r="C110" s="97"/>
      <c r="D110" s="97"/>
      <c r="E110" s="97"/>
      <c r="F110" s="105"/>
      <c r="G110" s="120"/>
      <c r="H110" s="97"/>
      <c r="I110" s="54"/>
      <c r="J110" s="97"/>
      <c r="K110" s="97"/>
    </row>
    <row r="111" spans="1:11">
      <c r="A111" s="68">
        <v>5</v>
      </c>
      <c r="B111" s="62" t="s">
        <v>357</v>
      </c>
      <c r="C111" s="97" t="s">
        <v>495</v>
      </c>
      <c r="D111" s="160">
        <f>'A2-A&amp;G'!D14</f>
        <v>1727145</v>
      </c>
      <c r="E111" s="97"/>
      <c r="F111" s="105" t="str">
        <f>F109</f>
        <v>W/S</v>
      </c>
      <c r="G111" s="120">
        <f>$I$192</f>
        <v>0.1248254792149225</v>
      </c>
      <c r="H111" s="97"/>
      <c r="I111" s="46">
        <f t="shared" si="6"/>
        <v>215591.70229865733</v>
      </c>
      <c r="J111" s="97"/>
      <c r="K111" s="97"/>
    </row>
    <row r="112" spans="1:11">
      <c r="A112" s="68" t="s">
        <v>99</v>
      </c>
      <c r="B112" s="62" t="s">
        <v>489</v>
      </c>
      <c r="C112" s="97" t="s">
        <v>682</v>
      </c>
      <c r="D112" s="160">
        <f>'A2-A&amp;G'!D23</f>
        <v>141712</v>
      </c>
      <c r="E112" s="97"/>
      <c r="F112" s="126" t="str">
        <f>+F106</f>
        <v>TE</v>
      </c>
      <c r="G112" s="120">
        <f>$I$184</f>
        <v>0.93495713255492408</v>
      </c>
      <c r="H112" s="97"/>
      <c r="I112" s="46">
        <f>+G112*D112</f>
        <v>132494.64516862339</v>
      </c>
      <c r="J112" s="97"/>
      <c r="K112" s="97"/>
    </row>
    <row r="113" spans="1:12">
      <c r="A113" s="68" t="s">
        <v>133</v>
      </c>
      <c r="B113" s="62" t="s">
        <v>694</v>
      </c>
      <c r="C113" s="97" t="s">
        <v>1148</v>
      </c>
      <c r="D113" s="661">
        <v>302806.47460000002</v>
      </c>
      <c r="E113" s="97"/>
      <c r="F113" s="105" t="s">
        <v>31</v>
      </c>
      <c r="G113" s="120">
        <f>$I$192</f>
        <v>0.1248254792149225</v>
      </c>
      <c r="H113" s="97"/>
      <c r="I113" s="51">
        <f t="shared" ref="I113:I114" si="8">+G113*D113</f>
        <v>37797.963301326257</v>
      </c>
      <c r="J113" s="97"/>
      <c r="K113" s="97"/>
    </row>
    <row r="114" spans="1:12">
      <c r="A114" s="68" t="s">
        <v>134</v>
      </c>
      <c r="B114" s="62" t="s">
        <v>695</v>
      </c>
      <c r="C114" s="97" t="s">
        <v>518</v>
      </c>
      <c r="D114" s="160">
        <f>'A2-A&amp;G'!D31</f>
        <v>335104.17579999997</v>
      </c>
      <c r="E114" s="97"/>
      <c r="F114" s="105" t="str">
        <f>+F113</f>
        <v>W/S</v>
      </c>
      <c r="G114" s="120">
        <f>$I$192</f>
        <v>0.1248254792149225</v>
      </c>
      <c r="H114" s="97"/>
      <c r="I114" s="51">
        <f t="shared" si="8"/>
        <v>41829.539331156629</v>
      </c>
      <c r="J114" s="97"/>
      <c r="K114" s="97"/>
    </row>
    <row r="115" spans="1:12">
      <c r="A115" s="68">
        <v>6</v>
      </c>
      <c r="B115" s="62" t="s">
        <v>58</v>
      </c>
      <c r="C115" s="549" t="s">
        <v>683</v>
      </c>
      <c r="D115" s="64">
        <v>0</v>
      </c>
      <c r="E115" s="97"/>
      <c r="F115" s="97" t="s">
        <v>1255</v>
      </c>
      <c r="G115" s="120">
        <f>$K$196</f>
        <v>0.12201673244143903</v>
      </c>
      <c r="H115" s="97"/>
      <c r="I115" s="54">
        <f t="shared" si="6"/>
        <v>0</v>
      </c>
      <c r="J115" s="97"/>
      <c r="K115" s="97"/>
    </row>
    <row r="116" spans="1:12" ht="13.8" thickBot="1">
      <c r="A116" s="68">
        <v>7</v>
      </c>
      <c r="B116" s="62" t="s">
        <v>40</v>
      </c>
      <c r="C116" s="97" t="s">
        <v>498</v>
      </c>
      <c r="D116" s="64">
        <v>0</v>
      </c>
      <c r="E116" s="97"/>
      <c r="F116" s="97" t="s">
        <v>290</v>
      </c>
      <c r="G116" s="119">
        <v>1</v>
      </c>
      <c r="H116" s="97"/>
      <c r="I116" s="55">
        <f t="shared" si="6"/>
        <v>0</v>
      </c>
      <c r="J116" s="97"/>
      <c r="K116" s="97"/>
    </row>
    <row r="117" spans="1:12">
      <c r="A117" s="68">
        <v>8</v>
      </c>
      <c r="B117" s="62" t="s">
        <v>833</v>
      </c>
      <c r="C117" s="97"/>
      <c r="D117" s="63">
        <f>+D106-D107-D108+D109-D111+D115+D116+D112+D113-D114</f>
        <v>29604123.298799999</v>
      </c>
      <c r="E117" s="97"/>
      <c r="F117" s="97"/>
      <c r="G117" s="97"/>
      <c r="H117" s="97"/>
      <c r="I117" s="63">
        <f>+I106-I107-I108+I109-I111+I115+I116+I112+I113-I114</f>
        <v>5782715.4624781832</v>
      </c>
      <c r="J117" s="97"/>
      <c r="K117" s="97"/>
    </row>
    <row r="118" spans="1:12">
      <c r="A118" s="68"/>
      <c r="C118" s="97"/>
      <c r="E118" s="97"/>
      <c r="F118" s="97"/>
      <c r="G118" s="97"/>
      <c r="H118" s="97"/>
      <c r="J118" s="97"/>
      <c r="K118" s="97"/>
    </row>
    <row r="119" spans="1:12">
      <c r="A119" s="68"/>
      <c r="B119" s="62" t="s">
        <v>364</v>
      </c>
      <c r="C119" s="97"/>
      <c r="D119" s="97"/>
      <c r="E119" s="97"/>
      <c r="F119" s="97"/>
      <c r="G119" s="97"/>
      <c r="H119" s="97"/>
      <c r="I119" s="97"/>
      <c r="J119" s="97"/>
      <c r="K119" s="97"/>
    </row>
    <row r="120" spans="1:12">
      <c r="A120" s="68">
        <v>9</v>
      </c>
      <c r="B120" s="123" t="str">
        <f>+B106</f>
        <v xml:space="preserve">  Transmission </v>
      </c>
      <c r="C120" s="97" t="s">
        <v>1063</v>
      </c>
      <c r="D120" s="804">
        <v>5660889</v>
      </c>
      <c r="E120" s="97"/>
      <c r="F120" s="97" t="s">
        <v>11</v>
      </c>
      <c r="G120" s="104">
        <f>$I$175</f>
        <v>0.93495713255492408</v>
      </c>
      <c r="H120" s="97"/>
      <c r="I120" s="54">
        <f>+G120*D120</f>
        <v>5292688.5471517118</v>
      </c>
      <c r="J120" s="97"/>
      <c r="K120" s="122"/>
      <c r="L120" s="720"/>
    </row>
    <row r="121" spans="1:12">
      <c r="A121" s="68">
        <v>10</v>
      </c>
      <c r="B121" s="62" t="s">
        <v>114</v>
      </c>
      <c r="C121" s="97" t="s">
        <v>1064</v>
      </c>
      <c r="D121" s="804">
        <f>3892369+0-0-0</f>
        <v>3892369</v>
      </c>
      <c r="E121" s="97"/>
      <c r="F121" s="97" t="s">
        <v>31</v>
      </c>
      <c r="G121" s="120">
        <f>$I$192</f>
        <v>0.1248254792149225</v>
      </c>
      <c r="H121" s="97"/>
      <c r="I121" s="54">
        <f>+G121*D121</f>
        <v>485866.82570630865</v>
      </c>
      <c r="J121" s="97"/>
      <c r="K121" s="122"/>
      <c r="L121" s="720"/>
    </row>
    <row r="122" spans="1:12">
      <c r="A122" s="68">
        <v>11</v>
      </c>
      <c r="B122" s="123" t="str">
        <f>+B115</f>
        <v xml:space="preserve">  Other</v>
      </c>
      <c r="C122" s="97" t="s">
        <v>1065</v>
      </c>
      <c r="D122" s="64">
        <f>0-0</f>
        <v>0</v>
      </c>
      <c r="E122" s="97"/>
      <c r="F122" s="97" t="s">
        <v>1255</v>
      </c>
      <c r="G122" s="120">
        <f>$K$196</f>
        <v>0.12201673244143903</v>
      </c>
      <c r="H122" s="97"/>
      <c r="I122" s="54">
        <f>+G122*D122</f>
        <v>0</v>
      </c>
      <c r="J122" s="97"/>
      <c r="K122" s="122"/>
      <c r="L122" s="720"/>
    </row>
    <row r="123" spans="1:12" s="2" customFormat="1" ht="13.8" thickBot="1">
      <c r="A123" s="65" t="s">
        <v>299</v>
      </c>
      <c r="B123" s="48" t="s">
        <v>303</v>
      </c>
      <c r="C123" s="801" t="s">
        <v>1122</v>
      </c>
      <c r="D123" s="64">
        <v>0</v>
      </c>
      <c r="E123" s="46"/>
      <c r="F123" s="64"/>
      <c r="G123" s="620"/>
      <c r="H123" s="46"/>
      <c r="I123" s="59">
        <f>+G123*D123</f>
        <v>0</v>
      </c>
      <c r="J123" s="43"/>
      <c r="K123" s="53"/>
    </row>
    <row r="124" spans="1:12">
      <c r="A124" s="68">
        <v>12</v>
      </c>
      <c r="B124" s="62" t="s">
        <v>304</v>
      </c>
      <c r="C124" s="43" t="s">
        <v>305</v>
      </c>
      <c r="D124" s="63">
        <f>SUM(D120:D123)</f>
        <v>9553258</v>
      </c>
      <c r="E124" s="97"/>
      <c r="F124" s="97"/>
      <c r="G124" s="97"/>
      <c r="H124" s="97"/>
      <c r="I124" s="54">
        <f>SUM(I120:I123)</f>
        <v>5778555.3728580205</v>
      </c>
      <c r="J124" s="97"/>
      <c r="K124" s="97"/>
    </row>
    <row r="125" spans="1:12">
      <c r="A125" s="68"/>
      <c r="B125" s="62"/>
      <c r="C125" s="97"/>
      <c r="D125" s="97"/>
      <c r="E125" s="97"/>
      <c r="F125" s="97"/>
      <c r="G125" s="97"/>
      <c r="H125" s="97"/>
      <c r="I125" s="97"/>
      <c r="J125" s="97"/>
      <c r="K125" s="97"/>
    </row>
    <row r="126" spans="1:12">
      <c r="A126" s="68" t="s">
        <v>2</v>
      </c>
      <c r="B126" s="62" t="s">
        <v>360</v>
      </c>
      <c r="D126" s="97"/>
      <c r="E126" s="97"/>
      <c r="F126" s="97"/>
      <c r="G126" s="97"/>
      <c r="H126" s="97"/>
      <c r="I126" s="97"/>
      <c r="J126" s="97"/>
      <c r="K126" s="97"/>
    </row>
    <row r="127" spans="1:12">
      <c r="A127" s="68"/>
      <c r="B127" s="62" t="s">
        <v>41</v>
      </c>
      <c r="E127" s="97"/>
      <c r="F127" s="97"/>
      <c r="H127" s="97"/>
      <c r="J127" s="97"/>
      <c r="K127" s="122"/>
    </row>
    <row r="128" spans="1:12">
      <c r="A128" s="68">
        <v>13</v>
      </c>
      <c r="B128" s="62" t="s">
        <v>42</v>
      </c>
      <c r="C128" s="97" t="s">
        <v>1219</v>
      </c>
      <c r="D128" s="64">
        <f>1613076+13832+52372</f>
        <v>1679280</v>
      </c>
      <c r="E128" s="97"/>
      <c r="F128" s="97" t="s">
        <v>31</v>
      </c>
      <c r="G128" s="120">
        <f>$I$192</f>
        <v>0.1248254792149225</v>
      </c>
      <c r="H128" s="97"/>
      <c r="I128" s="54">
        <f>+G128*D128</f>
        <v>209616.93073603505</v>
      </c>
      <c r="J128" s="97"/>
      <c r="K128" s="122"/>
    </row>
    <row r="129" spans="1:12">
      <c r="A129" s="68">
        <v>14</v>
      </c>
      <c r="B129" s="62" t="s">
        <v>43</v>
      </c>
      <c r="C129" s="97" t="s">
        <v>100</v>
      </c>
      <c r="D129" s="64">
        <v>0</v>
      </c>
      <c r="E129" s="97"/>
      <c r="F129" s="105" t="str">
        <f>+F128</f>
        <v>W/S</v>
      </c>
      <c r="G129" s="120">
        <f>$I$192</f>
        <v>0.1248254792149225</v>
      </c>
      <c r="H129" s="97"/>
      <c r="I129" s="54">
        <f>+G129*D129</f>
        <v>0</v>
      </c>
      <c r="J129" s="97"/>
      <c r="K129" s="122"/>
    </row>
    <row r="130" spans="1:12">
      <c r="A130" s="68">
        <v>15</v>
      </c>
      <c r="B130" s="62" t="s">
        <v>44</v>
      </c>
      <c r="C130" s="97" t="s">
        <v>2</v>
      </c>
      <c r="E130" s="97"/>
      <c r="F130" s="97"/>
      <c r="H130" s="97"/>
      <c r="J130" s="97"/>
      <c r="K130" s="122"/>
    </row>
    <row r="131" spans="1:12">
      <c r="A131" s="68">
        <v>16</v>
      </c>
      <c r="B131" s="62" t="s">
        <v>45</v>
      </c>
      <c r="C131" s="97" t="s">
        <v>1220</v>
      </c>
      <c r="D131" s="64">
        <v>11497009</v>
      </c>
      <c r="E131" s="97"/>
      <c r="F131" s="97" t="s">
        <v>36</v>
      </c>
      <c r="G131" s="120">
        <f>+$G$50</f>
        <v>0.24147688977503837</v>
      </c>
      <c r="H131" s="97"/>
      <c r="I131" s="54">
        <f>+G131*D131</f>
        <v>2776261.9750356241</v>
      </c>
      <c r="J131" s="97"/>
      <c r="K131" s="122"/>
    </row>
    <row r="132" spans="1:12">
      <c r="A132" s="68">
        <v>17</v>
      </c>
      <c r="B132" s="62" t="s">
        <v>46</v>
      </c>
      <c r="C132" s="97" t="s">
        <v>1221</v>
      </c>
      <c r="D132" s="64">
        <v>-50378</v>
      </c>
      <c r="E132" s="97"/>
      <c r="F132" s="105" t="s">
        <v>27</v>
      </c>
      <c r="G132" s="127">
        <v>0</v>
      </c>
      <c r="H132" s="97"/>
      <c r="I132" s="54">
        <v>0</v>
      </c>
      <c r="J132" s="97"/>
      <c r="K132" s="122"/>
    </row>
    <row r="133" spans="1:12">
      <c r="A133" s="68">
        <v>18</v>
      </c>
      <c r="B133" s="62" t="s">
        <v>789</v>
      </c>
      <c r="C133" s="97" t="s">
        <v>100</v>
      </c>
      <c r="D133" s="64">
        <v>0</v>
      </c>
      <c r="E133" s="97"/>
      <c r="F133" s="64"/>
      <c r="G133" s="620"/>
      <c r="H133" s="97"/>
      <c r="I133" s="54">
        <f>+G133*D133</f>
        <v>0</v>
      </c>
      <c r="J133" s="97"/>
      <c r="K133" s="122"/>
    </row>
    <row r="134" spans="1:12" ht="13.8" thickBot="1">
      <c r="A134" s="68">
        <v>19</v>
      </c>
      <c r="B134" s="62" t="s">
        <v>794</v>
      </c>
      <c r="C134" s="97"/>
      <c r="D134" s="161"/>
      <c r="E134" s="97"/>
      <c r="F134" s="97"/>
      <c r="G134" s="120"/>
      <c r="H134" s="97"/>
      <c r="I134" s="54"/>
      <c r="J134" s="97"/>
      <c r="K134" s="122"/>
    </row>
    <row r="135" spans="1:12">
      <c r="A135" s="68">
        <v>20</v>
      </c>
      <c r="B135" s="62" t="s">
        <v>307</v>
      </c>
      <c r="C135" s="43" t="s">
        <v>306</v>
      </c>
      <c r="D135" s="63">
        <f>SUM(D128:D134)</f>
        <v>13125911</v>
      </c>
      <c r="E135" s="97"/>
      <c r="F135" s="97"/>
      <c r="G135" s="108"/>
      <c r="H135" s="97"/>
      <c r="I135" s="63">
        <f>SUM(I128:I134)</f>
        <v>2985878.9057716592</v>
      </c>
      <c r="J135" s="97"/>
      <c r="K135" s="97"/>
    </row>
    <row r="136" spans="1:12">
      <c r="A136" s="68"/>
      <c r="B136" s="62"/>
      <c r="C136" s="97"/>
      <c r="D136" s="97"/>
      <c r="E136" s="97"/>
      <c r="F136" s="97"/>
      <c r="G136" s="108"/>
      <c r="H136" s="97"/>
      <c r="I136" s="97"/>
      <c r="J136" s="97"/>
      <c r="K136" s="97"/>
    </row>
    <row r="137" spans="1:12">
      <c r="A137" s="68" t="s">
        <v>2</v>
      </c>
      <c r="B137" s="62" t="s">
        <v>48</v>
      </c>
      <c r="C137" s="97" t="s">
        <v>358</v>
      </c>
      <c r="D137" s="97"/>
      <c r="E137" s="97"/>
      <c r="G137" s="128"/>
      <c r="H137" s="97"/>
      <c r="J137" s="97"/>
    </row>
    <row r="138" spans="1:12">
      <c r="A138" s="68">
        <v>21</v>
      </c>
      <c r="B138" s="129" t="s">
        <v>95</v>
      </c>
      <c r="C138" s="97"/>
      <c r="D138" s="130">
        <f>IF(D233&gt;0,1-(((1-D234)*(1-D233))/(1-D234*D233*D235)),0)</f>
        <v>0.24475999999999998</v>
      </c>
      <c r="E138" s="97"/>
      <c r="G138" s="128"/>
      <c r="H138" s="97"/>
      <c r="J138" s="97"/>
    </row>
    <row r="139" spans="1:12">
      <c r="A139" s="68">
        <v>22</v>
      </c>
      <c r="B139" s="93" t="s">
        <v>703</v>
      </c>
      <c r="C139" s="97"/>
      <c r="D139" s="130">
        <f>IF(I205&gt;0,(D138/(1-D138))*(1-I203/I205),0)</f>
        <v>0.21798887795536198</v>
      </c>
      <c r="E139" s="97"/>
      <c r="G139" s="128"/>
      <c r="H139" s="97"/>
      <c r="J139" s="97"/>
    </row>
    <row r="140" spans="1:12">
      <c r="A140" s="68"/>
      <c r="B140" s="62" t="s">
        <v>1083</v>
      </c>
      <c r="C140" s="97"/>
      <c r="D140" s="97"/>
      <c r="E140" s="97"/>
      <c r="G140" s="128"/>
      <c r="H140" s="97"/>
      <c r="J140" s="97"/>
    </row>
    <row r="141" spans="1:12">
      <c r="A141" s="68"/>
      <c r="B141" s="62" t="s">
        <v>485</v>
      </c>
      <c r="C141" s="97"/>
      <c r="D141" s="97"/>
      <c r="E141" s="97"/>
      <c r="G141" s="128"/>
      <c r="H141" s="97"/>
      <c r="J141" s="97"/>
    </row>
    <row r="142" spans="1:12">
      <c r="A142" s="68">
        <v>23</v>
      </c>
      <c r="B142" s="129" t="s">
        <v>96</v>
      </c>
      <c r="C142" s="97"/>
      <c r="D142" s="355">
        <f>IF(D138&gt;0,1/(1-D138),0)</f>
        <v>1.3240824108892537</v>
      </c>
      <c r="E142" s="97"/>
      <c r="G142" s="128"/>
      <c r="H142" s="97"/>
      <c r="J142" s="97"/>
    </row>
    <row r="143" spans="1:12" ht="15">
      <c r="A143" s="68">
        <v>24</v>
      </c>
      <c r="B143" s="62" t="s">
        <v>701</v>
      </c>
      <c r="C143" s="97" t="s">
        <v>302</v>
      </c>
      <c r="D143" s="64">
        <v>748451</v>
      </c>
      <c r="E143" s="97"/>
      <c r="G143" s="128"/>
      <c r="H143" s="97"/>
      <c r="J143" s="97"/>
      <c r="L143"/>
    </row>
    <row r="144" spans="1:12" ht="26.4">
      <c r="A144" s="68" t="s">
        <v>300</v>
      </c>
      <c r="B144" s="805" t="s">
        <v>1031</v>
      </c>
      <c r="C144" s="123" t="s">
        <v>1032</v>
      </c>
      <c r="D144" s="160">
        <f>'A3.1-EDIT-DDIT'!M43</f>
        <v>247963.97555122862</v>
      </c>
      <c r="E144" s="97"/>
      <c r="G144" s="128"/>
      <c r="H144" s="97"/>
      <c r="J144" s="97"/>
      <c r="L144"/>
    </row>
    <row r="145" spans="1:12" ht="15">
      <c r="A145" s="68" t="s">
        <v>625</v>
      </c>
      <c r="B145" s="45" t="s">
        <v>1192</v>
      </c>
      <c r="C145" s="43" t="s">
        <v>1193</v>
      </c>
      <c r="D145" s="64">
        <v>31074.52</v>
      </c>
      <c r="E145" s="97"/>
      <c r="G145" s="128"/>
      <c r="H145" s="97"/>
      <c r="J145" s="97"/>
      <c r="L145"/>
    </row>
    <row r="146" spans="1:12" ht="15">
      <c r="A146" s="68" t="s">
        <v>301</v>
      </c>
      <c r="B146" s="45" t="s">
        <v>298</v>
      </c>
      <c r="C146" s="43" t="s">
        <v>705</v>
      </c>
      <c r="D146" s="54">
        <f>D145*D138</f>
        <v>7605.7995151999994</v>
      </c>
      <c r="E146" s="97"/>
      <c r="G146" s="128"/>
      <c r="H146" s="97"/>
      <c r="J146" s="97"/>
      <c r="L146"/>
    </row>
    <row r="147" spans="1:12" ht="15">
      <c r="A147" s="68">
        <v>25</v>
      </c>
      <c r="B147" s="129" t="s">
        <v>310</v>
      </c>
      <c r="C147" s="131" t="s">
        <v>308</v>
      </c>
      <c r="D147" s="54">
        <f>D139*D154</f>
        <v>10765090.756231258</v>
      </c>
      <c r="E147" s="97"/>
      <c r="F147" s="97"/>
      <c r="G147" s="108"/>
      <c r="H147" s="97"/>
      <c r="I147" s="54">
        <f>D139*I154</f>
        <v>3237743.1452783677</v>
      </c>
      <c r="J147" s="97"/>
      <c r="K147" s="132" t="s">
        <v>2</v>
      </c>
      <c r="L147"/>
    </row>
    <row r="148" spans="1:12" ht="15">
      <c r="A148" s="68">
        <v>26</v>
      </c>
      <c r="B148" s="93" t="s">
        <v>311</v>
      </c>
      <c r="C148" s="131" t="s">
        <v>309</v>
      </c>
      <c r="D148" s="54">
        <f>D142*D143</f>
        <v>991010.80451247282</v>
      </c>
      <c r="E148" s="97"/>
      <c r="F148" s="93" t="s">
        <v>36</v>
      </c>
      <c r="G148" s="56">
        <f>GP</f>
        <v>0.24147688977503837</v>
      </c>
      <c r="H148" s="97"/>
      <c r="I148" s="54">
        <f>G148*D148</f>
        <v>239306.20680713048</v>
      </c>
      <c r="J148" s="97"/>
      <c r="K148" s="132"/>
      <c r="L148"/>
    </row>
    <row r="149" spans="1:12" ht="15">
      <c r="A149" s="68" t="s">
        <v>312</v>
      </c>
      <c r="B149" s="52" t="s">
        <v>835</v>
      </c>
      <c r="C149" s="66" t="s">
        <v>315</v>
      </c>
      <c r="D149" s="54">
        <f>D142*D144</f>
        <v>328324.73856155475</v>
      </c>
      <c r="E149" s="97"/>
      <c r="G149" s="57"/>
      <c r="H149" s="97"/>
      <c r="I149" s="54">
        <f>D149</f>
        <v>328324.73856155475</v>
      </c>
      <c r="J149" s="97"/>
      <c r="K149" s="132"/>
      <c r="L149"/>
    </row>
    <row r="150" spans="1:12" ht="15.6" thickBot="1">
      <c r="A150" s="68" t="s">
        <v>313</v>
      </c>
      <c r="B150" s="52" t="s">
        <v>314</v>
      </c>
      <c r="C150" s="66" t="s">
        <v>316</v>
      </c>
      <c r="D150" s="54">
        <f>D142*D146</f>
        <v>10070.705358826332</v>
      </c>
      <c r="E150" s="97"/>
      <c r="G150" s="57"/>
      <c r="H150" s="97"/>
      <c r="I150" s="54">
        <f>D150</f>
        <v>10070.705358826332</v>
      </c>
      <c r="J150" s="97"/>
      <c r="K150" s="132"/>
      <c r="L150"/>
    </row>
    <row r="151" spans="1:12" ht="15">
      <c r="A151" s="68">
        <v>27</v>
      </c>
      <c r="B151" s="129" t="s">
        <v>89</v>
      </c>
      <c r="C151" s="52" t="s">
        <v>702</v>
      </c>
      <c r="D151" s="63">
        <f>D147+D150-D148-D149</f>
        <v>9455825.9185160566</v>
      </c>
      <c r="E151" s="97"/>
      <c r="F151" s="97" t="s">
        <v>2</v>
      </c>
      <c r="G151" s="108" t="s">
        <v>2</v>
      </c>
      <c r="H151" s="97"/>
      <c r="I151" s="63">
        <f>I147+I150-I148-I149</f>
        <v>2680182.9052685089</v>
      </c>
      <c r="J151" s="97"/>
      <c r="K151" s="97"/>
      <c r="L151"/>
    </row>
    <row r="152" spans="1:12" ht="15">
      <c r="A152" s="68" t="s">
        <v>2</v>
      </c>
      <c r="C152" s="133"/>
      <c r="D152" s="97"/>
      <c r="E152" s="97"/>
      <c r="F152" s="97"/>
      <c r="G152" s="108"/>
      <c r="H152" s="97"/>
      <c r="I152" s="97"/>
      <c r="J152" s="97"/>
      <c r="K152" s="97"/>
      <c r="L152"/>
    </row>
    <row r="153" spans="1:12" ht="15">
      <c r="B153" s="62" t="s">
        <v>49</v>
      </c>
      <c r="C153" s="122"/>
      <c r="J153" s="97"/>
      <c r="L153"/>
    </row>
    <row r="154" spans="1:12">
      <c r="A154" s="68">
        <v>28</v>
      </c>
      <c r="B154" s="129" t="s">
        <v>540</v>
      </c>
      <c r="C154" s="675" t="s">
        <v>769</v>
      </c>
      <c r="D154" s="160">
        <f>+$I205*D92+I208</f>
        <v>49383669.741332613</v>
      </c>
      <c r="E154" s="97"/>
      <c r="F154" s="97"/>
      <c r="G154" s="128"/>
      <c r="H154" s="97"/>
      <c r="I154" s="54">
        <f>+$I205*I92+I208</f>
        <v>14852790.544393584</v>
      </c>
      <c r="J154" s="97"/>
      <c r="K154" s="122"/>
    </row>
    <row r="155" spans="1:12">
      <c r="A155" s="68"/>
      <c r="B155" s="62"/>
      <c r="D155" s="97"/>
      <c r="E155" s="97"/>
      <c r="F155" s="97"/>
      <c r="G155" s="128"/>
      <c r="H155" s="97"/>
      <c r="I155" s="97"/>
      <c r="J155" s="97"/>
      <c r="K155" s="122"/>
    </row>
    <row r="156" spans="1:12" ht="13.8" thickBot="1">
      <c r="A156" s="68">
        <v>29</v>
      </c>
      <c r="B156" s="62" t="s">
        <v>318</v>
      </c>
      <c r="C156" s="97" t="s">
        <v>317</v>
      </c>
      <c r="D156" s="67">
        <f>+D117+D124+D135+D151+D154</f>
        <v>111122787.95864867</v>
      </c>
      <c r="E156" s="97"/>
      <c r="F156" s="97"/>
      <c r="G156" s="97"/>
      <c r="H156" s="97"/>
      <c r="I156" s="67">
        <f>+I117+I124+I135+I151+I154</f>
        <v>32080123.190769956</v>
      </c>
      <c r="J156" s="62"/>
      <c r="K156" s="62"/>
    </row>
    <row r="157" spans="1:12" ht="13.8" thickTop="1">
      <c r="A157" s="68"/>
      <c r="B157" s="62"/>
      <c r="C157" s="97"/>
      <c r="D157" s="105"/>
      <c r="E157" s="97"/>
      <c r="F157" s="97"/>
      <c r="G157" s="97"/>
      <c r="H157" s="97"/>
      <c r="I157" s="105"/>
      <c r="J157" s="62"/>
      <c r="K157" s="62"/>
    </row>
    <row r="158" spans="1:12">
      <c r="B158" s="62"/>
      <c r="C158" s="62"/>
      <c r="D158" s="94"/>
      <c r="E158" s="62"/>
      <c r="F158" s="911"/>
      <c r="G158" s="911"/>
      <c r="H158" s="911"/>
      <c r="I158" s="911"/>
      <c r="J158" s="911"/>
      <c r="K158" s="911"/>
    </row>
    <row r="159" spans="1:12">
      <c r="B159" s="62"/>
      <c r="C159" s="62"/>
      <c r="D159" s="94"/>
      <c r="E159" s="62"/>
      <c r="F159" s="62"/>
      <c r="G159" s="62"/>
      <c r="H159" s="62"/>
      <c r="I159" s="912" t="str">
        <f>I1</f>
        <v>Actual Attachment H</v>
      </c>
      <c r="J159" s="912"/>
      <c r="K159" s="912"/>
    </row>
    <row r="160" spans="1:12">
      <c r="B160" s="62"/>
      <c r="C160" s="62"/>
      <c r="D160" s="94"/>
      <c r="E160" s="62"/>
      <c r="F160" s="62"/>
      <c r="G160" s="62"/>
      <c r="H160" s="62"/>
      <c r="I160" s="62"/>
      <c r="J160" s="911" t="s">
        <v>196</v>
      </c>
      <c r="K160" s="911"/>
    </row>
    <row r="161" spans="1:17">
      <c r="B161" s="62"/>
      <c r="C161" s="62"/>
      <c r="D161" s="94"/>
      <c r="E161" s="62"/>
      <c r="F161" s="62"/>
      <c r="G161" s="62"/>
      <c r="H161" s="62"/>
      <c r="I161" s="62"/>
      <c r="J161" s="95"/>
      <c r="K161" s="95"/>
    </row>
    <row r="162" spans="1:17">
      <c r="B162" s="94" t="s">
        <v>0</v>
      </c>
      <c r="C162" s="68" t="s">
        <v>1</v>
      </c>
      <c r="E162" s="62"/>
      <c r="F162" s="62"/>
      <c r="G162" s="914" t="str">
        <f>K4</f>
        <v>Actuals - For the 12 months ended 12/31/2024</v>
      </c>
      <c r="H162" s="914"/>
      <c r="I162" s="914"/>
      <c r="J162" s="914"/>
      <c r="K162" s="914"/>
    </row>
    <row r="163" spans="1:17">
      <c r="B163" s="62"/>
      <c r="C163" s="98" t="s">
        <v>3</v>
      </c>
      <c r="E163" s="97"/>
      <c r="F163" s="97"/>
      <c r="G163" s="97"/>
      <c r="H163" s="62"/>
      <c r="I163" s="62"/>
      <c r="J163" s="62"/>
      <c r="K163" s="62"/>
    </row>
    <row r="164" spans="1:17" ht="9" customHeight="1">
      <c r="A164" s="68"/>
      <c r="J164" s="97"/>
      <c r="K164" s="97"/>
    </row>
    <row r="165" spans="1:17">
      <c r="A165" s="68"/>
      <c r="C165" s="111" t="str">
        <f>C7</f>
        <v>Black Hills Colorado Electric, LLC</v>
      </c>
      <c r="J165" s="97"/>
      <c r="K165" s="97"/>
    </row>
    <row r="166" spans="1:17">
      <c r="A166" s="68"/>
      <c r="C166" s="125"/>
      <c r="J166" s="97"/>
      <c r="K166" s="97"/>
    </row>
    <row r="167" spans="1:17">
      <c r="A167" s="68"/>
      <c r="C167" s="115" t="s">
        <v>124</v>
      </c>
      <c r="E167" s="62"/>
      <c r="F167" s="62"/>
      <c r="G167" s="62"/>
      <c r="H167" s="62"/>
      <c r="I167" s="62"/>
      <c r="J167" s="97"/>
      <c r="K167" s="97"/>
    </row>
    <row r="168" spans="1:17">
      <c r="A168" s="68" t="s">
        <v>4</v>
      </c>
      <c r="B168" s="68" t="s">
        <v>15</v>
      </c>
      <c r="C168" s="68" t="s">
        <v>16</v>
      </c>
      <c r="D168" s="68" t="s">
        <v>17</v>
      </c>
      <c r="E168" s="97" t="s">
        <v>2</v>
      </c>
      <c r="F168" s="97"/>
      <c r="G168" s="113" t="s">
        <v>18</v>
      </c>
      <c r="H168" s="97"/>
      <c r="I168" s="113" t="s">
        <v>19</v>
      </c>
      <c r="J168" s="97"/>
      <c r="K168" s="97"/>
    </row>
    <row r="169" spans="1:17" ht="13.8" thickBot="1">
      <c r="A169" s="101" t="s">
        <v>6</v>
      </c>
      <c r="B169" s="62" t="s">
        <v>116</v>
      </c>
      <c r="C169" s="62"/>
      <c r="D169" s="62"/>
      <c r="E169" s="62"/>
      <c r="F169" s="62"/>
      <c r="G169" s="62"/>
      <c r="J169" s="97"/>
      <c r="K169" s="97"/>
    </row>
    <row r="170" spans="1:17">
      <c r="A170" s="68">
        <v>1</v>
      </c>
      <c r="B170" s="62" t="s">
        <v>320</v>
      </c>
      <c r="C170" s="62" t="s">
        <v>319</v>
      </c>
      <c r="D170" s="97"/>
      <c r="E170" s="97"/>
      <c r="F170" s="97"/>
      <c r="G170" s="97"/>
      <c r="H170" s="97"/>
      <c r="I170" s="160">
        <f>D46</f>
        <v>323128352.09307694</v>
      </c>
      <c r="J170" s="97"/>
      <c r="K170" s="97"/>
    </row>
    <row r="171" spans="1:17">
      <c r="A171" s="68">
        <v>2</v>
      </c>
      <c r="B171" s="62" t="s">
        <v>321</v>
      </c>
      <c r="C171" s="93" t="s">
        <v>359</v>
      </c>
      <c r="I171" s="106">
        <v>12765145.012935789</v>
      </c>
      <c r="J171" s="97"/>
      <c r="K171" s="97"/>
    </row>
    <row r="172" spans="1:17" ht="27" thickBot="1">
      <c r="A172" s="68">
        <v>3</v>
      </c>
      <c r="B172" s="891" t="s">
        <v>931</v>
      </c>
      <c r="C172" s="134" t="s">
        <v>278</v>
      </c>
      <c r="D172" s="97"/>
      <c r="E172" s="97"/>
      <c r="F172" s="97"/>
      <c r="G172" s="98"/>
      <c r="H172" s="97"/>
      <c r="I172" s="135">
        <v>8252049.5600000015</v>
      </c>
      <c r="J172" s="97"/>
      <c r="K172" s="97"/>
    </row>
    <row r="173" spans="1:17">
      <c r="A173" s="68">
        <v>4</v>
      </c>
      <c r="B173" s="62" t="s">
        <v>323</v>
      </c>
      <c r="C173" s="62" t="s">
        <v>324</v>
      </c>
      <c r="D173" s="97"/>
      <c r="E173" s="97"/>
      <c r="F173" s="97"/>
      <c r="G173" s="98"/>
      <c r="H173" s="97"/>
      <c r="I173" s="105">
        <f>I170-I171-I172</f>
        <v>302111157.52014112</v>
      </c>
      <c r="J173" s="97"/>
      <c r="K173" s="97"/>
    </row>
    <row r="174" spans="1:17" ht="9" customHeight="1">
      <c r="A174" s="68"/>
      <c r="C174" s="62"/>
      <c r="D174" s="97"/>
      <c r="E174" s="97"/>
      <c r="F174" s="97"/>
      <c r="G174" s="98"/>
      <c r="H174" s="97"/>
      <c r="J174" s="97"/>
      <c r="K174" s="97"/>
    </row>
    <row r="175" spans="1:17">
      <c r="A175" s="68">
        <v>5</v>
      </c>
      <c r="B175" s="62" t="s">
        <v>325</v>
      </c>
      <c r="C175" s="100" t="s">
        <v>326</v>
      </c>
      <c r="D175" s="100"/>
      <c r="E175" s="100"/>
      <c r="F175" s="100"/>
      <c r="G175" s="113"/>
      <c r="H175" s="97" t="s">
        <v>52</v>
      </c>
      <c r="I175" s="136">
        <f>IF(I170&gt;0,I173/I170,0)</f>
        <v>0.93495713255492408</v>
      </c>
      <c r="J175" s="97"/>
      <c r="K175" s="97"/>
      <c r="N175" s="137"/>
      <c r="O175" s="137"/>
      <c r="P175" s="137"/>
    </row>
    <row r="176" spans="1:17" ht="9" customHeight="1">
      <c r="A176" s="68"/>
      <c r="J176" s="97"/>
      <c r="K176" s="97"/>
      <c r="N176" s="62"/>
      <c r="P176" s="97"/>
      <c r="Q176" s="62"/>
    </row>
    <row r="177" spans="1:19">
      <c r="A177" s="68"/>
      <c r="B177" s="62" t="s">
        <v>50</v>
      </c>
      <c r="J177" s="97"/>
      <c r="K177" s="97"/>
      <c r="N177" s="915"/>
      <c r="O177" s="915"/>
      <c r="P177" s="915"/>
      <c r="Q177" s="915"/>
      <c r="R177" s="915"/>
      <c r="S177" s="915"/>
    </row>
    <row r="178" spans="1:19">
      <c r="A178" s="68">
        <v>6</v>
      </c>
      <c r="B178" s="93" t="s">
        <v>327</v>
      </c>
      <c r="C178" s="93" t="s">
        <v>337</v>
      </c>
      <c r="D178" s="62"/>
      <c r="E178" s="62"/>
      <c r="F178" s="62"/>
      <c r="G178" s="68"/>
      <c r="H178" s="62"/>
      <c r="I178" s="160">
        <f>D106</f>
        <v>5464990</v>
      </c>
      <c r="J178" s="97"/>
      <c r="K178" s="97"/>
      <c r="P178" s="97"/>
      <c r="Q178" s="62"/>
    </row>
    <row r="179" spans="1:19" ht="13.8" thickBot="1">
      <c r="A179" s="68">
        <v>7</v>
      </c>
      <c r="B179" s="134" t="s">
        <v>336</v>
      </c>
      <c r="C179" s="134" t="s">
        <v>335</v>
      </c>
      <c r="D179" s="97"/>
      <c r="E179" s="97"/>
      <c r="F179" s="97"/>
      <c r="G179" s="97"/>
      <c r="H179" s="97"/>
      <c r="I179" s="138">
        <v>0</v>
      </c>
      <c r="J179" s="97"/>
      <c r="K179" s="97"/>
      <c r="N179" s="139"/>
      <c r="O179" s="140"/>
      <c r="P179" s="97"/>
      <c r="Q179" s="62"/>
    </row>
    <row r="180" spans="1:19">
      <c r="A180" s="68">
        <v>8</v>
      </c>
      <c r="B180" s="62" t="s">
        <v>329</v>
      </c>
      <c r="C180" s="100" t="s">
        <v>328</v>
      </c>
      <c r="D180" s="100"/>
      <c r="E180" s="100"/>
      <c r="F180" s="100"/>
      <c r="G180" s="113"/>
      <c r="H180" s="100"/>
      <c r="I180" s="105">
        <f>+I178-I179</f>
        <v>5464990</v>
      </c>
      <c r="N180" s="141"/>
      <c r="O180" s="142"/>
      <c r="P180" s="143"/>
      <c r="Q180" s="143"/>
    </row>
    <row r="181" spans="1:19">
      <c r="A181" s="68"/>
      <c r="B181" s="62"/>
      <c r="C181" s="62"/>
      <c r="D181" s="97"/>
      <c r="E181" s="97"/>
      <c r="F181" s="97"/>
      <c r="G181" s="97"/>
      <c r="N181" s="141"/>
      <c r="O181" s="142"/>
    </row>
    <row r="182" spans="1:19">
      <c r="A182" s="68">
        <v>9</v>
      </c>
      <c r="B182" s="62" t="s">
        <v>429</v>
      </c>
      <c r="C182" s="62" t="s">
        <v>338</v>
      </c>
      <c r="D182" s="97"/>
      <c r="E182" s="97"/>
      <c r="F182" s="97"/>
      <c r="G182" s="97"/>
      <c r="H182" s="97"/>
      <c r="I182" s="120">
        <f>IF(I178&gt;0,I180/I178,0)</f>
        <v>1</v>
      </c>
      <c r="N182" s="62"/>
      <c r="O182" s="144"/>
      <c r="P182" s="142"/>
      <c r="Q182" s="142"/>
    </row>
    <row r="183" spans="1:19">
      <c r="A183" s="68">
        <v>10</v>
      </c>
      <c r="B183" s="62" t="s">
        <v>430</v>
      </c>
      <c r="C183" s="62" t="s">
        <v>332</v>
      </c>
      <c r="D183" s="97"/>
      <c r="E183" s="97"/>
      <c r="F183" s="97"/>
      <c r="G183" s="97"/>
      <c r="H183" s="62" t="s">
        <v>11</v>
      </c>
      <c r="I183" s="120">
        <f>$I$175</f>
        <v>0.93495713255492408</v>
      </c>
      <c r="N183" s="139"/>
      <c r="O183" s="142"/>
      <c r="Q183" s="142"/>
    </row>
    <row r="184" spans="1:19">
      <c r="A184" s="68">
        <v>11</v>
      </c>
      <c r="B184" s="62" t="s">
        <v>431</v>
      </c>
      <c r="C184" s="62" t="s">
        <v>333</v>
      </c>
      <c r="D184" s="62"/>
      <c r="E184" s="62"/>
      <c r="F184" s="62"/>
      <c r="G184" s="62"/>
      <c r="H184" s="62" t="s">
        <v>51</v>
      </c>
      <c r="I184" s="104">
        <f>+I183*I182</f>
        <v>0.93495713255492408</v>
      </c>
      <c r="N184" s="139"/>
      <c r="O184" s="142"/>
      <c r="Q184" s="142"/>
    </row>
    <row r="185" spans="1:19">
      <c r="A185" s="68"/>
      <c r="C185" s="62"/>
      <c r="D185" s="97"/>
      <c r="E185" s="97"/>
      <c r="F185" s="97"/>
      <c r="G185" s="98"/>
      <c r="H185" s="97"/>
      <c r="N185" s="139"/>
      <c r="O185" s="142"/>
      <c r="Q185" s="145"/>
    </row>
    <row r="186" spans="1:19">
      <c r="A186" s="68" t="s">
        <v>2</v>
      </c>
      <c r="B186" s="62" t="s">
        <v>53</v>
      </c>
      <c r="C186" s="97"/>
      <c r="D186" s="97"/>
      <c r="E186" s="97"/>
      <c r="F186" s="97"/>
      <c r="G186" s="97"/>
      <c r="H186" s="97"/>
      <c r="I186" s="97"/>
      <c r="J186" s="97"/>
      <c r="K186" s="97"/>
      <c r="N186" s="141"/>
      <c r="O186" s="142"/>
      <c r="P186" s="97"/>
      <c r="Q186" s="62"/>
    </row>
    <row r="187" spans="1:19" ht="13.8" thickBot="1">
      <c r="A187" s="68" t="s">
        <v>2</v>
      </c>
      <c r="B187" s="62"/>
      <c r="C187" s="146" t="s">
        <v>54</v>
      </c>
      <c r="D187" s="147" t="s">
        <v>55</v>
      </c>
      <c r="E187" s="147" t="s">
        <v>11</v>
      </c>
      <c r="F187" s="97"/>
      <c r="G187" s="147" t="s">
        <v>56</v>
      </c>
      <c r="H187" s="97"/>
      <c r="I187" s="97"/>
      <c r="J187" s="97"/>
      <c r="K187" s="97"/>
      <c r="N187" s="141"/>
      <c r="O187" s="142"/>
      <c r="P187" s="97"/>
      <c r="Q187" s="62"/>
    </row>
    <row r="188" spans="1:19">
      <c r="A188" s="68">
        <v>12</v>
      </c>
      <c r="B188" s="62" t="s">
        <v>26</v>
      </c>
      <c r="C188" s="97" t="s">
        <v>106</v>
      </c>
      <c r="D188" s="106">
        <v>1682811</v>
      </c>
      <c r="E188" s="148">
        <v>0</v>
      </c>
      <c r="F188" s="148"/>
      <c r="G188" s="105">
        <f>D188*E188</f>
        <v>0</v>
      </c>
      <c r="H188" s="97"/>
      <c r="I188" s="97"/>
      <c r="J188" s="97"/>
      <c r="K188" s="97"/>
    </row>
    <row r="189" spans="1:19">
      <c r="A189" s="68">
        <v>13</v>
      </c>
      <c r="B189" s="62" t="s">
        <v>28</v>
      </c>
      <c r="C189" s="97" t="s">
        <v>107</v>
      </c>
      <c r="D189" s="106">
        <v>1598959</v>
      </c>
      <c r="E189" s="509">
        <f>$I$175</f>
        <v>0.93495713255492408</v>
      </c>
      <c r="F189" s="148"/>
      <c r="G189" s="105">
        <f>D189*E189</f>
        <v>1494958.1217128888</v>
      </c>
      <c r="H189" s="97"/>
      <c r="I189" s="97"/>
      <c r="J189" s="97"/>
      <c r="K189" s="97"/>
    </row>
    <row r="190" spans="1:19">
      <c r="A190" s="68">
        <v>14</v>
      </c>
      <c r="B190" s="62" t="s">
        <v>29</v>
      </c>
      <c r="C190" s="97" t="s">
        <v>108</v>
      </c>
      <c r="D190" s="106">
        <v>7241028</v>
      </c>
      <c r="E190" s="148">
        <v>0</v>
      </c>
      <c r="F190" s="148"/>
      <c r="G190" s="105">
        <f>D190*E190</f>
        <v>0</v>
      </c>
      <c r="H190" s="97"/>
      <c r="I190" s="98" t="s">
        <v>57</v>
      </c>
      <c r="J190" s="97"/>
      <c r="K190" s="97"/>
    </row>
    <row r="191" spans="1:19" ht="13.8" thickBot="1">
      <c r="A191" s="68">
        <v>15</v>
      </c>
      <c r="B191" s="62" t="s">
        <v>58</v>
      </c>
      <c r="C191" s="97" t="s">
        <v>111</v>
      </c>
      <c r="D191" s="135">
        <f>1023959+429629+0</f>
        <v>1453588</v>
      </c>
      <c r="E191" s="148">
        <v>0</v>
      </c>
      <c r="F191" s="148"/>
      <c r="G191" s="150">
        <f>D191*E191</f>
        <v>0</v>
      </c>
      <c r="H191" s="97"/>
      <c r="I191" s="101" t="s">
        <v>59</v>
      </c>
      <c r="J191" s="97"/>
      <c r="K191" s="97"/>
    </row>
    <row r="192" spans="1:19">
      <c r="A192" s="68">
        <v>16</v>
      </c>
      <c r="B192" s="62" t="s">
        <v>339</v>
      </c>
      <c r="C192" s="97" t="s">
        <v>967</v>
      </c>
      <c r="D192" s="105">
        <f>SUM(D188:D191)</f>
        <v>11976386</v>
      </c>
      <c r="E192" s="97"/>
      <c r="F192" s="97"/>
      <c r="G192" s="105">
        <f>SUM(G188:G191)</f>
        <v>1494958.1217128888</v>
      </c>
      <c r="H192" s="68" t="s">
        <v>60</v>
      </c>
      <c r="I192" s="120">
        <f>IF(G192&gt;0,G192/D192,0)</f>
        <v>0.1248254792149225</v>
      </c>
      <c r="J192" s="98" t="s">
        <v>60</v>
      </c>
      <c r="K192" s="132" t="s">
        <v>31</v>
      </c>
    </row>
    <row r="193" spans="1:11" ht="9" customHeight="1">
      <c r="A193" s="68"/>
      <c r="B193" s="62"/>
      <c r="C193" s="97"/>
      <c r="D193" s="97"/>
      <c r="E193" s="97"/>
      <c r="F193" s="97"/>
      <c r="G193" s="97"/>
      <c r="H193" s="97"/>
      <c r="I193" s="97"/>
      <c r="J193" s="97"/>
      <c r="K193" s="97"/>
    </row>
    <row r="194" spans="1:11">
      <c r="A194" s="68"/>
      <c r="B194" s="62" t="s">
        <v>1254</v>
      </c>
      <c r="C194" s="97"/>
      <c r="D194" s="114" t="s">
        <v>55</v>
      </c>
      <c r="E194" s="97"/>
      <c r="F194" s="97"/>
      <c r="G194" s="98" t="s">
        <v>61</v>
      </c>
      <c r="H194" s="128" t="s">
        <v>2</v>
      </c>
      <c r="I194" s="121" t="str">
        <f>+I190</f>
        <v>W&amp;S Allocator</v>
      </c>
      <c r="J194" s="97"/>
      <c r="K194" s="97"/>
    </row>
    <row r="195" spans="1:11">
      <c r="A195" s="68">
        <v>17</v>
      </c>
      <c r="B195" s="62" t="s">
        <v>62</v>
      </c>
      <c r="C195" s="97" t="s">
        <v>63</v>
      </c>
      <c r="D195" s="106">
        <v>1234413433</v>
      </c>
      <c r="E195" s="97"/>
      <c r="G195" s="68" t="s">
        <v>64</v>
      </c>
      <c r="H195" s="128"/>
      <c r="I195" s="68" t="s">
        <v>65</v>
      </c>
      <c r="J195" s="97"/>
      <c r="K195" s="68" t="s">
        <v>1255</v>
      </c>
    </row>
    <row r="196" spans="1:11">
      <c r="A196" s="68">
        <v>18</v>
      </c>
      <c r="B196" s="62" t="s">
        <v>66</v>
      </c>
      <c r="C196" s="97" t="s">
        <v>101</v>
      </c>
      <c r="D196" s="106">
        <v>0</v>
      </c>
      <c r="E196" s="97"/>
      <c r="G196" s="104">
        <f>IF(D198&gt;0,D195/D198,0)</f>
        <v>0.97749861013032913</v>
      </c>
      <c r="H196" s="98" t="s">
        <v>67</v>
      </c>
      <c r="I196" s="104">
        <f>I192</f>
        <v>0.1248254792149225</v>
      </c>
      <c r="J196" s="128" t="s">
        <v>60</v>
      </c>
      <c r="K196" s="151">
        <f>I196*G196</f>
        <v>0.12201673244143903</v>
      </c>
    </row>
    <row r="197" spans="1:11" ht="13.8" thickBot="1">
      <c r="A197" s="68">
        <v>19</v>
      </c>
      <c r="B197" s="134" t="s">
        <v>58</v>
      </c>
      <c r="C197" s="146" t="s">
        <v>571</v>
      </c>
      <c r="D197" s="135">
        <v>28415404</v>
      </c>
      <c r="E197" s="97"/>
      <c r="F197" s="97"/>
      <c r="G197" s="97" t="s">
        <v>2</v>
      </c>
      <c r="H197" s="97"/>
      <c r="I197" s="97"/>
      <c r="J197" s="97"/>
      <c r="K197" s="97"/>
    </row>
    <row r="198" spans="1:11">
      <c r="A198" s="68">
        <v>20</v>
      </c>
      <c r="B198" s="62" t="s">
        <v>339</v>
      </c>
      <c r="C198" s="97" t="s">
        <v>340</v>
      </c>
      <c r="D198" s="105">
        <f>D195+D196+D197</f>
        <v>1262828837</v>
      </c>
      <c r="E198" s="97"/>
      <c r="F198" s="97"/>
      <c r="G198" s="97"/>
      <c r="H198" s="97"/>
      <c r="I198" s="97"/>
      <c r="J198" s="97"/>
      <c r="K198" s="97"/>
    </row>
    <row r="199" spans="1:11" ht="9" customHeight="1">
      <c r="A199" s="68"/>
      <c r="B199" s="62"/>
      <c r="C199" s="97"/>
      <c r="E199" s="97"/>
      <c r="F199" s="97"/>
      <c r="G199" s="97"/>
      <c r="H199" s="97"/>
      <c r="I199" s="97"/>
      <c r="J199" s="97"/>
      <c r="K199" s="97"/>
    </row>
    <row r="200" spans="1:11" ht="13.8" thickBot="1">
      <c r="A200" s="68"/>
      <c r="B200" s="62" t="s">
        <v>68</v>
      </c>
      <c r="C200" s="97"/>
      <c r="D200" s="97"/>
      <c r="E200" s="97"/>
      <c r="F200" s="97"/>
      <c r="G200" s="97"/>
      <c r="H200" s="97"/>
      <c r="I200" s="147" t="s">
        <v>55</v>
      </c>
      <c r="J200" s="97"/>
      <c r="K200" s="97"/>
    </row>
    <row r="201" spans="1:11">
      <c r="A201" s="68"/>
      <c r="B201" s="62"/>
      <c r="C201" s="97"/>
      <c r="D201" s="97"/>
      <c r="E201" s="97"/>
      <c r="F201" s="97"/>
      <c r="G201" s="98" t="s">
        <v>69</v>
      </c>
      <c r="H201" s="97"/>
      <c r="I201" s="97"/>
      <c r="J201" s="97"/>
      <c r="K201" s="97"/>
    </row>
    <row r="202" spans="1:11" ht="13.8" thickBot="1">
      <c r="A202" s="68"/>
      <c r="B202" s="62"/>
      <c r="C202" s="97"/>
      <c r="D202" s="97"/>
      <c r="E202" s="101" t="s">
        <v>70</v>
      </c>
      <c r="F202" s="97"/>
      <c r="G202" s="101" t="s">
        <v>1054</v>
      </c>
      <c r="H202" s="97"/>
      <c r="I202" s="101" t="s">
        <v>71</v>
      </c>
      <c r="J202" s="97"/>
      <c r="K202" s="97"/>
    </row>
    <row r="203" spans="1:11" s="796" customFormat="1">
      <c r="A203" s="69">
        <v>21</v>
      </c>
      <c r="B203" s="892" t="s">
        <v>341</v>
      </c>
      <c r="C203" s="412" t="s">
        <v>1054</v>
      </c>
      <c r="D203" s="97"/>
      <c r="E203" s="793">
        <v>0.53</v>
      </c>
      <c r="F203" s="794"/>
      <c r="G203" s="888">
        <v>4.229632551838225E-2</v>
      </c>
      <c r="I203" s="795">
        <f>G203*E203</f>
        <v>2.2417052524742593E-2</v>
      </c>
      <c r="J203" s="797" t="s">
        <v>72</v>
      </c>
    </row>
    <row r="204" spans="1:11" ht="13.8" thickBot="1">
      <c r="A204" s="68">
        <v>22</v>
      </c>
      <c r="B204" s="134" t="s">
        <v>342</v>
      </c>
      <c r="C204" s="134" t="s">
        <v>1054</v>
      </c>
      <c r="D204" s="134"/>
      <c r="E204" s="153">
        <v>0.47</v>
      </c>
      <c r="F204" s="154"/>
      <c r="G204" s="155">
        <v>9.8000000000000004E-2</v>
      </c>
      <c r="I204" s="157">
        <f>G204*E204</f>
        <v>4.6059999999999997E-2</v>
      </c>
      <c r="J204" s="97"/>
    </row>
    <row r="205" spans="1:11">
      <c r="A205" s="68">
        <v>23</v>
      </c>
      <c r="B205" s="62"/>
      <c r="C205" s="100"/>
      <c r="D205" s="97"/>
      <c r="E205" s="97" t="s">
        <v>2</v>
      </c>
      <c r="F205" s="97"/>
      <c r="G205" s="97"/>
      <c r="H205" s="97"/>
      <c r="I205" s="155">
        <f>SUM(I203:I204)</f>
        <v>6.8477052524742593E-2</v>
      </c>
      <c r="J205" s="156" t="s">
        <v>73</v>
      </c>
    </row>
    <row r="206" spans="1:11" ht="9" customHeight="1">
      <c r="D206" s="97"/>
      <c r="E206" s="97"/>
      <c r="F206" s="97"/>
      <c r="G206" s="97"/>
      <c r="H206" s="97"/>
    </row>
    <row r="207" spans="1:11">
      <c r="A207" s="916"/>
      <c r="B207" s="916"/>
      <c r="C207" s="916"/>
      <c r="D207" s="97"/>
      <c r="E207" s="97"/>
      <c r="F207" s="122"/>
      <c r="G207" s="917"/>
      <c r="H207" s="917"/>
      <c r="I207" s="917"/>
      <c r="J207" s="917"/>
      <c r="K207" s="917"/>
    </row>
    <row r="208" spans="1:11">
      <c r="A208" s="68">
        <v>24</v>
      </c>
      <c r="B208" s="62" t="s">
        <v>541</v>
      </c>
      <c r="C208" s="62" t="s">
        <v>543</v>
      </c>
      <c r="D208" s="94"/>
      <c r="E208" s="62"/>
      <c r="F208" s="62"/>
      <c r="G208" s="62"/>
      <c r="H208" s="321"/>
      <c r="I208" s="152">
        <v>0</v>
      </c>
      <c r="J208" s="321"/>
      <c r="K208" s="321"/>
    </row>
    <row r="209" spans="1:11">
      <c r="B209" s="62"/>
      <c r="C209" s="62"/>
      <c r="D209" s="94"/>
      <c r="E209" s="62"/>
      <c r="F209" s="62"/>
      <c r="G209" s="911"/>
      <c r="H209" s="911"/>
      <c r="I209" s="911"/>
      <c r="J209" s="911"/>
      <c r="K209" s="911"/>
    </row>
    <row r="210" spans="1:11">
      <c r="B210" s="62"/>
      <c r="C210" s="62"/>
      <c r="D210" s="94"/>
      <c r="E210" s="62"/>
      <c r="F210" s="62"/>
      <c r="G210" s="62"/>
      <c r="H210" s="62"/>
      <c r="I210" s="912" t="str">
        <f>I1</f>
        <v>Actual Attachment H</v>
      </c>
      <c r="J210" s="912"/>
      <c r="K210" s="912"/>
    </row>
    <row r="211" spans="1:11">
      <c r="B211" s="62"/>
      <c r="C211" s="62"/>
      <c r="D211" s="94"/>
      <c r="E211" s="62"/>
      <c r="F211" s="62"/>
      <c r="G211" s="62"/>
      <c r="H211" s="62"/>
      <c r="I211" s="62"/>
      <c r="J211" s="911" t="s">
        <v>276</v>
      </c>
      <c r="K211" s="911"/>
    </row>
    <row r="212" spans="1:11">
      <c r="B212" s="62"/>
      <c r="C212" s="62"/>
      <c r="D212" s="94"/>
      <c r="E212" s="62"/>
      <c r="F212" s="62"/>
      <c r="G212" s="62"/>
      <c r="H212" s="62"/>
      <c r="I212" s="62"/>
      <c r="J212" s="62"/>
      <c r="K212" s="95"/>
    </row>
    <row r="213" spans="1:11">
      <c r="B213" s="94" t="s">
        <v>0</v>
      </c>
      <c r="C213" s="62"/>
      <c r="D213" s="68" t="s">
        <v>1</v>
      </c>
      <c r="E213" s="62"/>
      <c r="F213" s="62"/>
      <c r="G213" s="62"/>
      <c r="H213" s="62"/>
      <c r="I213" s="62"/>
      <c r="J213" s="62"/>
      <c r="K213" s="110" t="str">
        <f>K4</f>
        <v>Actuals - For the 12 months ended 12/31/2024</v>
      </c>
    </row>
    <row r="214" spans="1:11">
      <c r="B214" s="62"/>
      <c r="C214" s="97"/>
      <c r="D214" s="98" t="s">
        <v>3</v>
      </c>
      <c r="E214" s="97"/>
      <c r="F214" s="97"/>
      <c r="G214" s="97"/>
      <c r="H214" s="62"/>
      <c r="I214" s="62"/>
      <c r="J214" s="62"/>
      <c r="K214" s="62"/>
    </row>
    <row r="215" spans="1:11">
      <c r="A215" s="68"/>
      <c r="C215" s="68"/>
      <c r="D215" s="97"/>
      <c r="E215" s="97"/>
      <c r="F215" s="97"/>
      <c r="G215" s="97"/>
      <c r="H215" s="62"/>
      <c r="I215" s="141"/>
      <c r="K215" s="97"/>
    </row>
    <row r="216" spans="1:11">
      <c r="A216" s="68"/>
      <c r="C216" s="68"/>
      <c r="D216" s="158" t="str">
        <f>C7</f>
        <v>Black Hills Colorado Electric, LLC</v>
      </c>
      <c r="E216" s="97"/>
      <c r="F216" s="97"/>
      <c r="G216" s="97"/>
      <c r="H216" s="62"/>
      <c r="I216" s="141"/>
      <c r="K216" s="97"/>
    </row>
    <row r="217" spans="1:11">
      <c r="A217" s="68"/>
      <c r="C217" s="68"/>
      <c r="D217" s="97"/>
      <c r="E217" s="97"/>
      <c r="F217" s="97"/>
      <c r="G217" s="97"/>
      <c r="H217" s="62"/>
      <c r="I217" s="141"/>
      <c r="K217" s="97"/>
    </row>
    <row r="218" spans="1:11">
      <c r="A218" s="68"/>
      <c r="B218" s="62" t="s">
        <v>110</v>
      </c>
      <c r="C218" s="68"/>
      <c r="D218" s="97"/>
      <c r="E218" s="97"/>
      <c r="F218" s="97"/>
      <c r="G218" s="97"/>
      <c r="H218" s="62"/>
      <c r="I218" s="97"/>
      <c r="J218" s="62"/>
      <c r="K218" s="97"/>
    </row>
    <row r="219" spans="1:11">
      <c r="A219" s="68"/>
      <c r="B219" s="94" t="s">
        <v>109</v>
      </c>
      <c r="C219" s="68"/>
      <c r="D219" s="97"/>
      <c r="E219" s="97"/>
      <c r="F219" s="97"/>
      <c r="G219" s="97"/>
      <c r="H219" s="62"/>
      <c r="I219" s="97"/>
      <c r="J219" s="62"/>
      <c r="K219" s="97"/>
    </row>
    <row r="220" spans="1:11">
      <c r="A220" s="68" t="s">
        <v>74</v>
      </c>
      <c r="B220" s="62"/>
      <c r="C220" s="62"/>
      <c r="D220" s="97"/>
      <c r="E220" s="97"/>
      <c r="F220" s="97"/>
      <c r="G220" s="97"/>
      <c r="H220" s="62"/>
      <c r="I220" s="97"/>
      <c r="J220" s="62"/>
      <c r="K220" s="97"/>
    </row>
    <row r="221" spans="1:11" ht="13.8" thickBot="1">
      <c r="A221" s="101" t="s">
        <v>75</v>
      </c>
      <c r="B221" s="62"/>
      <c r="C221" s="62"/>
      <c r="D221" s="97"/>
      <c r="E221" s="97"/>
      <c r="F221" s="97"/>
      <c r="G221" s="97"/>
      <c r="H221" s="62"/>
      <c r="I221" s="97"/>
      <c r="J221" s="62"/>
      <c r="K221" s="97"/>
    </row>
    <row r="222" spans="1:11">
      <c r="A222" s="69" t="s">
        <v>76</v>
      </c>
      <c r="B222" s="72" t="s">
        <v>115</v>
      </c>
      <c r="C222" s="73"/>
      <c r="D222" s="74"/>
      <c r="E222" s="74"/>
      <c r="F222" s="74"/>
      <c r="G222" s="74"/>
      <c r="H222" s="73"/>
      <c r="I222" s="74"/>
      <c r="J222" s="73"/>
      <c r="K222" s="74"/>
    </row>
    <row r="223" spans="1:11" ht="30.75" customHeight="1">
      <c r="A223" s="69" t="s">
        <v>77</v>
      </c>
      <c r="B223" s="918" t="s">
        <v>746</v>
      </c>
      <c r="C223" s="918"/>
      <c r="D223" s="918"/>
      <c r="E223" s="918"/>
      <c r="F223" s="918"/>
      <c r="G223" s="918"/>
      <c r="H223" s="918"/>
      <c r="I223" s="918"/>
      <c r="J223" s="918"/>
      <c r="K223" s="918"/>
    </row>
    <row r="224" spans="1:11" ht="70.8" customHeight="1">
      <c r="A224" s="69" t="s">
        <v>78</v>
      </c>
      <c r="B224" s="903" t="s">
        <v>1266</v>
      </c>
      <c r="C224" s="903"/>
      <c r="D224" s="903"/>
      <c r="E224" s="903"/>
      <c r="F224" s="903"/>
      <c r="G224" s="903"/>
      <c r="H224" s="903"/>
      <c r="I224" s="903"/>
      <c r="J224" s="903"/>
      <c r="K224" s="903"/>
    </row>
    <row r="225" spans="1:11" ht="27" customHeight="1">
      <c r="A225" s="69" t="s">
        <v>79</v>
      </c>
      <c r="B225" s="902" t="s">
        <v>791</v>
      </c>
      <c r="C225" s="902"/>
      <c r="D225" s="902"/>
      <c r="E225" s="902"/>
      <c r="F225" s="902"/>
      <c r="G225" s="902"/>
      <c r="H225" s="902"/>
      <c r="I225" s="902"/>
      <c r="J225" s="73"/>
      <c r="K225" s="73"/>
    </row>
    <row r="226" spans="1:11">
      <c r="A226" s="69" t="s">
        <v>80</v>
      </c>
      <c r="B226" s="903" t="s">
        <v>1053</v>
      </c>
      <c r="C226" s="903"/>
      <c r="D226" s="903"/>
      <c r="E226" s="903"/>
      <c r="F226" s="903"/>
      <c r="G226" s="903"/>
      <c r="H226" s="903"/>
      <c r="I226" s="903"/>
      <c r="J226" s="903"/>
      <c r="K226" s="903"/>
    </row>
    <row r="227" spans="1:11" ht="28.5" customHeight="1">
      <c r="A227" s="69" t="s">
        <v>81</v>
      </c>
      <c r="B227" s="909" t="s">
        <v>973</v>
      </c>
      <c r="C227" s="909"/>
      <c r="D227" s="909"/>
      <c r="E227" s="909"/>
      <c r="F227" s="909"/>
      <c r="G227" s="909"/>
      <c r="H227" s="909"/>
      <c r="I227" s="909"/>
      <c r="J227" s="76"/>
      <c r="K227" s="76"/>
    </row>
    <row r="228" spans="1:11">
      <c r="A228" s="69" t="s">
        <v>82</v>
      </c>
      <c r="B228" s="70" t="s">
        <v>687</v>
      </c>
      <c r="C228" s="62"/>
      <c r="D228" s="62"/>
      <c r="E228" s="62"/>
      <c r="F228" s="62"/>
      <c r="G228" s="62"/>
      <c r="H228" s="62"/>
      <c r="I228" s="62"/>
      <c r="J228" s="73"/>
      <c r="K228" s="73"/>
    </row>
    <row r="229" spans="1:11" ht="29.25" customHeight="1">
      <c r="A229" s="69" t="s">
        <v>343</v>
      </c>
      <c r="B229" s="902" t="s">
        <v>688</v>
      </c>
      <c r="C229" s="902"/>
      <c r="D229" s="902"/>
      <c r="E229" s="902"/>
      <c r="F229" s="902"/>
      <c r="G229" s="902"/>
      <c r="H229" s="902"/>
      <c r="I229" s="902"/>
      <c r="J229" s="77"/>
      <c r="K229" s="73"/>
    </row>
    <row r="230" spans="1:11">
      <c r="A230" s="69" t="s">
        <v>83</v>
      </c>
      <c r="B230" s="902" t="s">
        <v>689</v>
      </c>
      <c r="C230" s="902"/>
      <c r="D230" s="902"/>
      <c r="E230" s="902"/>
      <c r="F230" s="902"/>
      <c r="G230" s="902"/>
      <c r="H230" s="902"/>
      <c r="I230" s="902"/>
      <c r="J230" s="73"/>
      <c r="K230" s="73"/>
    </row>
    <row r="231" spans="1:11">
      <c r="A231" s="69" t="s">
        <v>84</v>
      </c>
      <c r="B231" s="902" t="s">
        <v>1050</v>
      </c>
      <c r="C231" s="902"/>
      <c r="D231" s="902"/>
      <c r="E231" s="902"/>
      <c r="F231" s="902"/>
      <c r="G231" s="902"/>
      <c r="H231" s="902"/>
      <c r="I231" s="902"/>
      <c r="J231" s="73"/>
      <c r="K231" s="73"/>
    </row>
    <row r="232" spans="1:11" ht="53.25" customHeight="1">
      <c r="A232" s="69" t="s">
        <v>85</v>
      </c>
      <c r="B232" s="903" t="s">
        <v>690</v>
      </c>
      <c r="C232" s="903"/>
      <c r="D232" s="903"/>
      <c r="E232" s="903"/>
      <c r="F232" s="903"/>
      <c r="G232" s="903"/>
      <c r="H232" s="903"/>
      <c r="I232" s="903"/>
      <c r="J232" s="903"/>
      <c r="K232" s="903"/>
    </row>
    <row r="233" spans="1:11">
      <c r="A233" s="75" t="s">
        <v>2</v>
      </c>
      <c r="B233" s="62" t="s">
        <v>344</v>
      </c>
      <c r="C233" s="62" t="s">
        <v>90</v>
      </c>
      <c r="D233" s="159">
        <v>0.21</v>
      </c>
      <c r="E233" s="62" t="s">
        <v>345</v>
      </c>
      <c r="F233" s="62"/>
      <c r="G233" s="62"/>
      <c r="H233" s="62"/>
      <c r="I233" s="62"/>
      <c r="J233" s="62"/>
      <c r="K233" s="62"/>
    </row>
    <row r="234" spans="1:11">
      <c r="A234" s="75"/>
      <c r="B234" s="62"/>
      <c r="C234" s="62" t="s">
        <v>91</v>
      </c>
      <c r="D234" s="159">
        <v>4.3999999999999997E-2</v>
      </c>
      <c r="E234" s="62" t="s">
        <v>92</v>
      </c>
      <c r="F234" s="62"/>
      <c r="G234" s="62"/>
      <c r="H234" s="62"/>
      <c r="I234" s="62"/>
      <c r="J234" s="62"/>
      <c r="K234" s="62"/>
    </row>
    <row r="235" spans="1:11">
      <c r="A235" s="75"/>
      <c r="B235" s="62"/>
      <c r="C235" s="62" t="s">
        <v>93</v>
      </c>
      <c r="D235" s="159">
        <v>0</v>
      </c>
      <c r="E235" s="62" t="s">
        <v>94</v>
      </c>
      <c r="F235" s="62"/>
      <c r="G235" s="62"/>
      <c r="H235" s="62"/>
      <c r="I235" s="62"/>
      <c r="J235" s="62"/>
      <c r="K235" s="62"/>
    </row>
    <row r="236" spans="1:11" ht="29.4" customHeight="1">
      <c r="A236" s="69" t="s">
        <v>346</v>
      </c>
      <c r="B236" s="902" t="s">
        <v>1051</v>
      </c>
      <c r="C236" s="902"/>
      <c r="D236" s="902"/>
      <c r="E236" s="902"/>
      <c r="F236" s="902"/>
      <c r="G236" s="902"/>
      <c r="H236" s="902"/>
      <c r="I236" s="902"/>
      <c r="J236" s="73"/>
      <c r="K236" s="73"/>
    </row>
    <row r="237" spans="1:11" ht="27" customHeight="1">
      <c r="A237" s="69" t="s">
        <v>277</v>
      </c>
      <c r="B237" s="902" t="s">
        <v>1052</v>
      </c>
      <c r="C237" s="902"/>
      <c r="D237" s="902"/>
      <c r="E237" s="902"/>
      <c r="F237" s="902"/>
      <c r="G237" s="902"/>
      <c r="H237" s="902"/>
      <c r="I237" s="902"/>
      <c r="J237" s="78"/>
      <c r="K237" s="73"/>
    </row>
    <row r="238" spans="1:11" ht="53.4" customHeight="1">
      <c r="A238" s="69" t="s">
        <v>347</v>
      </c>
      <c r="B238" s="907" t="s">
        <v>1189</v>
      </c>
      <c r="C238" s="907"/>
      <c r="D238" s="907"/>
      <c r="E238" s="907"/>
      <c r="F238" s="907"/>
      <c r="G238" s="907"/>
      <c r="H238" s="907"/>
      <c r="I238" s="907"/>
      <c r="J238" s="907"/>
      <c r="K238" s="907"/>
    </row>
    <row r="239" spans="1:11" ht="49.95" customHeight="1">
      <c r="A239" s="69" t="s">
        <v>348</v>
      </c>
      <c r="B239" s="909" t="s">
        <v>1233</v>
      </c>
      <c r="C239" s="909"/>
      <c r="D239" s="909"/>
      <c r="E239" s="909"/>
      <c r="F239" s="909"/>
      <c r="G239" s="909"/>
      <c r="H239" s="909"/>
      <c r="I239" s="909"/>
      <c r="J239" s="76"/>
      <c r="K239" s="76"/>
    </row>
    <row r="240" spans="1:11" ht="29.4" customHeight="1">
      <c r="A240" s="69" t="s">
        <v>349</v>
      </c>
      <c r="B240" s="904" t="s">
        <v>1190</v>
      </c>
      <c r="C240" s="904"/>
      <c r="D240" s="904"/>
      <c r="E240" s="904"/>
      <c r="F240" s="904"/>
      <c r="G240" s="904"/>
      <c r="H240" s="904"/>
      <c r="I240" s="904"/>
      <c r="J240" s="904"/>
      <c r="K240" s="904"/>
    </row>
    <row r="241" spans="1:11" ht="29.4" customHeight="1">
      <c r="A241" s="69" t="s">
        <v>350</v>
      </c>
      <c r="B241" s="904" t="s">
        <v>1191</v>
      </c>
      <c r="C241" s="904"/>
      <c r="D241" s="904"/>
      <c r="E241" s="904"/>
      <c r="F241" s="904"/>
      <c r="G241" s="904"/>
      <c r="H241" s="904"/>
      <c r="I241" s="904"/>
      <c r="J241" s="73"/>
      <c r="K241" s="73"/>
    </row>
    <row r="242" spans="1:11" ht="15.75" customHeight="1">
      <c r="A242" s="69" t="s">
        <v>86</v>
      </c>
      <c r="B242" s="910" t="s">
        <v>1147</v>
      </c>
      <c r="C242" s="910"/>
      <c r="D242" s="910"/>
      <c r="E242" s="910"/>
      <c r="F242" s="910"/>
      <c r="G242" s="910"/>
      <c r="H242" s="910"/>
      <c r="I242" s="910"/>
      <c r="J242" s="79"/>
      <c r="K242" s="79"/>
    </row>
    <row r="243" spans="1:11" ht="29.25" customHeight="1">
      <c r="A243" s="69" t="s">
        <v>351</v>
      </c>
      <c r="B243" s="908" t="s">
        <v>691</v>
      </c>
      <c r="C243" s="908"/>
      <c r="D243" s="908"/>
      <c r="E243" s="908"/>
      <c r="F243" s="908"/>
      <c r="G243" s="908"/>
      <c r="H243" s="908"/>
      <c r="I243" s="908"/>
      <c r="J243" s="73"/>
      <c r="K243" s="73"/>
    </row>
    <row r="244" spans="1:11" ht="30" customHeight="1">
      <c r="A244" s="71" t="s">
        <v>352</v>
      </c>
      <c r="B244" s="904" t="s">
        <v>1259</v>
      </c>
      <c r="C244" s="904"/>
      <c r="D244" s="904"/>
      <c r="E244" s="904"/>
      <c r="F244" s="904"/>
      <c r="G244" s="904"/>
      <c r="H244" s="904"/>
      <c r="I244" s="904"/>
      <c r="J244" s="81"/>
      <c r="K244" s="81"/>
    </row>
    <row r="245" spans="1:11" ht="13.2" customHeight="1">
      <c r="A245" s="71" t="s">
        <v>353</v>
      </c>
      <c r="B245" s="905" t="s">
        <v>1147</v>
      </c>
      <c r="C245" s="905"/>
      <c r="D245" s="905"/>
      <c r="E245" s="905"/>
      <c r="F245" s="905"/>
      <c r="G245" s="905"/>
      <c r="H245" s="905"/>
      <c r="I245" s="905"/>
      <c r="J245" s="82"/>
      <c r="K245" s="82"/>
    </row>
    <row r="246" spans="1:11" ht="13.2" customHeight="1">
      <c r="A246" s="71" t="s">
        <v>354</v>
      </c>
      <c r="B246" s="904" t="s">
        <v>1055</v>
      </c>
      <c r="C246" s="904"/>
      <c r="D246" s="904"/>
      <c r="E246" s="904"/>
      <c r="F246" s="904"/>
      <c r="G246" s="904"/>
      <c r="H246" s="904"/>
      <c r="I246" s="904"/>
      <c r="J246" s="82"/>
      <c r="K246" s="82"/>
    </row>
    <row r="247" spans="1:11" ht="12.75" customHeight="1">
      <c r="A247" s="71" t="s">
        <v>499</v>
      </c>
      <c r="B247" s="904" t="s">
        <v>500</v>
      </c>
      <c r="C247" s="904"/>
      <c r="D247" s="904"/>
      <c r="E247" s="904"/>
      <c r="F247" s="904"/>
      <c r="G247" s="904"/>
      <c r="H247" s="904"/>
      <c r="I247" s="904"/>
      <c r="J247" s="82"/>
      <c r="K247" s="82"/>
    </row>
    <row r="248" spans="1:11" ht="27.75" customHeight="1">
      <c r="A248" s="71" t="s">
        <v>573</v>
      </c>
      <c r="B248" s="904" t="s">
        <v>692</v>
      </c>
      <c r="C248" s="904"/>
      <c r="D248" s="904"/>
      <c r="E248" s="904"/>
      <c r="F248" s="904"/>
      <c r="G248" s="904"/>
      <c r="H248" s="904"/>
      <c r="I248" s="904"/>
      <c r="J248" s="82"/>
      <c r="K248" s="82"/>
    </row>
    <row r="249" spans="1:11" ht="69.599999999999994" customHeight="1">
      <c r="A249" s="71" t="s">
        <v>574</v>
      </c>
      <c r="B249" s="904" t="s">
        <v>1143</v>
      </c>
      <c r="C249" s="904"/>
      <c r="D249" s="904"/>
      <c r="E249" s="904"/>
      <c r="F249" s="904"/>
      <c r="G249" s="904"/>
      <c r="H249" s="904"/>
      <c r="I249" s="904"/>
      <c r="J249" s="82"/>
      <c r="K249" s="82"/>
    </row>
    <row r="250" spans="1:11" ht="13.2" customHeight="1">
      <c r="A250" s="71" t="s">
        <v>748</v>
      </c>
      <c r="B250" s="905" t="s">
        <v>1147</v>
      </c>
      <c r="C250" s="905"/>
      <c r="D250" s="905"/>
      <c r="E250" s="905"/>
      <c r="F250" s="905"/>
      <c r="G250" s="905"/>
      <c r="H250" s="905"/>
      <c r="I250" s="905"/>
      <c r="J250" s="82"/>
      <c r="K250" s="82"/>
    </row>
    <row r="251" spans="1:11" ht="114" customHeight="1">
      <c r="A251" s="71" t="s">
        <v>788</v>
      </c>
      <c r="B251" s="905" t="s">
        <v>1082</v>
      </c>
      <c r="C251" s="905"/>
      <c r="D251" s="905"/>
      <c r="E251" s="905"/>
      <c r="F251" s="905"/>
      <c r="G251" s="905"/>
      <c r="H251" s="905"/>
      <c r="I251" s="905"/>
      <c r="J251" s="82"/>
      <c r="K251" s="82"/>
    </row>
    <row r="252" spans="1:11" ht="16.5" customHeight="1">
      <c r="A252" s="71"/>
      <c r="B252" s="919"/>
      <c r="C252" s="919"/>
      <c r="D252" s="919"/>
      <c r="E252" s="919"/>
      <c r="F252" s="919"/>
      <c r="G252" s="919"/>
      <c r="H252" s="919"/>
      <c r="I252" s="919"/>
      <c r="J252" s="82"/>
      <c r="K252" s="82"/>
    </row>
    <row r="253" spans="1:11" ht="14.25" customHeight="1">
      <c r="A253" s="71"/>
      <c r="B253" s="919"/>
      <c r="C253" s="919"/>
      <c r="D253" s="919"/>
      <c r="E253" s="919"/>
      <c r="F253" s="919"/>
      <c r="G253" s="919"/>
      <c r="H253" s="919"/>
      <c r="I253" s="919"/>
      <c r="J253" s="79"/>
      <c r="K253" s="79"/>
    </row>
    <row r="254" spans="1:11" ht="30.75" customHeight="1">
      <c r="A254" s="71"/>
      <c r="B254" s="919"/>
      <c r="C254" s="919"/>
      <c r="D254" s="919"/>
      <c r="E254" s="919"/>
      <c r="F254" s="919"/>
      <c r="G254" s="919"/>
      <c r="H254" s="919"/>
      <c r="I254" s="919"/>
      <c r="J254" s="79"/>
      <c r="K254" s="79"/>
    </row>
    <row r="255" spans="1:11">
      <c r="A255" s="83"/>
      <c r="B255" s="906"/>
      <c r="C255" s="906"/>
      <c r="D255" s="906"/>
      <c r="E255" s="906"/>
      <c r="F255" s="906"/>
      <c r="G255" s="906"/>
      <c r="H255" s="906"/>
      <c r="I255" s="906"/>
      <c r="J255" s="86"/>
      <c r="K255" s="86"/>
    </row>
    <row r="256" spans="1:11">
      <c r="A256" s="83"/>
    </row>
    <row r="257" spans="1:11">
      <c r="A257" s="83"/>
    </row>
    <row r="258" spans="1:11">
      <c r="A258" s="80"/>
      <c r="B258" s="87"/>
      <c r="C258" s="87"/>
      <c r="D258" s="87"/>
      <c r="E258" s="87"/>
      <c r="F258" s="87"/>
      <c r="G258" s="87"/>
      <c r="H258" s="88"/>
      <c r="I258" s="89"/>
      <c r="J258" s="90"/>
      <c r="K258" s="90"/>
    </row>
    <row r="259" spans="1:11" ht="25.5" customHeight="1">
      <c r="A259" s="80"/>
      <c r="J259" s="91"/>
      <c r="K259" s="91"/>
    </row>
    <row r="260" spans="1:11">
      <c r="A260" s="80"/>
      <c r="B260" s="79"/>
      <c r="C260" s="79"/>
      <c r="D260" s="79"/>
      <c r="E260" s="79"/>
      <c r="F260" s="79"/>
      <c r="G260" s="79"/>
      <c r="H260" s="79"/>
      <c r="I260" s="79"/>
      <c r="J260" s="79"/>
      <c r="K260" s="79"/>
    </row>
    <row r="261" spans="1:11">
      <c r="A261" s="80"/>
      <c r="B261" s="79"/>
      <c r="C261" s="79"/>
      <c r="D261" s="79"/>
      <c r="E261" s="79"/>
      <c r="F261" s="79"/>
      <c r="G261" s="79"/>
      <c r="H261" s="79"/>
      <c r="I261" s="79"/>
      <c r="J261" s="79"/>
      <c r="K261" s="79"/>
    </row>
    <row r="262" spans="1:11">
      <c r="A262" s="80"/>
      <c r="C262" s="79"/>
      <c r="D262" s="79"/>
      <c r="E262" s="79"/>
      <c r="F262" s="79"/>
      <c r="G262" s="79"/>
      <c r="H262" s="79"/>
      <c r="I262" s="79"/>
      <c r="J262" s="79"/>
      <c r="K262" s="79"/>
    </row>
    <row r="263" spans="1:11">
      <c r="A263" s="83"/>
      <c r="B263" s="901"/>
      <c r="C263" s="901"/>
      <c r="D263" s="901"/>
      <c r="E263" s="901"/>
      <c r="F263" s="901"/>
      <c r="G263" s="901"/>
      <c r="H263" s="901"/>
      <c r="I263" s="901"/>
      <c r="J263" s="79"/>
      <c r="K263" s="79"/>
    </row>
    <row r="264" spans="1:11">
      <c r="A264" s="80"/>
      <c r="B264" s="92"/>
      <c r="C264" s="79"/>
      <c r="D264" s="79"/>
      <c r="E264" s="79"/>
      <c r="F264" s="79"/>
      <c r="G264" s="79"/>
      <c r="H264" s="79"/>
      <c r="I264" s="79"/>
      <c r="J264" s="79"/>
      <c r="K264" s="79"/>
    </row>
    <row r="265" spans="1:11">
      <c r="A265" s="79"/>
      <c r="B265" s="92"/>
      <c r="C265" s="79"/>
      <c r="D265" s="79"/>
      <c r="E265" s="79"/>
      <c r="F265" s="79"/>
      <c r="G265" s="79"/>
      <c r="H265" s="79"/>
      <c r="I265" s="79"/>
      <c r="J265" s="79"/>
      <c r="K265" s="79"/>
    </row>
  </sheetData>
  <sheetProtection formatCells="0" formatColumns="0"/>
  <mergeCells count="47">
    <mergeCell ref="B252:I252"/>
    <mergeCell ref="B253:I253"/>
    <mergeCell ref="B254:I254"/>
    <mergeCell ref="B249:I249"/>
    <mergeCell ref="B240:K240"/>
    <mergeCell ref="B244:I244"/>
    <mergeCell ref="B241:I241"/>
    <mergeCell ref="G209:K209"/>
    <mergeCell ref="I210:K210"/>
    <mergeCell ref="J211:K211"/>
    <mergeCell ref="B232:K232"/>
    <mergeCell ref="B224:K224"/>
    <mergeCell ref="B227:I227"/>
    <mergeCell ref="B229:I229"/>
    <mergeCell ref="B230:I230"/>
    <mergeCell ref="B231:I231"/>
    <mergeCell ref="B223:K223"/>
    <mergeCell ref="J160:K160"/>
    <mergeCell ref="G162:K162"/>
    <mergeCell ref="N177:S177"/>
    <mergeCell ref="A207:C207"/>
    <mergeCell ref="G207:K207"/>
    <mergeCell ref="F158:K158"/>
    <mergeCell ref="I1:K1"/>
    <mergeCell ref="J2:K2"/>
    <mergeCell ref="I159:K159"/>
    <mergeCell ref="I94:K94"/>
    <mergeCell ref="J95:K95"/>
    <mergeCell ref="I32:K32"/>
    <mergeCell ref="J33:K33"/>
    <mergeCell ref="F12:G12"/>
    <mergeCell ref="B263:I263"/>
    <mergeCell ref="B225:I225"/>
    <mergeCell ref="B226:K226"/>
    <mergeCell ref="B246:I246"/>
    <mergeCell ref="B250:I250"/>
    <mergeCell ref="B251:I251"/>
    <mergeCell ref="B255:I255"/>
    <mergeCell ref="B238:K238"/>
    <mergeCell ref="B243:I243"/>
    <mergeCell ref="B247:I247"/>
    <mergeCell ref="B245:I245"/>
    <mergeCell ref="B236:I236"/>
    <mergeCell ref="B237:I237"/>
    <mergeCell ref="B239:I239"/>
    <mergeCell ref="B242:I242"/>
    <mergeCell ref="B248:I248"/>
  </mergeCells>
  <pageMargins left="0.5" right="0.25" top="1" bottom="1" header="0.5" footer="0.5"/>
  <pageSetup scale="58" fitToHeight="6"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93" max="10" man="1"/>
    <brk id="158" max="10" man="1"/>
    <brk id="209" max="10" man="1"/>
  </rowBreaks>
  <ignoredErrors>
    <ignoredError sqref="C115 H40:I40 B40:D40 B102 C102:F102 B168:I168 H102:I102" numberStoredAsText="1"/>
    <ignoredError sqref="I79:I80" formula="1"/>
    <ignoredError sqref="D25 D26:D29 D30:D31 I32 I159 I94 D192:D194 I21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sheetPr>
  <dimension ref="A1:K152"/>
  <sheetViews>
    <sheetView zoomScale="110" zoomScaleNormal="110" workbookViewId="0">
      <selection activeCell="H1" sqref="H1"/>
    </sheetView>
  </sheetViews>
  <sheetFormatPr defaultColWidth="8.6328125" defaultRowHeight="13.2"/>
  <cols>
    <col min="1" max="1" width="5.6328125" style="339" bestFit="1" customWidth="1"/>
    <col min="2" max="2" width="50.1796875" style="339" customWidth="1"/>
    <col min="3" max="3" width="19.54296875" style="341" bestFit="1" customWidth="1"/>
    <col min="4" max="4" width="12.08984375" style="344" customWidth="1"/>
    <col min="5" max="5" width="7.54296875" style="339" bestFit="1" customWidth="1"/>
    <col min="6" max="16384" width="8.6328125" style="339"/>
  </cols>
  <sheetData>
    <row r="1" spans="1:7">
      <c r="A1" s="925" t="s">
        <v>564</v>
      </c>
      <c r="B1" s="925"/>
      <c r="C1" s="925"/>
      <c r="D1" s="925"/>
      <c r="E1" s="925"/>
      <c r="F1" s="206"/>
      <c r="G1" s="206"/>
    </row>
    <row r="2" spans="1:7">
      <c r="A2" s="925" t="s">
        <v>565</v>
      </c>
      <c r="B2" s="925"/>
      <c r="C2" s="925"/>
      <c r="D2" s="925"/>
      <c r="E2" s="925"/>
      <c r="F2" s="206"/>
      <c r="G2" s="206"/>
    </row>
    <row r="3" spans="1:7">
      <c r="A3" s="926" t="str">
        <f>'Act Att-H'!C7</f>
        <v>Black Hills Colorado Electric, LLC</v>
      </c>
      <c r="B3" s="926"/>
      <c r="C3" s="926"/>
      <c r="D3" s="926"/>
      <c r="E3" s="926"/>
      <c r="F3" s="218"/>
      <c r="G3" s="218"/>
    </row>
    <row r="4" spans="1:7" ht="12.75" customHeight="1">
      <c r="A4" s="340"/>
      <c r="D4" s="342" t="s">
        <v>193</v>
      </c>
      <c r="E4" s="342"/>
    </row>
    <row r="6" spans="1:7">
      <c r="A6" s="403" t="s">
        <v>396</v>
      </c>
      <c r="B6" s="403" t="s">
        <v>159</v>
      </c>
      <c r="C6" s="349" t="s">
        <v>449</v>
      </c>
      <c r="D6" s="404" t="s">
        <v>7</v>
      </c>
    </row>
    <row r="7" spans="1:7">
      <c r="C7" s="409"/>
    </row>
    <row r="8" spans="1:7">
      <c r="A8" s="341">
        <v>1</v>
      </c>
      <c r="B8" s="343" t="s">
        <v>602</v>
      </c>
      <c r="C8" s="409"/>
    </row>
    <row r="9" spans="1:7">
      <c r="A9" s="341">
        <f>A8+1</f>
        <v>2</v>
      </c>
      <c r="B9" s="345" t="s">
        <v>563</v>
      </c>
      <c r="C9" s="409" t="s">
        <v>428</v>
      </c>
      <c r="D9" s="672">
        <f>100354+707270+26666+677310+9694+90214+98839</f>
        <v>1710347</v>
      </c>
    </row>
    <row r="10" spans="1:7">
      <c r="A10" s="341">
        <f t="shared" ref="A10:A32" si="0">A9+1</f>
        <v>3</v>
      </c>
      <c r="B10" s="347" t="s">
        <v>562</v>
      </c>
      <c r="C10" s="409" t="s">
        <v>566</v>
      </c>
      <c r="D10" s="672">
        <v>0</v>
      </c>
    </row>
    <row r="11" spans="1:7">
      <c r="A11" s="341">
        <f t="shared" si="0"/>
        <v>4</v>
      </c>
      <c r="B11" s="348" t="s">
        <v>561</v>
      </c>
      <c r="C11" s="409" t="s">
        <v>567</v>
      </c>
      <c r="D11" s="672">
        <v>677310</v>
      </c>
    </row>
    <row r="12" spans="1:7">
      <c r="A12" s="341">
        <f t="shared" si="0"/>
        <v>5</v>
      </c>
      <c r="B12" s="348" t="s">
        <v>560</v>
      </c>
      <c r="C12" s="409" t="s">
        <v>568</v>
      </c>
      <c r="D12" s="672">
        <v>9694</v>
      </c>
    </row>
    <row r="13" spans="1:7">
      <c r="A13" s="341">
        <f t="shared" si="0"/>
        <v>6</v>
      </c>
      <c r="B13" s="348" t="s">
        <v>559</v>
      </c>
      <c r="C13" s="409" t="s">
        <v>569</v>
      </c>
      <c r="D13" s="672">
        <v>90214</v>
      </c>
    </row>
    <row r="14" spans="1:7">
      <c r="A14" s="341">
        <f t="shared" si="0"/>
        <v>7</v>
      </c>
      <c r="B14" s="348" t="s">
        <v>558</v>
      </c>
      <c r="C14" s="409" t="s">
        <v>570</v>
      </c>
      <c r="D14" s="672">
        <v>98839</v>
      </c>
    </row>
    <row r="15" spans="1:7">
      <c r="A15" s="341">
        <f t="shared" si="0"/>
        <v>8</v>
      </c>
      <c r="B15" s="407" t="s">
        <v>599</v>
      </c>
      <c r="C15" s="674" t="s">
        <v>830</v>
      </c>
      <c r="D15" s="406">
        <f>D9-D10-D11-D12-D13-D14</f>
        <v>834290</v>
      </c>
    </row>
    <row r="16" spans="1:7">
      <c r="A16" s="341">
        <f t="shared" si="0"/>
        <v>9</v>
      </c>
      <c r="B16" s="345"/>
      <c r="D16" s="346"/>
    </row>
    <row r="17" spans="1:11">
      <c r="A17" s="341">
        <f t="shared" si="0"/>
        <v>10</v>
      </c>
      <c r="B17" s="345" t="s">
        <v>605</v>
      </c>
      <c r="C17" s="409" t="s">
        <v>933</v>
      </c>
      <c r="D17" s="672">
        <v>252131</v>
      </c>
    </row>
    <row r="18" spans="1:11">
      <c r="A18" s="341">
        <f t="shared" si="0"/>
        <v>11</v>
      </c>
      <c r="B18" s="345"/>
      <c r="D18" s="346"/>
    </row>
    <row r="19" spans="1:11">
      <c r="A19" s="341">
        <f t="shared" si="0"/>
        <v>12</v>
      </c>
      <c r="B19" s="345" t="s">
        <v>606</v>
      </c>
      <c r="C19" s="409" t="s">
        <v>831</v>
      </c>
      <c r="D19" s="411">
        <f>D15-D17</f>
        <v>582159</v>
      </c>
    </row>
    <row r="20" spans="1:11">
      <c r="A20" s="341">
        <f t="shared" si="0"/>
        <v>13</v>
      </c>
      <c r="B20" s="345"/>
      <c r="C20" s="409"/>
      <c r="D20" s="410"/>
    </row>
    <row r="21" spans="1:11" s="230" customFormat="1">
      <c r="A21" s="341">
        <f t="shared" si="0"/>
        <v>14</v>
      </c>
      <c r="B21" s="233"/>
      <c r="C21" s="234"/>
      <c r="E21" s="231"/>
      <c r="F21" s="408"/>
      <c r="I21" s="237"/>
      <c r="J21" s="237"/>
      <c r="K21" s="237"/>
    </row>
    <row r="22" spans="1:11">
      <c r="A22" s="341">
        <f t="shared" si="0"/>
        <v>15</v>
      </c>
      <c r="B22" s="343" t="s">
        <v>164</v>
      </c>
      <c r="C22" s="62"/>
      <c r="D22" s="97"/>
      <c r="E22" s="62"/>
      <c r="F22" s="62"/>
      <c r="G22" s="62"/>
      <c r="H22" s="62"/>
      <c r="I22" s="97"/>
      <c r="J22" s="62"/>
      <c r="K22" s="62"/>
    </row>
    <row r="23" spans="1:11">
      <c r="A23" s="341">
        <f t="shared" si="0"/>
        <v>16</v>
      </c>
      <c r="B23" s="62" t="s">
        <v>206</v>
      </c>
      <c r="C23" s="93" t="s">
        <v>440</v>
      </c>
      <c r="D23" s="160">
        <f>'P3-Divisor'!G24</f>
        <v>390302.43111831439</v>
      </c>
      <c r="E23" s="62"/>
      <c r="F23" s="62"/>
      <c r="G23" s="62"/>
      <c r="H23" s="62"/>
      <c r="J23" s="62"/>
      <c r="K23" s="62"/>
    </row>
    <row r="24" spans="1:11">
      <c r="A24" s="341">
        <f t="shared" si="0"/>
        <v>17</v>
      </c>
      <c r="B24" s="62"/>
      <c r="C24" s="97"/>
      <c r="D24" s="97"/>
      <c r="E24" s="97"/>
      <c r="F24" s="97"/>
      <c r="G24" s="97"/>
      <c r="H24" s="97"/>
      <c r="I24" s="97"/>
      <c r="J24" s="62"/>
      <c r="K24" s="62"/>
    </row>
    <row r="25" spans="1:11">
      <c r="A25" s="341">
        <f t="shared" si="0"/>
        <v>18</v>
      </c>
      <c r="B25" s="343" t="s">
        <v>136</v>
      </c>
      <c r="C25" s="97"/>
      <c r="D25" s="97"/>
      <c r="E25" s="97"/>
      <c r="F25" s="97"/>
      <c r="G25" s="97"/>
      <c r="H25" s="97"/>
      <c r="I25" s="97"/>
      <c r="J25" s="97"/>
      <c r="K25" s="62"/>
    </row>
    <row r="26" spans="1:11">
      <c r="A26" s="341">
        <f t="shared" si="0"/>
        <v>19</v>
      </c>
      <c r="B26" s="62" t="s">
        <v>207</v>
      </c>
      <c r="C26" s="62"/>
      <c r="D26" s="537">
        <f>ROUND(D19/D23,2)</f>
        <v>1.49</v>
      </c>
      <c r="E26" s="62" t="s">
        <v>197</v>
      </c>
      <c r="F26" s="97"/>
      <c r="G26" s="97"/>
      <c r="H26" s="97"/>
      <c r="I26" s="97"/>
      <c r="J26" s="97"/>
      <c r="K26" s="62"/>
    </row>
    <row r="27" spans="1:11">
      <c r="A27" s="341">
        <f t="shared" si="0"/>
        <v>20</v>
      </c>
      <c r="B27" s="62" t="s">
        <v>208</v>
      </c>
      <c r="C27" s="62" t="s">
        <v>603</v>
      </c>
      <c r="D27" s="538">
        <f>ROUND(D26/12,2)</f>
        <v>0.12</v>
      </c>
      <c r="E27" s="62" t="s">
        <v>198</v>
      </c>
      <c r="F27" s="97"/>
      <c r="G27" s="97"/>
      <c r="H27" s="97"/>
      <c r="I27" s="97"/>
      <c r="J27" s="97"/>
      <c r="K27" s="62"/>
    </row>
    <row r="28" spans="1:11">
      <c r="A28" s="341">
        <f t="shared" si="0"/>
        <v>21</v>
      </c>
      <c r="B28" s="62" t="s">
        <v>209</v>
      </c>
      <c r="C28" s="62" t="s">
        <v>604</v>
      </c>
      <c r="D28" s="537">
        <f>ROUND(D26/52,2)</f>
        <v>0.03</v>
      </c>
      <c r="E28" s="62" t="s">
        <v>199</v>
      </c>
      <c r="F28" s="97"/>
      <c r="G28" s="97"/>
      <c r="H28" s="97"/>
      <c r="I28" s="97"/>
      <c r="J28" s="97"/>
      <c r="K28" s="62"/>
    </row>
    <row r="29" spans="1:11">
      <c r="A29" s="341">
        <f t="shared" si="0"/>
        <v>22</v>
      </c>
      <c r="B29" s="62" t="s">
        <v>210</v>
      </c>
      <c r="C29" s="62" t="s">
        <v>200</v>
      </c>
      <c r="D29" s="538">
        <f>+D28/6</f>
        <v>5.0000000000000001E-3</v>
      </c>
      <c r="E29" s="62" t="s">
        <v>201</v>
      </c>
      <c r="F29" s="97"/>
      <c r="G29" s="97"/>
      <c r="H29" s="97"/>
      <c r="I29" s="97"/>
      <c r="J29" s="97"/>
      <c r="K29" s="62"/>
    </row>
    <row r="30" spans="1:11">
      <c r="A30" s="341">
        <f t="shared" si="0"/>
        <v>23</v>
      </c>
      <c r="B30" s="62" t="s">
        <v>211</v>
      </c>
      <c r="C30" s="62" t="s">
        <v>202</v>
      </c>
      <c r="D30" s="538">
        <f>+D28/7</f>
        <v>4.2857142857142859E-3</v>
      </c>
      <c r="E30" s="62" t="s">
        <v>201</v>
      </c>
      <c r="F30" s="97"/>
      <c r="G30" s="97"/>
      <c r="H30" s="97"/>
      <c r="I30" s="97"/>
      <c r="J30" s="97"/>
      <c r="K30" s="62"/>
    </row>
    <row r="31" spans="1:11">
      <c r="A31" s="341">
        <f t="shared" si="0"/>
        <v>24</v>
      </c>
      <c r="B31" s="62" t="s">
        <v>212</v>
      </c>
      <c r="C31" s="62" t="s">
        <v>203</v>
      </c>
      <c r="D31" s="537">
        <f>+D29/16*1000</f>
        <v>0.3125</v>
      </c>
      <c r="E31" s="62" t="s">
        <v>668</v>
      </c>
      <c r="F31" s="97"/>
      <c r="G31" s="97"/>
      <c r="H31" s="97"/>
      <c r="I31" s="97"/>
      <c r="J31" s="97"/>
      <c r="K31" s="62"/>
    </row>
    <row r="32" spans="1:11">
      <c r="A32" s="341">
        <f t="shared" si="0"/>
        <v>25</v>
      </c>
      <c r="B32" s="62" t="s">
        <v>213</v>
      </c>
      <c r="C32" s="62" t="s">
        <v>204</v>
      </c>
      <c r="D32" s="537">
        <f>+D30/24*1000</f>
        <v>0.17857142857142858</v>
      </c>
      <c r="E32" s="62" t="s">
        <v>668</v>
      </c>
      <c r="F32" s="97"/>
      <c r="G32" s="97"/>
      <c r="H32" s="97"/>
      <c r="I32" s="97"/>
      <c r="J32" s="97"/>
      <c r="K32" s="62"/>
    </row>
    <row r="33" spans="1:11">
      <c r="A33" s="341"/>
      <c r="B33" s="62"/>
      <c r="C33" s="62"/>
      <c r="D33" s="539"/>
      <c r="E33" s="62"/>
      <c r="F33" s="97"/>
      <c r="G33" s="97"/>
      <c r="H33" s="97"/>
      <c r="I33" s="97"/>
      <c r="J33" s="97"/>
      <c r="K33" s="62"/>
    </row>
    <row r="34" spans="1:11">
      <c r="A34" s="341"/>
      <c r="B34" s="345"/>
      <c r="C34" s="402"/>
      <c r="D34" s="346"/>
    </row>
    <row r="35" spans="1:11">
      <c r="A35" s="193"/>
      <c r="B35" s="345"/>
      <c r="D35" s="346"/>
    </row>
    <row r="36" spans="1:11">
      <c r="A36" s="393"/>
      <c r="B36" s="409"/>
      <c r="C36" s="409"/>
      <c r="D36" s="409"/>
    </row>
    <row r="37" spans="1:11">
      <c r="A37" s="341"/>
      <c r="C37" s="339"/>
      <c r="D37" s="339"/>
    </row>
    <row r="38" spans="1:11">
      <c r="A38" s="341"/>
      <c r="B38" s="879"/>
      <c r="C38" s="879"/>
      <c r="D38" s="879"/>
    </row>
    <row r="39" spans="1:11">
      <c r="A39" s="341"/>
      <c r="B39" s="879"/>
      <c r="C39" s="879"/>
      <c r="D39" s="880"/>
    </row>
    <row r="40" spans="1:11">
      <c r="A40" s="341"/>
      <c r="B40" s="881"/>
      <c r="C40" s="879"/>
      <c r="D40" s="880"/>
    </row>
    <row r="41" spans="1:11">
      <c r="A41" s="341"/>
      <c r="B41" s="882"/>
      <c r="C41" s="882"/>
      <c r="D41" s="882"/>
    </row>
    <row r="42" spans="1:11">
      <c r="A42" s="341"/>
      <c r="B42" s="345"/>
      <c r="D42" s="350"/>
      <c r="E42" s="351"/>
    </row>
    <row r="43" spans="1:11">
      <c r="A43" s="341"/>
      <c r="B43" s="345"/>
      <c r="D43" s="350"/>
    </row>
    <row r="44" spans="1:11">
      <c r="A44" s="341"/>
      <c r="B44" s="345"/>
      <c r="D44" s="350"/>
    </row>
    <row r="45" spans="1:11">
      <c r="A45" s="341"/>
      <c r="B45" s="345"/>
      <c r="D45" s="350"/>
    </row>
    <row r="46" spans="1:11">
      <c r="A46" s="341"/>
      <c r="D46" s="346"/>
    </row>
    <row r="47" spans="1:11">
      <c r="A47" s="341"/>
      <c r="B47" s="352"/>
      <c r="D47" s="346"/>
    </row>
    <row r="48" spans="1:11">
      <c r="A48" s="341"/>
      <c r="B48" s="352"/>
      <c r="D48" s="346"/>
    </row>
    <row r="49" spans="1:4">
      <c r="A49" s="341"/>
      <c r="B49" s="352"/>
      <c r="D49" s="346"/>
    </row>
    <row r="50" spans="1:4">
      <c r="A50" s="341"/>
      <c r="B50" s="352"/>
      <c r="D50" s="346"/>
    </row>
    <row r="51" spans="1:4">
      <c r="A51" s="341"/>
      <c r="B51" s="352"/>
      <c r="D51" s="346"/>
    </row>
    <row r="52" spans="1:4">
      <c r="A52" s="341"/>
      <c r="B52" s="352"/>
      <c r="D52" s="346"/>
    </row>
    <row r="53" spans="1:4">
      <c r="A53" s="341"/>
      <c r="B53" s="352"/>
      <c r="D53" s="346"/>
    </row>
    <row r="54" spans="1:4">
      <c r="A54" s="341"/>
      <c r="B54" s="352"/>
      <c r="D54" s="346"/>
    </row>
    <row r="55" spans="1:4">
      <c r="A55" s="341"/>
      <c r="B55" s="352"/>
      <c r="D55" s="346"/>
    </row>
    <row r="56" spans="1:4">
      <c r="A56" s="341"/>
      <c r="B56" s="352"/>
      <c r="D56" s="346"/>
    </row>
    <row r="57" spans="1:4">
      <c r="A57" s="341"/>
      <c r="B57" s="345"/>
      <c r="D57" s="346"/>
    </row>
    <row r="58" spans="1:4">
      <c r="A58" s="341"/>
      <c r="B58" s="345"/>
      <c r="D58" s="346"/>
    </row>
    <row r="59" spans="1:4">
      <c r="A59" s="341"/>
      <c r="B59" s="345"/>
      <c r="D59" s="346"/>
    </row>
    <row r="60" spans="1:4">
      <c r="A60" s="341"/>
      <c r="B60" s="345"/>
      <c r="D60" s="346"/>
    </row>
    <row r="61" spans="1:4">
      <c r="A61" s="341"/>
      <c r="B61" s="345"/>
      <c r="D61" s="346"/>
    </row>
    <row r="62" spans="1:4">
      <c r="A62" s="341"/>
      <c r="B62" s="349"/>
      <c r="D62" s="346"/>
    </row>
    <row r="63" spans="1:4">
      <c r="A63" s="341"/>
      <c r="B63" s="345"/>
    </row>
    <row r="64" spans="1:4">
      <c r="A64" s="341"/>
      <c r="B64" s="345"/>
    </row>
    <row r="65" spans="1:4">
      <c r="A65" s="341"/>
      <c r="B65" s="345"/>
      <c r="D65" s="350"/>
    </row>
    <row r="66" spans="1:4">
      <c r="A66" s="341"/>
      <c r="B66" s="345"/>
      <c r="D66" s="350"/>
    </row>
    <row r="67" spans="1:4">
      <c r="A67" s="341"/>
      <c r="B67" s="345"/>
      <c r="D67" s="350"/>
    </row>
    <row r="68" spans="1:4">
      <c r="A68" s="341"/>
      <c r="B68" s="345"/>
      <c r="D68" s="350"/>
    </row>
    <row r="69" spans="1:4">
      <c r="A69" s="341"/>
      <c r="B69" s="345"/>
      <c r="D69" s="346"/>
    </row>
    <row r="70" spans="1:4">
      <c r="A70" s="341"/>
      <c r="B70" s="345"/>
      <c r="D70" s="346"/>
    </row>
    <row r="71" spans="1:4">
      <c r="A71" s="341"/>
      <c r="B71" s="345"/>
      <c r="D71" s="346"/>
    </row>
    <row r="141" spans="1:11" s="341" customFormat="1">
      <c r="A141" s="339"/>
      <c r="B141" s="339"/>
      <c r="D141" s="344"/>
      <c r="E141" s="339"/>
      <c r="F141" s="339"/>
      <c r="G141" s="339"/>
      <c r="H141" s="339"/>
      <c r="I141" s="339"/>
      <c r="J141" s="339"/>
      <c r="K141" s="339"/>
    </row>
    <row r="152" spans="5:11">
      <c r="E152" s="341"/>
      <c r="F152" s="341"/>
      <c r="G152" s="341"/>
      <c r="H152" s="341"/>
      <c r="I152" s="341"/>
      <c r="J152" s="341"/>
      <c r="K152" s="341"/>
    </row>
  </sheetData>
  <mergeCells count="3">
    <mergeCell ref="A1:E1"/>
    <mergeCell ref="A2:E2"/>
    <mergeCell ref="A3:E3"/>
  </mergeCells>
  <pageMargins left="0.5" right="0.25" top="1" bottom="1" header="0.5" footer="0.5"/>
  <pageSetup scale="58" firstPageNumber="7" orientation="portrait" r:id="rId1"/>
  <headerFooter alignWithMargins="0">
    <oddHeader xml:space="preserve">&amp;C&amp;"Times New Roman,Regular"&amp;KFF0000CUI//PRIV&amp;K000000
FOR SETTLEMENT PURPOSES ONLY 
SUBJECT TO RULES 602 AND 606
</oddHeader>
  </headerFooter>
  <ignoredErrors>
    <ignoredError sqref="D26:D3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N64"/>
  <sheetViews>
    <sheetView zoomScale="80" zoomScaleNormal="80" workbookViewId="0">
      <selection activeCell="G41" sqref="G41"/>
    </sheetView>
  </sheetViews>
  <sheetFormatPr defaultColWidth="8.6328125" defaultRowHeight="13.2"/>
  <cols>
    <col min="1" max="1" width="4.6328125" style="2" bestFit="1" customWidth="1"/>
    <col min="2" max="2" width="8.1796875" style="2" customWidth="1"/>
    <col min="3" max="3" width="35.81640625" style="2" customWidth="1"/>
    <col min="4" max="4" width="7.54296875" style="2" bestFit="1" customWidth="1"/>
    <col min="5" max="6" width="9.6328125" style="2" customWidth="1"/>
    <col min="7" max="11" width="9" style="2" customWidth="1"/>
    <col min="12" max="12" width="9.1796875" style="2" bestFit="1" customWidth="1"/>
    <col min="13" max="13" width="12.453125" style="2" customWidth="1"/>
    <col min="14" max="14" width="12.54296875" style="2" customWidth="1"/>
    <col min="15" max="16384" width="8.6328125" style="2"/>
  </cols>
  <sheetData>
    <row r="1" spans="1:12">
      <c r="A1" s="922" t="s">
        <v>411</v>
      </c>
      <c r="B1" s="922"/>
      <c r="C1" s="922"/>
      <c r="D1" s="922"/>
      <c r="E1" s="922"/>
      <c r="F1" s="922"/>
      <c r="G1" s="922"/>
      <c r="H1" s="922"/>
      <c r="I1" s="922"/>
      <c r="J1" s="922"/>
      <c r="K1" s="722"/>
      <c r="L1" s="722"/>
    </row>
    <row r="2" spans="1:12">
      <c r="A2" s="923" t="s">
        <v>188</v>
      </c>
      <c r="B2" s="923"/>
      <c r="C2" s="923"/>
      <c r="D2" s="923"/>
      <c r="E2" s="923"/>
      <c r="F2" s="923"/>
      <c r="G2" s="923"/>
      <c r="H2" s="923"/>
      <c r="I2" s="923"/>
      <c r="J2" s="923"/>
      <c r="K2" s="396"/>
      <c r="L2" s="396"/>
    </row>
    <row r="3" spans="1:12">
      <c r="A3" s="923" t="str">
        <f>'Act Att-H'!C7</f>
        <v>Black Hills Colorado Electric, LLC</v>
      </c>
      <c r="B3" s="923"/>
      <c r="C3" s="923"/>
      <c r="D3" s="923"/>
      <c r="E3" s="923"/>
      <c r="F3" s="923"/>
      <c r="G3" s="923"/>
      <c r="H3" s="923"/>
      <c r="I3" s="923"/>
      <c r="J3" s="923"/>
      <c r="K3" s="396"/>
      <c r="L3" s="396"/>
    </row>
    <row r="4" spans="1:12">
      <c r="B4" s="412"/>
      <c r="C4" s="412"/>
      <c r="D4" s="412"/>
      <c r="E4" s="412"/>
      <c r="F4" s="412"/>
      <c r="G4" s="412"/>
      <c r="H4" s="412"/>
      <c r="I4" s="412"/>
      <c r="J4" s="2" t="s">
        <v>515</v>
      </c>
    </row>
    <row r="5" spans="1:12">
      <c r="A5" s="115" t="s">
        <v>137</v>
      </c>
      <c r="B5" s="118" t="s">
        <v>365</v>
      </c>
      <c r="C5" s="62"/>
      <c r="D5" s="93"/>
      <c r="E5" s="62"/>
      <c r="F5" s="62"/>
      <c r="G5" s="415"/>
      <c r="H5" s="62"/>
      <c r="I5" s="141"/>
      <c r="J5" s="93"/>
    </row>
    <row r="6" spans="1:12">
      <c r="B6" s="416"/>
      <c r="C6" s="93"/>
      <c r="D6" s="417"/>
      <c r="E6" s="93"/>
      <c r="F6" s="93"/>
      <c r="G6" s="93"/>
      <c r="H6" s="93"/>
      <c r="I6" s="93"/>
      <c r="J6" s="93"/>
    </row>
    <row r="7" spans="1:12">
      <c r="A7" s="5">
        <v>1</v>
      </c>
      <c r="B7" s="418" t="s">
        <v>187</v>
      </c>
      <c r="C7" s="418" t="s">
        <v>159</v>
      </c>
      <c r="D7" s="419"/>
      <c r="E7" s="418" t="s">
        <v>9</v>
      </c>
      <c r="F7" s="418" t="s">
        <v>183</v>
      </c>
      <c r="G7" s="418" t="s">
        <v>192</v>
      </c>
      <c r="H7" s="921" t="s">
        <v>10</v>
      </c>
      <c r="I7" s="921"/>
      <c r="J7" s="418" t="s">
        <v>9</v>
      </c>
    </row>
    <row r="8" spans="1:12">
      <c r="A8" s="5">
        <f>A7+1</f>
        <v>2</v>
      </c>
      <c r="E8" s="28" t="s">
        <v>138</v>
      </c>
      <c r="F8" s="421" t="s">
        <v>139</v>
      </c>
      <c r="G8" s="421" t="s">
        <v>140</v>
      </c>
      <c r="H8" s="920" t="s">
        <v>141</v>
      </c>
      <c r="I8" s="920"/>
      <c r="J8" s="421" t="s">
        <v>542</v>
      </c>
    </row>
    <row r="9" spans="1:12">
      <c r="A9" s="5">
        <f t="shared" ref="A9:A59" si="0">A8+1</f>
        <v>3</v>
      </c>
      <c r="B9" s="422" t="s">
        <v>184</v>
      </c>
      <c r="C9" s="423"/>
      <c r="F9" s="423"/>
      <c r="G9" s="423"/>
      <c r="H9" s="93"/>
    </row>
    <row r="10" spans="1:12">
      <c r="A10" s="5">
        <f t="shared" si="0"/>
        <v>4</v>
      </c>
      <c r="B10" s="424">
        <v>45400</v>
      </c>
      <c r="C10" s="423" t="s">
        <v>185</v>
      </c>
      <c r="E10" s="199">
        <v>1247.6400000000001</v>
      </c>
      <c r="F10" s="210">
        <v>0</v>
      </c>
      <c r="G10" s="210">
        <f>SUM(E10:F10)</f>
        <v>1247.6400000000001</v>
      </c>
      <c r="H10" s="552" t="s">
        <v>11</v>
      </c>
      <c r="I10" s="151">
        <f>'Act Att-H'!I175</f>
        <v>0.93495713255492408</v>
      </c>
      <c r="J10" s="210">
        <f>G10*I10</f>
        <v>1166.4899168608256</v>
      </c>
    </row>
    <row r="11" spans="1:12">
      <c r="A11" s="5">
        <f t="shared" si="0"/>
        <v>5</v>
      </c>
      <c r="B11" s="424">
        <v>45400</v>
      </c>
      <c r="C11" s="423" t="s">
        <v>186</v>
      </c>
      <c r="E11" s="425">
        <v>1908256.1</v>
      </c>
      <c r="F11" s="423">
        <f>-E11</f>
        <v>-1908256.1</v>
      </c>
      <c r="G11" s="423">
        <f>SUM(E11:F11)</f>
        <v>0</v>
      </c>
      <c r="H11" s="28" t="s">
        <v>27</v>
      </c>
      <c r="I11" s="151"/>
      <c r="J11" s="210">
        <f>G11*I11</f>
        <v>0</v>
      </c>
    </row>
    <row r="12" spans="1:12">
      <c r="A12" s="5" t="s">
        <v>99</v>
      </c>
      <c r="B12" s="424">
        <v>45400</v>
      </c>
      <c r="C12" s="423" t="s">
        <v>1124</v>
      </c>
      <c r="D12" s="2" t="s">
        <v>1054</v>
      </c>
      <c r="E12" s="425">
        <v>0</v>
      </c>
      <c r="F12" s="423">
        <v>0</v>
      </c>
      <c r="G12" s="423">
        <f t="shared" ref="G12:G13" si="1">SUM(E12:F12)</f>
        <v>0</v>
      </c>
      <c r="H12" s="28" t="s">
        <v>31</v>
      </c>
      <c r="I12" s="151">
        <f>'Act Att-H'!G48</f>
        <v>0.1248254792149225</v>
      </c>
      <c r="J12" s="210">
        <f t="shared" ref="J12:J13" si="2">G12*I12</f>
        <v>0</v>
      </c>
    </row>
    <row r="13" spans="1:12">
      <c r="A13" s="5" t="s">
        <v>133</v>
      </c>
      <c r="B13" s="424">
        <v>45400</v>
      </c>
      <c r="C13" s="423" t="s">
        <v>1256</v>
      </c>
      <c r="D13" s="2" t="s">
        <v>1054</v>
      </c>
      <c r="E13" s="425">
        <v>0</v>
      </c>
      <c r="F13" s="423">
        <v>0</v>
      </c>
      <c r="G13" s="423">
        <f t="shared" si="1"/>
        <v>0</v>
      </c>
      <c r="H13" s="28" t="s">
        <v>1255</v>
      </c>
      <c r="I13" s="151">
        <f>'Act Att-H'!G49</f>
        <v>0.12201673244143903</v>
      </c>
      <c r="J13" s="210">
        <f t="shared" si="2"/>
        <v>0</v>
      </c>
    </row>
    <row r="14" spans="1:12">
      <c r="A14" s="5">
        <f>A11+1</f>
        <v>6</v>
      </c>
      <c r="B14" s="426" t="s">
        <v>932</v>
      </c>
      <c r="C14" s="426"/>
      <c r="D14" s="427"/>
      <c r="E14" s="406">
        <f>SUM(E10:E13)</f>
        <v>1909503.74</v>
      </c>
      <c r="F14" s="406">
        <f t="shared" ref="F14:G14" si="3">SUM(F10:F13)</f>
        <v>-1908256.1</v>
      </c>
      <c r="G14" s="406">
        <f t="shared" si="3"/>
        <v>1247.6400000000001</v>
      </c>
      <c r="H14" s="427"/>
      <c r="I14" s="553"/>
      <c r="J14" s="554">
        <f>SUM(J10:J13)</f>
        <v>1166.4899168608256</v>
      </c>
    </row>
    <row r="15" spans="1:12">
      <c r="A15" s="5">
        <f t="shared" si="0"/>
        <v>7</v>
      </c>
      <c r="B15" s="428"/>
      <c r="C15" s="429"/>
      <c r="D15" s="429"/>
      <c r="E15" s="93"/>
      <c r="F15" s="93"/>
      <c r="G15" s="93"/>
      <c r="H15" s="420"/>
    </row>
    <row r="16" spans="1:12">
      <c r="A16" s="5">
        <f t="shared" si="0"/>
        <v>8</v>
      </c>
    </row>
    <row r="17" spans="1:14">
      <c r="A17" s="5">
        <f t="shared" si="0"/>
        <v>9</v>
      </c>
      <c r="B17" s="118" t="s">
        <v>608</v>
      </c>
      <c r="C17" s="62"/>
      <c r="D17" s="62"/>
      <c r="E17" s="62"/>
      <c r="F17" s="62"/>
      <c r="G17" s="62"/>
      <c r="H17" s="62"/>
      <c r="I17" s="141"/>
      <c r="J17" s="93"/>
    </row>
    <row r="18" spans="1:14">
      <c r="A18" s="5">
        <f t="shared" si="0"/>
        <v>10</v>
      </c>
      <c r="F18" s="172"/>
      <c r="G18" s="172"/>
      <c r="H18" s="172"/>
      <c r="I18" s="172"/>
      <c r="K18" s="172"/>
      <c r="L18" s="172"/>
    </row>
    <row r="19" spans="1:14">
      <c r="A19" s="5">
        <f t="shared" si="0"/>
        <v>11</v>
      </c>
      <c r="B19" s="396"/>
      <c r="F19" s="172"/>
      <c r="G19" s="172"/>
      <c r="H19" s="172"/>
      <c r="I19" s="172"/>
      <c r="J19" s="172"/>
      <c r="K19" s="172"/>
      <c r="L19" s="172"/>
    </row>
    <row r="20" spans="1:14">
      <c r="A20" s="5">
        <f t="shared" si="0"/>
        <v>12</v>
      </c>
      <c r="H20" s="172"/>
      <c r="I20" s="172"/>
      <c r="J20" s="172"/>
    </row>
    <row r="21" spans="1:14">
      <c r="A21" s="5">
        <f t="shared" si="0"/>
        <v>13</v>
      </c>
    </row>
    <row r="22" spans="1:14">
      <c r="A22" s="5">
        <f t="shared" si="0"/>
        <v>14</v>
      </c>
      <c r="B22" s="172"/>
      <c r="C22" s="172"/>
      <c r="D22" s="172" t="s">
        <v>157</v>
      </c>
      <c r="E22" s="172"/>
      <c r="F22" s="172" t="s">
        <v>190</v>
      </c>
      <c r="G22" s="172" t="s">
        <v>156</v>
      </c>
      <c r="H22" s="172" t="s">
        <v>165</v>
      </c>
      <c r="I22" s="172"/>
      <c r="J22" s="172"/>
      <c r="N22" s="430"/>
    </row>
    <row r="23" spans="1:14">
      <c r="A23" s="5">
        <f t="shared" si="0"/>
        <v>15</v>
      </c>
      <c r="B23" s="418" t="s">
        <v>158</v>
      </c>
      <c r="C23" s="418" t="s">
        <v>159</v>
      </c>
      <c r="D23" s="431" t="s">
        <v>160</v>
      </c>
      <c r="E23" s="431" t="s">
        <v>434</v>
      </c>
      <c r="F23" s="418" t="s">
        <v>191</v>
      </c>
      <c r="G23" s="418" t="s">
        <v>189</v>
      </c>
      <c r="H23" s="418" t="s">
        <v>953</v>
      </c>
      <c r="I23" s="418" t="s">
        <v>167</v>
      </c>
      <c r="J23" s="418" t="s">
        <v>9</v>
      </c>
      <c r="K23" s="28"/>
      <c r="L23" s="28"/>
    </row>
    <row r="24" spans="1:14">
      <c r="A24" s="5">
        <f t="shared" si="0"/>
        <v>16</v>
      </c>
      <c r="E24" s="28" t="s">
        <v>138</v>
      </c>
      <c r="F24" s="28" t="s">
        <v>139</v>
      </c>
      <c r="G24" s="28" t="s">
        <v>140</v>
      </c>
      <c r="H24" s="28" t="s">
        <v>141</v>
      </c>
      <c r="I24" s="28" t="s">
        <v>142</v>
      </c>
      <c r="J24" s="28" t="s">
        <v>143</v>
      </c>
      <c r="M24" s="28"/>
    </row>
    <row r="25" spans="1:14">
      <c r="A25" s="5">
        <f t="shared" si="0"/>
        <v>17</v>
      </c>
    </row>
    <row r="26" spans="1:14">
      <c r="A26" s="5">
        <f t="shared" si="0"/>
        <v>18</v>
      </c>
      <c r="B26" s="855" t="s">
        <v>164</v>
      </c>
      <c r="C26" s="855" t="s">
        <v>954</v>
      </c>
      <c r="D26" s="856" t="s">
        <v>955</v>
      </c>
      <c r="E26" s="434"/>
      <c r="F26" s="435">
        <v>5067560</v>
      </c>
      <c r="G26" s="435"/>
      <c r="H26" s="435"/>
      <c r="I26" s="435"/>
      <c r="J26" s="435">
        <f>SUM(F26:I26)</f>
        <v>5067560</v>
      </c>
    </row>
    <row r="27" spans="1:14">
      <c r="A27" s="5">
        <f t="shared" si="0"/>
        <v>19</v>
      </c>
      <c r="B27" s="855" t="s">
        <v>164</v>
      </c>
      <c r="C27" s="855" t="s">
        <v>956</v>
      </c>
      <c r="D27" s="856" t="s">
        <v>957</v>
      </c>
      <c r="E27" s="434"/>
      <c r="F27" s="435"/>
      <c r="G27" s="435">
        <v>1082775.7500000002</v>
      </c>
      <c r="H27" s="435"/>
      <c r="I27" s="435"/>
      <c r="J27" s="435">
        <f t="shared" ref="J27:J33" si="4">SUM(F27:I27)</f>
        <v>1082775.7500000002</v>
      </c>
      <c r="N27" s="436"/>
    </row>
    <row r="28" spans="1:14">
      <c r="A28" s="5">
        <f t="shared" si="0"/>
        <v>20</v>
      </c>
      <c r="B28" s="855" t="s">
        <v>163</v>
      </c>
      <c r="C28" s="855" t="s">
        <v>958</v>
      </c>
      <c r="D28" s="856" t="s">
        <v>959</v>
      </c>
      <c r="E28" s="434"/>
      <c r="F28" s="435">
        <v>27858.489999999998</v>
      </c>
      <c r="G28" s="435"/>
      <c r="H28" s="435"/>
      <c r="I28" s="435"/>
      <c r="J28" s="435">
        <f t="shared" si="4"/>
        <v>27858.489999999998</v>
      </c>
      <c r="N28" s="436"/>
    </row>
    <row r="29" spans="1:14">
      <c r="A29" s="5">
        <f t="shared" si="0"/>
        <v>21</v>
      </c>
      <c r="B29" s="855" t="s">
        <v>163</v>
      </c>
      <c r="C29" s="855" t="s">
        <v>960</v>
      </c>
      <c r="D29" s="856" t="s">
        <v>961</v>
      </c>
      <c r="E29" s="434"/>
      <c r="F29" s="435">
        <v>1142684.1499999997</v>
      </c>
      <c r="G29" s="435"/>
      <c r="H29" s="435"/>
      <c r="I29" s="435"/>
      <c r="J29" s="435">
        <f t="shared" si="4"/>
        <v>1142684.1499999997</v>
      </c>
    </row>
    <row r="30" spans="1:14">
      <c r="A30" s="5">
        <f t="shared" si="0"/>
        <v>22</v>
      </c>
      <c r="B30" s="855" t="s">
        <v>165</v>
      </c>
      <c r="C30" s="855" t="s">
        <v>956</v>
      </c>
      <c r="D30" s="856" t="s">
        <v>957</v>
      </c>
      <c r="E30" s="434"/>
      <c r="F30" s="435"/>
      <c r="G30" s="435"/>
      <c r="H30" s="435">
        <v>170443.60667900016</v>
      </c>
      <c r="I30" s="435"/>
      <c r="J30" s="435">
        <f t="shared" si="4"/>
        <v>170443.60667900016</v>
      </c>
    </row>
    <row r="31" spans="1:14">
      <c r="A31" s="5">
        <f t="shared" si="0"/>
        <v>23</v>
      </c>
      <c r="B31" s="855" t="s">
        <v>165</v>
      </c>
      <c r="C31" s="855" t="s">
        <v>954</v>
      </c>
      <c r="D31" s="855" t="s">
        <v>955</v>
      </c>
      <c r="E31" s="434"/>
      <c r="F31" s="435"/>
      <c r="G31" s="435"/>
      <c r="H31" s="435">
        <v>833607.13</v>
      </c>
      <c r="I31" s="435"/>
      <c r="J31" s="435">
        <f t="shared" si="4"/>
        <v>833607.13</v>
      </c>
    </row>
    <row r="32" spans="1:14">
      <c r="A32" s="5">
        <f t="shared" si="0"/>
        <v>24</v>
      </c>
      <c r="B32" s="855" t="s">
        <v>165</v>
      </c>
      <c r="C32" s="855" t="s">
        <v>958</v>
      </c>
      <c r="D32" s="856" t="s">
        <v>959</v>
      </c>
      <c r="E32" s="434"/>
      <c r="F32" s="435"/>
      <c r="G32" s="435"/>
      <c r="H32" s="435">
        <v>996.15000000000009</v>
      </c>
      <c r="I32" s="435"/>
      <c r="J32" s="435">
        <f t="shared" si="4"/>
        <v>996.15000000000009</v>
      </c>
    </row>
    <row r="33" spans="1:14">
      <c r="A33" s="5">
        <f t="shared" si="0"/>
        <v>25</v>
      </c>
      <c r="B33" s="855" t="s">
        <v>165</v>
      </c>
      <c r="C33" s="855" t="s">
        <v>960</v>
      </c>
      <c r="D33" s="856" t="s">
        <v>961</v>
      </c>
      <c r="E33" s="434"/>
      <c r="F33" s="435"/>
      <c r="G33" s="435"/>
      <c r="H33" s="435">
        <v>380617.71999999986</v>
      </c>
      <c r="I33" s="435"/>
      <c r="J33" s="435">
        <f t="shared" si="4"/>
        <v>380617.71999999986</v>
      </c>
    </row>
    <row r="34" spans="1:14">
      <c r="A34" s="5">
        <f t="shared" si="0"/>
        <v>26</v>
      </c>
      <c r="B34" s="432"/>
      <c r="C34" s="432"/>
      <c r="D34" s="433"/>
      <c r="E34" s="434"/>
      <c r="F34" s="435"/>
      <c r="G34" s="435"/>
      <c r="H34" s="435"/>
      <c r="I34" s="435"/>
      <c r="J34" s="435"/>
    </row>
    <row r="35" spans="1:14">
      <c r="A35" s="5">
        <f t="shared" si="0"/>
        <v>27</v>
      </c>
      <c r="B35" s="432"/>
      <c r="C35" s="432"/>
      <c r="D35" s="433"/>
      <c r="E35" s="434"/>
      <c r="F35" s="435"/>
      <c r="G35" s="435"/>
      <c r="H35" s="435"/>
      <c r="I35" s="435"/>
      <c r="J35" s="435"/>
    </row>
    <row r="36" spans="1:14">
      <c r="A36" s="5">
        <f t="shared" si="0"/>
        <v>28</v>
      </c>
      <c r="B36" s="432"/>
      <c r="C36" s="432"/>
      <c r="D36" s="432"/>
      <c r="E36" s="434"/>
      <c r="F36" s="435"/>
      <c r="G36" s="435"/>
      <c r="H36" s="435"/>
      <c r="I36" s="435"/>
      <c r="J36" s="435"/>
    </row>
    <row r="37" spans="1:14">
      <c r="A37" s="5">
        <f t="shared" si="0"/>
        <v>29</v>
      </c>
      <c r="B37" s="432"/>
      <c r="C37" s="432"/>
      <c r="D37" s="432"/>
      <c r="E37" s="434"/>
      <c r="F37" s="435"/>
      <c r="G37" s="435"/>
      <c r="H37" s="435"/>
      <c r="I37" s="435"/>
      <c r="J37" s="435"/>
    </row>
    <row r="38" spans="1:14">
      <c r="A38" s="5">
        <f t="shared" si="0"/>
        <v>30</v>
      </c>
      <c r="B38" s="432"/>
      <c r="C38" s="432"/>
      <c r="D38" s="432"/>
      <c r="E38" s="432"/>
      <c r="F38" s="435"/>
      <c r="G38" s="435"/>
      <c r="H38" s="435"/>
      <c r="I38" s="435"/>
      <c r="J38" s="435"/>
      <c r="N38" s="436"/>
    </row>
    <row r="39" spans="1:14">
      <c r="A39" s="5">
        <f t="shared" si="0"/>
        <v>31</v>
      </c>
      <c r="B39" s="432"/>
      <c r="C39" s="432"/>
      <c r="D39" s="432"/>
      <c r="E39" s="434"/>
      <c r="F39" s="435"/>
      <c r="G39" s="435"/>
      <c r="H39" s="435"/>
      <c r="I39" s="435"/>
      <c r="J39" s="435"/>
    </row>
    <row r="40" spans="1:14">
      <c r="A40" s="5">
        <f t="shared" si="0"/>
        <v>32</v>
      </c>
      <c r="B40" s="432"/>
      <c r="C40" s="432"/>
      <c r="D40" s="433"/>
      <c r="E40" s="434"/>
      <c r="F40" s="435"/>
      <c r="G40" s="435"/>
      <c r="H40" s="435"/>
      <c r="I40" s="435"/>
      <c r="J40" s="435"/>
    </row>
    <row r="41" spans="1:14">
      <c r="A41" s="5">
        <f t="shared" si="0"/>
        <v>33</v>
      </c>
      <c r="B41" s="432"/>
      <c r="C41" s="432"/>
      <c r="D41" s="433"/>
      <c r="E41" s="434"/>
      <c r="F41" s="435"/>
      <c r="G41" s="435"/>
      <c r="H41" s="435"/>
      <c r="I41" s="435"/>
      <c r="J41" s="435"/>
    </row>
    <row r="42" spans="1:14">
      <c r="A42" s="5">
        <f t="shared" si="0"/>
        <v>34</v>
      </c>
      <c r="B42" s="432"/>
      <c r="C42" s="432"/>
      <c r="D42" s="433"/>
      <c r="E42" s="434"/>
      <c r="F42" s="435"/>
      <c r="G42" s="435"/>
      <c r="H42" s="435"/>
      <c r="I42" s="435"/>
      <c r="J42" s="435"/>
    </row>
    <row r="43" spans="1:14">
      <c r="A43" s="5">
        <f t="shared" si="0"/>
        <v>35</v>
      </c>
      <c r="B43" s="432"/>
      <c r="C43" s="432"/>
      <c r="D43" s="433"/>
      <c r="E43" s="434"/>
      <c r="F43" s="435"/>
      <c r="G43" s="435"/>
      <c r="H43" s="435"/>
      <c r="I43" s="435"/>
      <c r="J43" s="435"/>
    </row>
    <row r="44" spans="1:14">
      <c r="A44" s="5">
        <f t="shared" si="0"/>
        <v>36</v>
      </c>
      <c r="B44" s="432"/>
      <c r="C44" s="432"/>
      <c r="D44" s="432"/>
      <c r="E44" s="434"/>
      <c r="F44" s="435"/>
      <c r="G44" s="435"/>
      <c r="H44" s="435"/>
      <c r="I44" s="435"/>
      <c r="J44" s="435"/>
    </row>
    <row r="45" spans="1:14">
      <c r="A45" s="5">
        <f t="shared" si="0"/>
        <v>37</v>
      </c>
      <c r="B45" s="432"/>
      <c r="C45" s="432"/>
      <c r="D45" s="432"/>
      <c r="E45" s="434"/>
      <c r="F45" s="435"/>
      <c r="G45" s="435"/>
      <c r="H45" s="435"/>
      <c r="I45" s="435"/>
      <c r="J45" s="435"/>
    </row>
    <row r="46" spans="1:14">
      <c r="A46" s="5">
        <f t="shared" si="0"/>
        <v>38</v>
      </c>
      <c r="B46" s="437"/>
      <c r="C46" s="437"/>
      <c r="D46" s="437"/>
      <c r="E46" s="437"/>
      <c r="F46" s="438"/>
      <c r="G46" s="438"/>
      <c r="H46" s="438"/>
      <c r="I46" s="438"/>
      <c r="J46" s="438"/>
      <c r="K46" s="440"/>
      <c r="L46" s="440"/>
    </row>
    <row r="47" spans="1:14">
      <c r="A47" s="5">
        <f t="shared" si="0"/>
        <v>39</v>
      </c>
      <c r="B47" s="427"/>
      <c r="C47" s="427" t="s">
        <v>9</v>
      </c>
      <c r="D47" s="427"/>
      <c r="E47" s="439"/>
      <c r="F47" s="439">
        <f t="shared" ref="F47:J47" si="5">SUM(F26:F46)</f>
        <v>6238102.6399999997</v>
      </c>
      <c r="G47" s="439">
        <f t="shared" si="5"/>
        <v>1082775.7500000002</v>
      </c>
      <c r="H47" s="439">
        <f t="shared" si="5"/>
        <v>1385664.606679</v>
      </c>
      <c r="I47" s="439">
        <f t="shared" si="5"/>
        <v>0</v>
      </c>
      <c r="J47" s="439">
        <f t="shared" si="5"/>
        <v>8706542.9966790006</v>
      </c>
      <c r="K47" s="440"/>
      <c r="L47" s="440"/>
      <c r="M47" s="440"/>
    </row>
    <row r="48" spans="1:14">
      <c r="A48" s="5">
        <f t="shared" si="0"/>
        <v>40</v>
      </c>
      <c r="E48" s="202"/>
      <c r="F48" s="441"/>
      <c r="G48" s="441"/>
      <c r="H48" s="441"/>
      <c r="I48" s="441"/>
      <c r="J48" s="441"/>
      <c r="M48" s="440"/>
    </row>
    <row r="49" spans="1:12">
      <c r="A49" s="5">
        <f t="shared" si="0"/>
        <v>41</v>
      </c>
      <c r="B49" s="442" t="s">
        <v>166</v>
      </c>
      <c r="E49" s="443"/>
      <c r="F49" s="441"/>
      <c r="G49" s="441"/>
      <c r="H49" s="441"/>
      <c r="I49" s="441"/>
      <c r="J49" s="441"/>
      <c r="K49" s="396"/>
      <c r="L49" s="396"/>
    </row>
    <row r="50" spans="1:12" s="396" customFormat="1" ht="15" customHeight="1">
      <c r="A50" s="5">
        <f t="shared" si="0"/>
        <v>42</v>
      </c>
      <c r="B50" s="2" t="s">
        <v>163</v>
      </c>
      <c r="C50" s="2"/>
      <c r="D50" s="2"/>
      <c r="E50" s="2"/>
      <c r="F50" s="441">
        <f t="shared" ref="F50:J53" si="6">SUMIF($B$26:$B$46,$B50,F$26:F$46)</f>
        <v>1170542.6399999997</v>
      </c>
      <c r="G50" s="441">
        <f t="shared" si="6"/>
        <v>0</v>
      </c>
      <c r="H50" s="441">
        <f t="shared" si="6"/>
        <v>0</v>
      </c>
      <c r="I50" s="441">
        <f t="shared" si="6"/>
        <v>0</v>
      </c>
      <c r="J50" s="441">
        <f t="shared" si="6"/>
        <v>1170542.6399999997</v>
      </c>
      <c r="K50" s="2"/>
      <c r="L50" s="2"/>
    </row>
    <row r="51" spans="1:12">
      <c r="A51" s="5">
        <f t="shared" si="0"/>
        <v>43</v>
      </c>
      <c r="B51" s="2" t="s">
        <v>164</v>
      </c>
      <c r="F51" s="441">
        <f t="shared" si="6"/>
        <v>5067560</v>
      </c>
      <c r="G51" s="441">
        <f t="shared" si="6"/>
        <v>1082775.7500000002</v>
      </c>
      <c r="H51" s="441">
        <f t="shared" si="6"/>
        <v>0</v>
      </c>
      <c r="I51" s="441">
        <f t="shared" si="6"/>
        <v>0</v>
      </c>
      <c r="J51" s="441">
        <f t="shared" si="6"/>
        <v>6150335.75</v>
      </c>
    </row>
    <row r="52" spans="1:12">
      <c r="A52" s="5">
        <f t="shared" si="0"/>
        <v>44</v>
      </c>
      <c r="B52" s="2" t="s">
        <v>165</v>
      </c>
      <c r="F52" s="441">
        <f t="shared" si="6"/>
        <v>0</v>
      </c>
      <c r="G52" s="441">
        <f t="shared" si="6"/>
        <v>0</v>
      </c>
      <c r="H52" s="441">
        <f t="shared" si="6"/>
        <v>1385664.606679</v>
      </c>
      <c r="I52" s="441">
        <f t="shared" si="6"/>
        <v>0</v>
      </c>
      <c r="J52" s="441">
        <f t="shared" si="6"/>
        <v>1385664.606679</v>
      </c>
    </row>
    <row r="53" spans="1:12">
      <c r="A53" s="5">
        <f t="shared" si="0"/>
        <v>45</v>
      </c>
      <c r="B53" s="2" t="s">
        <v>167</v>
      </c>
      <c r="F53" s="441">
        <f t="shared" si="6"/>
        <v>0</v>
      </c>
      <c r="G53" s="441">
        <f t="shared" si="6"/>
        <v>0</v>
      </c>
      <c r="H53" s="441">
        <f t="shared" si="6"/>
        <v>0</v>
      </c>
      <c r="I53" s="441">
        <f t="shared" si="6"/>
        <v>0</v>
      </c>
      <c r="J53" s="441">
        <f t="shared" si="6"/>
        <v>0</v>
      </c>
    </row>
    <row r="54" spans="1:12">
      <c r="A54" s="5">
        <f t="shared" si="0"/>
        <v>46</v>
      </c>
      <c r="B54" s="427" t="s">
        <v>9</v>
      </c>
      <c r="C54" s="427"/>
      <c r="D54" s="427"/>
      <c r="E54" s="427"/>
      <c r="F54" s="439">
        <f t="shared" ref="F54" si="7">SUM(F50:F53)</f>
        <v>6238102.6399999997</v>
      </c>
      <c r="G54" s="439">
        <f t="shared" ref="G54:J54" si="8">SUM(G50:G53)</f>
        <v>1082775.7500000002</v>
      </c>
      <c r="H54" s="439">
        <f t="shared" si="8"/>
        <v>1385664.606679</v>
      </c>
      <c r="I54" s="439">
        <f t="shared" si="8"/>
        <v>0</v>
      </c>
      <c r="J54" s="439">
        <f t="shared" si="8"/>
        <v>8706542.9966790006</v>
      </c>
    </row>
    <row r="55" spans="1:12">
      <c r="A55" s="5">
        <f t="shared" si="0"/>
        <v>47</v>
      </c>
      <c r="F55" s="441"/>
      <c r="G55" s="441"/>
      <c r="H55" s="441"/>
      <c r="I55" s="441"/>
      <c r="J55" s="441"/>
    </row>
    <row r="56" spans="1:12">
      <c r="A56" s="5">
        <f t="shared" si="0"/>
        <v>48</v>
      </c>
      <c r="B56" s="444" t="s">
        <v>433</v>
      </c>
    </row>
    <row r="57" spans="1:12">
      <c r="A57" s="5">
        <f t="shared" si="0"/>
        <v>49</v>
      </c>
      <c r="B57" s="2" t="s">
        <v>165</v>
      </c>
      <c r="C57" s="2" t="s">
        <v>168</v>
      </c>
    </row>
    <row r="58" spans="1:12">
      <c r="A58" s="5">
        <f t="shared" si="0"/>
        <v>50</v>
      </c>
      <c r="B58" s="2" t="s">
        <v>164</v>
      </c>
      <c r="C58" s="2" t="s">
        <v>169</v>
      </c>
    </row>
    <row r="59" spans="1:12">
      <c r="A59" s="5">
        <f t="shared" si="0"/>
        <v>51</v>
      </c>
      <c r="B59" s="2" t="s">
        <v>163</v>
      </c>
      <c r="C59" s="2" t="s">
        <v>170</v>
      </c>
    </row>
    <row r="60" spans="1:12">
      <c r="A60" s="5"/>
    </row>
    <row r="61" spans="1:12">
      <c r="A61" s="445" t="s">
        <v>155</v>
      </c>
    </row>
    <row r="62" spans="1:12" ht="12.75" customHeight="1">
      <c r="A62" s="28" t="s">
        <v>76</v>
      </c>
      <c r="B62" s="902" t="s">
        <v>87</v>
      </c>
      <c r="C62" s="902"/>
      <c r="D62" s="902"/>
      <c r="E62" s="902"/>
      <c r="F62" s="902"/>
      <c r="G62" s="902"/>
      <c r="H62" s="902"/>
      <c r="I62" s="902"/>
      <c r="J62" s="902"/>
      <c r="K62" s="902"/>
    </row>
    <row r="63" spans="1:12" ht="103.2" customHeight="1">
      <c r="A63" s="71" t="s">
        <v>77</v>
      </c>
      <c r="B63" s="904" t="s">
        <v>1234</v>
      </c>
      <c r="C63" s="904"/>
      <c r="D63" s="904"/>
      <c r="E63" s="904"/>
      <c r="F63" s="904"/>
      <c r="G63" s="904"/>
      <c r="H63" s="904"/>
      <c r="I63" s="904"/>
      <c r="J63" s="904"/>
    </row>
    <row r="64" spans="1:12">
      <c r="A64" s="28" t="s">
        <v>78</v>
      </c>
      <c r="B64" s="2" t="s">
        <v>1261</v>
      </c>
    </row>
  </sheetData>
  <mergeCells count="7">
    <mergeCell ref="B63:J63"/>
    <mergeCell ref="B62:K62"/>
    <mergeCell ref="H8:I8"/>
    <mergeCell ref="H7:I7"/>
    <mergeCell ref="A1:J1"/>
    <mergeCell ref="A2:J2"/>
    <mergeCell ref="A3:J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H49"/>
  <sheetViews>
    <sheetView topLeftCell="A4" zoomScale="80" zoomScaleNormal="80" workbookViewId="0">
      <selection activeCell="D10" sqref="D10"/>
    </sheetView>
  </sheetViews>
  <sheetFormatPr defaultColWidth="7.08984375" defaultRowHeight="13.2"/>
  <cols>
    <col min="1" max="1" width="5.54296875" style="190" customWidth="1"/>
    <col min="2" max="2" width="35.54296875" style="190" customWidth="1"/>
    <col min="3" max="3" width="24.1796875" style="190" customWidth="1"/>
    <col min="4" max="4" width="11.08984375" style="205" customWidth="1"/>
    <col min="5" max="5" width="7.08984375" style="190"/>
    <col min="6" max="6" width="8.6328125" style="190" bestFit="1" customWidth="1"/>
    <col min="7" max="16384" width="7.08984375" style="190"/>
  </cols>
  <sheetData>
    <row r="1" spans="1:8" ht="14.25" customHeight="1">
      <c r="A1" s="925" t="s">
        <v>412</v>
      </c>
      <c r="B1" s="925"/>
      <c r="C1" s="925"/>
      <c r="D1" s="925"/>
      <c r="F1" s="191"/>
    </row>
    <row r="2" spans="1:8">
      <c r="A2" s="925" t="s">
        <v>173</v>
      </c>
      <c r="B2" s="925"/>
      <c r="C2" s="925"/>
      <c r="D2" s="925"/>
    </row>
    <row r="3" spans="1:8">
      <c r="A3" s="926" t="str">
        <f>'Act Att-H'!C7</f>
        <v>Black Hills Colorado Electric, LLC</v>
      </c>
      <c r="B3" s="925"/>
      <c r="C3" s="925"/>
      <c r="D3" s="925"/>
    </row>
    <row r="4" spans="1:8">
      <c r="D4" s="192" t="s">
        <v>515</v>
      </c>
    </row>
    <row r="5" spans="1:8">
      <c r="D5" s="190"/>
    </row>
    <row r="6" spans="1:8">
      <c r="A6" s="193" t="s">
        <v>4</v>
      </c>
      <c r="C6" s="194" t="s">
        <v>20</v>
      </c>
      <c r="D6" s="195"/>
    </row>
    <row r="7" spans="1:8">
      <c r="A7" s="196" t="s">
        <v>6</v>
      </c>
      <c r="B7" s="196" t="s">
        <v>368</v>
      </c>
      <c r="C7" s="197" t="s">
        <v>22</v>
      </c>
      <c r="D7" s="198" t="s">
        <v>23</v>
      </c>
    </row>
    <row r="8" spans="1:8" ht="13.35" customHeight="1">
      <c r="A8" s="193">
        <v>1</v>
      </c>
      <c r="B8" s="190" t="s">
        <v>174</v>
      </c>
      <c r="C8" s="190" t="s">
        <v>175</v>
      </c>
      <c r="D8" s="199">
        <v>19883</v>
      </c>
    </row>
    <row r="9" spans="1:8" ht="13.35" customHeight="1">
      <c r="A9" s="193">
        <v>2</v>
      </c>
      <c r="B9" s="190" t="s">
        <v>176</v>
      </c>
      <c r="C9" s="190" t="s">
        <v>177</v>
      </c>
      <c r="D9" s="199">
        <v>1447193</v>
      </c>
      <c r="F9" s="200"/>
      <c r="H9" s="201"/>
    </row>
    <row r="10" spans="1:8" ht="13.35" customHeight="1">
      <c r="A10" s="193">
        <v>3</v>
      </c>
      <c r="B10" s="190" t="s">
        <v>178</v>
      </c>
      <c r="C10" s="190" t="s">
        <v>179</v>
      </c>
      <c r="D10" s="199">
        <v>260069</v>
      </c>
      <c r="F10" s="202"/>
    </row>
    <row r="11" spans="1:8" ht="13.35" customHeight="1">
      <c r="A11" s="193">
        <v>4</v>
      </c>
      <c r="B11" s="190" t="s">
        <v>786</v>
      </c>
      <c r="C11" s="190" t="s">
        <v>366</v>
      </c>
      <c r="D11" s="199">
        <v>0</v>
      </c>
      <c r="F11" s="203"/>
    </row>
    <row r="12" spans="1:8" ht="13.35" customHeight="1">
      <c r="A12" s="193" t="s">
        <v>766</v>
      </c>
      <c r="B12" s="190" t="s">
        <v>775</v>
      </c>
      <c r="C12" s="190" t="s">
        <v>685</v>
      </c>
      <c r="D12" s="199">
        <v>0</v>
      </c>
      <c r="F12" s="203"/>
    </row>
    <row r="13" spans="1:8" ht="13.35" customHeight="1">
      <c r="A13" s="193" t="s">
        <v>767</v>
      </c>
      <c r="B13" s="190" t="s">
        <v>776</v>
      </c>
      <c r="C13" s="190" t="s">
        <v>685</v>
      </c>
      <c r="D13" s="199">
        <v>0</v>
      </c>
      <c r="F13" s="203"/>
    </row>
    <row r="14" spans="1:8" ht="13.35" customHeight="1" thickBot="1">
      <c r="A14" s="193">
        <v>5</v>
      </c>
      <c r="B14" s="190" t="s">
        <v>214</v>
      </c>
      <c r="C14" s="190" t="s">
        <v>785</v>
      </c>
      <c r="D14" s="204">
        <f>SUM(D8:D10,D12:D13)-D11</f>
        <v>1727145</v>
      </c>
      <c r="G14" s="203"/>
    </row>
    <row r="15" spans="1:8" ht="13.35" customHeight="1" thickTop="1">
      <c r="A15" s="193">
        <v>6</v>
      </c>
    </row>
    <row r="16" spans="1:8" ht="13.35" customHeight="1">
      <c r="A16" s="193">
        <v>7</v>
      </c>
    </row>
    <row r="17" spans="1:8" ht="13.35" customHeight="1">
      <c r="A17" s="193">
        <v>8</v>
      </c>
      <c r="B17" s="206" t="s">
        <v>180</v>
      </c>
      <c r="D17" s="207"/>
      <c r="G17" s="201"/>
    </row>
    <row r="18" spans="1:8" ht="13.35" customHeight="1">
      <c r="A18" s="193">
        <v>9</v>
      </c>
      <c r="D18" s="207"/>
      <c r="H18" s="201"/>
    </row>
    <row r="19" spans="1:8" ht="13.35" customHeight="1">
      <c r="A19" s="193">
        <v>10</v>
      </c>
      <c r="B19" s="190" t="s">
        <v>623</v>
      </c>
      <c r="C19" s="190" t="s">
        <v>624</v>
      </c>
      <c r="D19" s="199">
        <v>0</v>
      </c>
    </row>
    <row r="20" spans="1:8" ht="13.35" customHeight="1">
      <c r="A20" s="193">
        <v>11</v>
      </c>
      <c r="B20" s="190" t="s">
        <v>684</v>
      </c>
      <c r="C20" s="190" t="s">
        <v>1218</v>
      </c>
      <c r="D20" s="199">
        <v>141712</v>
      </c>
      <c r="H20" s="201"/>
    </row>
    <row r="21" spans="1:8" ht="13.35" customHeight="1">
      <c r="A21" s="193">
        <v>12</v>
      </c>
      <c r="D21" s="202"/>
    </row>
    <row r="22" spans="1:8" ht="13.35" customHeight="1">
      <c r="A22" s="193">
        <v>13</v>
      </c>
      <c r="D22" s="208"/>
    </row>
    <row r="23" spans="1:8" ht="13.35" customHeight="1">
      <c r="A23" s="193">
        <v>14</v>
      </c>
      <c r="B23" s="190" t="s">
        <v>9</v>
      </c>
      <c r="C23" s="206"/>
      <c r="D23" s="209">
        <f>SUM(D19:D22)</f>
        <v>141712</v>
      </c>
    </row>
    <row r="24" spans="1:8" ht="13.35" customHeight="1">
      <c r="A24" s="193">
        <v>15</v>
      </c>
      <c r="D24" s="202"/>
    </row>
    <row r="25" spans="1:8" ht="13.35" customHeight="1" thickBot="1">
      <c r="A25" s="193">
        <v>16</v>
      </c>
      <c r="B25" s="190" t="s">
        <v>215</v>
      </c>
      <c r="D25" s="204">
        <f>+D23</f>
        <v>141712</v>
      </c>
    </row>
    <row r="26" spans="1:8" ht="13.35" customHeight="1" thickTop="1">
      <c r="A26" s="193">
        <v>17</v>
      </c>
      <c r="D26" s="210"/>
    </row>
    <row r="27" spans="1:8" ht="13.35" customHeight="1">
      <c r="A27" s="193">
        <v>18</v>
      </c>
      <c r="D27" s="210"/>
    </row>
    <row r="28" spans="1:8" ht="13.35" customHeight="1">
      <c r="A28" s="193">
        <v>19</v>
      </c>
      <c r="B28" s="206" t="s">
        <v>787</v>
      </c>
      <c r="D28" s="210"/>
    </row>
    <row r="29" spans="1:8" ht="13.35" customHeight="1">
      <c r="A29" s="193">
        <v>20</v>
      </c>
      <c r="B29" s="190" t="s">
        <v>181</v>
      </c>
      <c r="C29" s="190" t="s">
        <v>367</v>
      </c>
      <c r="D29" s="199">
        <v>0</v>
      </c>
    </row>
    <row r="30" spans="1:8" ht="13.35" customHeight="1">
      <c r="A30" s="193">
        <v>21</v>
      </c>
      <c r="B30" s="190" t="s">
        <v>182</v>
      </c>
      <c r="C30" s="190" t="s">
        <v>367</v>
      </c>
      <c r="D30" s="199">
        <v>335104.17579999997</v>
      </c>
    </row>
    <row r="31" spans="1:8" ht="13.35" customHeight="1" thickBot="1">
      <c r="A31" s="193">
        <v>22</v>
      </c>
      <c r="B31" s="190" t="s">
        <v>787</v>
      </c>
      <c r="C31" s="190" t="s">
        <v>750</v>
      </c>
      <c r="D31" s="204">
        <f>SUM(D29:D30)</f>
        <v>335104.17579999997</v>
      </c>
    </row>
    <row r="32" spans="1:8" ht="13.35" customHeight="1" thickTop="1">
      <c r="A32" s="193"/>
      <c r="D32" s="210"/>
    </row>
    <row r="33" spans="1:4" ht="13.35" customHeight="1">
      <c r="A33" s="353" t="s">
        <v>155</v>
      </c>
      <c r="B33" s="211"/>
      <c r="D33" s="210"/>
    </row>
    <row r="34" spans="1:4" ht="25.5" customHeight="1">
      <c r="A34" s="393" t="s">
        <v>76</v>
      </c>
      <c r="B34" s="924" t="s">
        <v>517</v>
      </c>
      <c r="C34" s="924"/>
      <c r="D34" s="924"/>
    </row>
    <row r="35" spans="1:4" ht="33" customHeight="1">
      <c r="A35" s="393" t="s">
        <v>77</v>
      </c>
      <c r="B35" s="924" t="s">
        <v>696</v>
      </c>
      <c r="C35" s="924"/>
      <c r="D35" s="924"/>
    </row>
    <row r="36" spans="1:4" ht="32.25" customHeight="1">
      <c r="A36" s="393" t="s">
        <v>78</v>
      </c>
      <c r="B36" s="924" t="s">
        <v>622</v>
      </c>
      <c r="C36" s="924"/>
      <c r="D36" s="924"/>
    </row>
    <row r="37" spans="1:4" ht="25.5" customHeight="1">
      <c r="A37" s="393" t="s">
        <v>79</v>
      </c>
      <c r="B37" s="924" t="s">
        <v>974</v>
      </c>
      <c r="C37" s="924"/>
      <c r="D37" s="924"/>
    </row>
    <row r="38" spans="1:4">
      <c r="A38" s="193"/>
    </row>
    <row r="39" spans="1:4">
      <c r="A39" s="193"/>
    </row>
    <row r="40" spans="1:4">
      <c r="A40" s="193"/>
    </row>
    <row r="41" spans="1:4">
      <c r="A41" s="193"/>
    </row>
    <row r="42" spans="1:4">
      <c r="A42" s="193"/>
    </row>
    <row r="43" spans="1:4">
      <c r="A43" s="193"/>
    </row>
    <row r="44" spans="1:4">
      <c r="A44" s="193"/>
    </row>
    <row r="45" spans="1:4">
      <c r="A45" s="193"/>
    </row>
    <row r="46" spans="1:4">
      <c r="A46" s="193"/>
    </row>
    <row r="47" spans="1:4">
      <c r="A47" s="193"/>
    </row>
    <row r="49" ht="25.5" customHeight="1"/>
  </sheetData>
  <mergeCells count="7">
    <mergeCell ref="B37:D37"/>
    <mergeCell ref="B36:D36"/>
    <mergeCell ref="B35:D35"/>
    <mergeCell ref="A1:D1"/>
    <mergeCell ref="A2:D2"/>
    <mergeCell ref="A3:D3"/>
    <mergeCell ref="B34:D3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I105"/>
  <sheetViews>
    <sheetView zoomScale="80" zoomScaleNormal="80" workbookViewId="0">
      <selection activeCell="G41" sqref="G41"/>
    </sheetView>
  </sheetViews>
  <sheetFormatPr defaultRowHeight="13.2"/>
  <cols>
    <col min="1" max="1" width="6.08984375" style="2" customWidth="1"/>
    <col min="2" max="2" width="36.453125" style="2" bestFit="1" customWidth="1"/>
    <col min="3" max="3" width="12.81640625" style="2" customWidth="1"/>
    <col min="4" max="4" width="12.1796875" style="2" bestFit="1" customWidth="1"/>
    <col min="5" max="5" width="12.08984375" style="2" bestFit="1" customWidth="1"/>
    <col min="6" max="6" width="15.54296875" style="2" bestFit="1" customWidth="1"/>
    <col min="7" max="7" width="9.81640625" style="2" bestFit="1" customWidth="1"/>
    <col min="8" max="8" width="10.6328125" style="2" bestFit="1" customWidth="1"/>
    <col min="9" max="252" width="8.6328125" style="2"/>
    <col min="253" max="253" width="6.08984375" style="2" customWidth="1"/>
    <col min="254" max="256" width="11.6328125" style="2" customWidth="1"/>
    <col min="257" max="258" width="9.6328125" style="2" customWidth="1"/>
    <col min="259" max="259" width="15.08984375" style="2" bestFit="1" customWidth="1"/>
    <col min="260" max="508" width="8.6328125" style="2"/>
    <col min="509" max="509" width="6.08984375" style="2" customWidth="1"/>
    <col min="510" max="512" width="11.6328125" style="2" customWidth="1"/>
    <col min="513" max="514" width="9.6328125" style="2" customWidth="1"/>
    <col min="515" max="515" width="15.08984375" style="2" bestFit="1" customWidth="1"/>
    <col min="516" max="764" width="8.6328125" style="2"/>
    <col min="765" max="765" width="6.08984375" style="2" customWidth="1"/>
    <col min="766" max="768" width="11.6328125" style="2" customWidth="1"/>
    <col min="769" max="770" width="9.6328125" style="2" customWidth="1"/>
    <col min="771" max="771" width="15.08984375" style="2" bestFit="1" customWidth="1"/>
    <col min="772" max="1020" width="8.6328125" style="2"/>
    <col min="1021" max="1021" width="6.08984375" style="2" customWidth="1"/>
    <col min="1022" max="1024" width="11.6328125" style="2" customWidth="1"/>
    <col min="1025" max="1026" width="9.6328125" style="2" customWidth="1"/>
    <col min="1027" max="1027" width="15.08984375" style="2" bestFit="1" customWidth="1"/>
    <col min="1028" max="1276" width="8.6328125" style="2"/>
    <col min="1277" max="1277" width="6.08984375" style="2" customWidth="1"/>
    <col min="1278" max="1280" width="11.6328125" style="2" customWidth="1"/>
    <col min="1281" max="1282" width="9.6328125" style="2" customWidth="1"/>
    <col min="1283" max="1283" width="15.08984375" style="2" bestFit="1" customWidth="1"/>
    <col min="1284" max="1532" width="8.6328125" style="2"/>
    <col min="1533" max="1533" width="6.08984375" style="2" customWidth="1"/>
    <col min="1534" max="1536" width="11.6328125" style="2" customWidth="1"/>
    <col min="1537" max="1538" width="9.6328125" style="2" customWidth="1"/>
    <col min="1539" max="1539" width="15.08984375" style="2" bestFit="1" customWidth="1"/>
    <col min="1540" max="1788" width="8.6328125" style="2"/>
    <col min="1789" max="1789" width="6.08984375" style="2" customWidth="1"/>
    <col min="1790" max="1792" width="11.6328125" style="2" customWidth="1"/>
    <col min="1793" max="1794" width="9.6328125" style="2" customWidth="1"/>
    <col min="1795" max="1795" width="15.08984375" style="2" bestFit="1" customWidth="1"/>
    <col min="1796" max="2044" width="8.6328125" style="2"/>
    <col min="2045" max="2045" width="6.08984375" style="2" customWidth="1"/>
    <col min="2046" max="2048" width="11.6328125" style="2" customWidth="1"/>
    <col min="2049" max="2050" width="9.6328125" style="2" customWidth="1"/>
    <col min="2051" max="2051" width="15.08984375" style="2" bestFit="1" customWidth="1"/>
    <col min="2052" max="2300" width="8.6328125" style="2"/>
    <col min="2301" max="2301" width="6.08984375" style="2" customWidth="1"/>
    <col min="2302" max="2304" width="11.6328125" style="2" customWidth="1"/>
    <col min="2305" max="2306" width="9.6328125" style="2" customWidth="1"/>
    <col min="2307" max="2307" width="15.08984375" style="2" bestFit="1" customWidth="1"/>
    <col min="2308" max="2556" width="8.6328125" style="2"/>
    <col min="2557" max="2557" width="6.08984375" style="2" customWidth="1"/>
    <col min="2558" max="2560" width="11.6328125" style="2" customWidth="1"/>
    <col min="2561" max="2562" width="9.6328125" style="2" customWidth="1"/>
    <col min="2563" max="2563" width="15.08984375" style="2" bestFit="1" customWidth="1"/>
    <col min="2564" max="2812" width="8.6328125" style="2"/>
    <col min="2813" max="2813" width="6.08984375" style="2" customWidth="1"/>
    <col min="2814" max="2816" width="11.6328125" style="2" customWidth="1"/>
    <col min="2817" max="2818" width="9.6328125" style="2" customWidth="1"/>
    <col min="2819" max="2819" width="15.08984375" style="2" bestFit="1" customWidth="1"/>
    <col min="2820" max="3068" width="8.6328125" style="2"/>
    <col min="3069" max="3069" width="6.08984375" style="2" customWidth="1"/>
    <col min="3070" max="3072" width="11.6328125" style="2" customWidth="1"/>
    <col min="3073" max="3074" width="9.6328125" style="2" customWidth="1"/>
    <col min="3075" max="3075" width="15.08984375" style="2" bestFit="1" customWidth="1"/>
    <col min="3076" max="3324" width="8.6328125" style="2"/>
    <col min="3325" max="3325" width="6.08984375" style="2" customWidth="1"/>
    <col min="3326" max="3328" width="11.6328125" style="2" customWidth="1"/>
    <col min="3329" max="3330" width="9.6328125" style="2" customWidth="1"/>
    <col min="3331" max="3331" width="15.08984375" style="2" bestFit="1" customWidth="1"/>
    <col min="3332" max="3580" width="8.6328125" style="2"/>
    <col min="3581" max="3581" width="6.08984375" style="2" customWidth="1"/>
    <col min="3582" max="3584" width="11.6328125" style="2" customWidth="1"/>
    <col min="3585" max="3586" width="9.6328125" style="2" customWidth="1"/>
    <col min="3587" max="3587" width="15.08984375" style="2" bestFit="1" customWidth="1"/>
    <col min="3588" max="3836" width="8.6328125" style="2"/>
    <col min="3837" max="3837" width="6.08984375" style="2" customWidth="1"/>
    <col min="3838" max="3840" width="11.6328125" style="2" customWidth="1"/>
    <col min="3841" max="3842" width="9.6328125" style="2" customWidth="1"/>
    <col min="3843" max="3843" width="15.08984375" style="2" bestFit="1" customWidth="1"/>
    <col min="3844" max="4092" width="8.6328125" style="2"/>
    <col min="4093" max="4093" width="6.08984375" style="2" customWidth="1"/>
    <col min="4094" max="4096" width="11.6328125" style="2" customWidth="1"/>
    <col min="4097" max="4098" width="9.6328125" style="2" customWidth="1"/>
    <col min="4099" max="4099" width="15.08984375" style="2" bestFit="1" customWidth="1"/>
    <col min="4100" max="4348" width="8.6328125" style="2"/>
    <col min="4349" max="4349" width="6.08984375" style="2" customWidth="1"/>
    <col min="4350" max="4352" width="11.6328125" style="2" customWidth="1"/>
    <col min="4353" max="4354" width="9.6328125" style="2" customWidth="1"/>
    <col min="4355" max="4355" width="15.08984375" style="2" bestFit="1" customWidth="1"/>
    <col min="4356" max="4604" width="8.6328125" style="2"/>
    <col min="4605" max="4605" width="6.08984375" style="2" customWidth="1"/>
    <col min="4606" max="4608" width="11.6328125" style="2" customWidth="1"/>
    <col min="4609" max="4610" width="9.6328125" style="2" customWidth="1"/>
    <col min="4611" max="4611" width="15.08984375" style="2" bestFit="1" customWidth="1"/>
    <col min="4612" max="4860" width="8.6328125" style="2"/>
    <col min="4861" max="4861" width="6.08984375" style="2" customWidth="1"/>
    <col min="4862" max="4864" width="11.6328125" style="2" customWidth="1"/>
    <col min="4865" max="4866" width="9.6328125" style="2" customWidth="1"/>
    <col min="4867" max="4867" width="15.08984375" style="2" bestFit="1" customWidth="1"/>
    <col min="4868" max="5116" width="8.6328125" style="2"/>
    <col min="5117" max="5117" width="6.08984375" style="2" customWidth="1"/>
    <col min="5118" max="5120" width="11.6328125" style="2" customWidth="1"/>
    <col min="5121" max="5122" width="9.6328125" style="2" customWidth="1"/>
    <col min="5123" max="5123" width="15.08984375" style="2" bestFit="1" customWidth="1"/>
    <col min="5124" max="5372" width="8.6328125" style="2"/>
    <col min="5373" max="5373" width="6.08984375" style="2" customWidth="1"/>
    <col min="5374" max="5376" width="11.6328125" style="2" customWidth="1"/>
    <col min="5377" max="5378" width="9.6328125" style="2" customWidth="1"/>
    <col min="5379" max="5379" width="15.08984375" style="2" bestFit="1" customWidth="1"/>
    <col min="5380" max="5628" width="8.6328125" style="2"/>
    <col min="5629" max="5629" width="6.08984375" style="2" customWidth="1"/>
    <col min="5630" max="5632" width="11.6328125" style="2" customWidth="1"/>
    <col min="5633" max="5634" width="9.6328125" style="2" customWidth="1"/>
    <col min="5635" max="5635" width="15.08984375" style="2" bestFit="1" customWidth="1"/>
    <col min="5636" max="5884" width="8.6328125" style="2"/>
    <col min="5885" max="5885" width="6.08984375" style="2" customWidth="1"/>
    <col min="5886" max="5888" width="11.6328125" style="2" customWidth="1"/>
    <col min="5889" max="5890" width="9.6328125" style="2" customWidth="1"/>
    <col min="5891" max="5891" width="15.08984375" style="2" bestFit="1" customWidth="1"/>
    <col min="5892" max="6140" width="8.6328125" style="2"/>
    <col min="6141" max="6141" width="6.08984375" style="2" customWidth="1"/>
    <col min="6142" max="6144" width="11.6328125" style="2" customWidth="1"/>
    <col min="6145" max="6146" width="9.6328125" style="2" customWidth="1"/>
    <col min="6147" max="6147" width="15.08984375" style="2" bestFit="1" customWidth="1"/>
    <col min="6148" max="6396" width="8.6328125" style="2"/>
    <col min="6397" max="6397" width="6.08984375" style="2" customWidth="1"/>
    <col min="6398" max="6400" width="11.6328125" style="2" customWidth="1"/>
    <col min="6401" max="6402" width="9.6328125" style="2" customWidth="1"/>
    <col min="6403" max="6403" width="15.08984375" style="2" bestFit="1" customWidth="1"/>
    <col min="6404" max="6652" width="8.6328125" style="2"/>
    <col min="6653" max="6653" width="6.08984375" style="2" customWidth="1"/>
    <col min="6654" max="6656" width="11.6328125" style="2" customWidth="1"/>
    <col min="6657" max="6658" width="9.6328125" style="2" customWidth="1"/>
    <col min="6659" max="6659" width="15.08984375" style="2" bestFit="1" customWidth="1"/>
    <col min="6660" max="6908" width="8.6328125" style="2"/>
    <col min="6909" max="6909" width="6.08984375" style="2" customWidth="1"/>
    <col min="6910" max="6912" width="11.6328125" style="2" customWidth="1"/>
    <col min="6913" max="6914" width="9.6328125" style="2" customWidth="1"/>
    <col min="6915" max="6915" width="15.08984375" style="2" bestFit="1" customWidth="1"/>
    <col min="6916" max="7164" width="8.6328125" style="2"/>
    <col min="7165" max="7165" width="6.08984375" style="2" customWidth="1"/>
    <col min="7166" max="7168" width="11.6328125" style="2" customWidth="1"/>
    <col min="7169" max="7170" width="9.6328125" style="2" customWidth="1"/>
    <col min="7171" max="7171" width="15.08984375" style="2" bestFit="1" customWidth="1"/>
    <col min="7172" max="7420" width="8.6328125" style="2"/>
    <col min="7421" max="7421" width="6.08984375" style="2" customWidth="1"/>
    <col min="7422" max="7424" width="11.6328125" style="2" customWidth="1"/>
    <col min="7425" max="7426" width="9.6328125" style="2" customWidth="1"/>
    <col min="7427" max="7427" width="15.08984375" style="2" bestFit="1" customWidth="1"/>
    <col min="7428" max="7676" width="8.6328125" style="2"/>
    <col min="7677" max="7677" width="6.08984375" style="2" customWidth="1"/>
    <col min="7678" max="7680" width="11.6328125" style="2" customWidth="1"/>
    <col min="7681" max="7682" width="9.6328125" style="2" customWidth="1"/>
    <col min="7683" max="7683" width="15.08984375" style="2" bestFit="1" customWidth="1"/>
    <col min="7684" max="7932" width="8.6328125" style="2"/>
    <col min="7933" max="7933" width="6.08984375" style="2" customWidth="1"/>
    <col min="7934" max="7936" width="11.6328125" style="2" customWidth="1"/>
    <col min="7937" max="7938" width="9.6328125" style="2" customWidth="1"/>
    <col min="7939" max="7939" width="15.08984375" style="2" bestFit="1" customWidth="1"/>
    <col min="7940" max="8188" width="8.6328125" style="2"/>
    <col min="8189" max="8189" width="6.08984375" style="2" customWidth="1"/>
    <col min="8190" max="8192" width="11.6328125" style="2" customWidth="1"/>
    <col min="8193" max="8194" width="9.6328125" style="2" customWidth="1"/>
    <col min="8195" max="8195" width="15.08984375" style="2" bestFit="1" customWidth="1"/>
    <col min="8196" max="8444" width="8.6328125" style="2"/>
    <col min="8445" max="8445" width="6.08984375" style="2" customWidth="1"/>
    <col min="8446" max="8448" width="11.6328125" style="2" customWidth="1"/>
    <col min="8449" max="8450" width="9.6328125" style="2" customWidth="1"/>
    <col min="8451" max="8451" width="15.08984375" style="2" bestFit="1" customWidth="1"/>
    <col min="8452" max="8700" width="8.6328125" style="2"/>
    <col min="8701" max="8701" width="6.08984375" style="2" customWidth="1"/>
    <col min="8702" max="8704" width="11.6328125" style="2" customWidth="1"/>
    <col min="8705" max="8706" width="9.6328125" style="2" customWidth="1"/>
    <col min="8707" max="8707" width="15.08984375" style="2" bestFit="1" customWidth="1"/>
    <col min="8708" max="8956" width="8.6328125" style="2"/>
    <col min="8957" max="8957" width="6.08984375" style="2" customWidth="1"/>
    <col min="8958" max="8960" width="11.6328125" style="2" customWidth="1"/>
    <col min="8961" max="8962" width="9.6328125" style="2" customWidth="1"/>
    <col min="8963" max="8963" width="15.08984375" style="2" bestFit="1" customWidth="1"/>
    <col min="8964" max="9212" width="8.6328125" style="2"/>
    <col min="9213" max="9213" width="6.08984375" style="2" customWidth="1"/>
    <col min="9214" max="9216" width="11.6328125" style="2" customWidth="1"/>
    <col min="9217" max="9218" width="9.6328125" style="2" customWidth="1"/>
    <col min="9219" max="9219" width="15.08984375" style="2" bestFit="1" customWidth="1"/>
    <col min="9220" max="9468" width="8.6328125" style="2"/>
    <col min="9469" max="9469" width="6.08984375" style="2" customWidth="1"/>
    <col min="9470" max="9472" width="11.6328125" style="2" customWidth="1"/>
    <col min="9473" max="9474" width="9.6328125" style="2" customWidth="1"/>
    <col min="9475" max="9475" width="15.08984375" style="2" bestFit="1" customWidth="1"/>
    <col min="9476" max="9724" width="8.6328125" style="2"/>
    <col min="9725" max="9725" width="6.08984375" style="2" customWidth="1"/>
    <col min="9726" max="9728" width="11.6328125" style="2" customWidth="1"/>
    <col min="9729" max="9730" width="9.6328125" style="2" customWidth="1"/>
    <col min="9731" max="9731" width="15.08984375" style="2" bestFit="1" customWidth="1"/>
    <col min="9732" max="9980" width="8.6328125" style="2"/>
    <col min="9981" max="9981" width="6.08984375" style="2" customWidth="1"/>
    <col min="9982" max="9984" width="11.6328125" style="2" customWidth="1"/>
    <col min="9985" max="9986" width="9.6328125" style="2" customWidth="1"/>
    <col min="9987" max="9987" width="15.08984375" style="2" bestFit="1" customWidth="1"/>
    <col min="9988" max="10236" width="8.6328125" style="2"/>
    <col min="10237" max="10237" width="6.08984375" style="2" customWidth="1"/>
    <col min="10238" max="10240" width="11.6328125" style="2" customWidth="1"/>
    <col min="10241" max="10242" width="9.6328125" style="2" customWidth="1"/>
    <col min="10243" max="10243" width="15.08984375" style="2" bestFit="1" customWidth="1"/>
    <col min="10244" max="10492" width="8.6328125" style="2"/>
    <col min="10493" max="10493" width="6.08984375" style="2" customWidth="1"/>
    <col min="10494" max="10496" width="11.6328125" style="2" customWidth="1"/>
    <col min="10497" max="10498" width="9.6328125" style="2" customWidth="1"/>
    <col min="10499" max="10499" width="15.08984375" style="2" bestFit="1" customWidth="1"/>
    <col min="10500" max="10748" width="8.6328125" style="2"/>
    <col min="10749" max="10749" width="6.08984375" style="2" customWidth="1"/>
    <col min="10750" max="10752" width="11.6328125" style="2" customWidth="1"/>
    <col min="10753" max="10754" width="9.6328125" style="2" customWidth="1"/>
    <col min="10755" max="10755" width="15.08984375" style="2" bestFit="1" customWidth="1"/>
    <col min="10756" max="11004" width="8.6328125" style="2"/>
    <col min="11005" max="11005" width="6.08984375" style="2" customWidth="1"/>
    <col min="11006" max="11008" width="11.6328125" style="2" customWidth="1"/>
    <col min="11009" max="11010" width="9.6328125" style="2" customWidth="1"/>
    <col min="11011" max="11011" width="15.08984375" style="2" bestFit="1" customWidth="1"/>
    <col min="11012" max="11260" width="8.6328125" style="2"/>
    <col min="11261" max="11261" width="6.08984375" style="2" customWidth="1"/>
    <col min="11262" max="11264" width="11.6328125" style="2" customWidth="1"/>
    <col min="11265" max="11266" width="9.6328125" style="2" customWidth="1"/>
    <col min="11267" max="11267" width="15.08984375" style="2" bestFit="1" customWidth="1"/>
    <col min="11268" max="11516" width="8.6328125" style="2"/>
    <col min="11517" max="11517" width="6.08984375" style="2" customWidth="1"/>
    <col min="11518" max="11520" width="11.6328125" style="2" customWidth="1"/>
    <col min="11521" max="11522" width="9.6328125" style="2" customWidth="1"/>
    <col min="11523" max="11523" width="15.08984375" style="2" bestFit="1" customWidth="1"/>
    <col min="11524" max="11772" width="8.6328125" style="2"/>
    <col min="11773" max="11773" width="6.08984375" style="2" customWidth="1"/>
    <col min="11774" max="11776" width="11.6328125" style="2" customWidth="1"/>
    <col min="11777" max="11778" width="9.6328125" style="2" customWidth="1"/>
    <col min="11779" max="11779" width="15.08984375" style="2" bestFit="1" customWidth="1"/>
    <col min="11780" max="12028" width="8.6328125" style="2"/>
    <col min="12029" max="12029" width="6.08984375" style="2" customWidth="1"/>
    <col min="12030" max="12032" width="11.6328125" style="2" customWidth="1"/>
    <col min="12033" max="12034" width="9.6328125" style="2" customWidth="1"/>
    <col min="12035" max="12035" width="15.08984375" style="2" bestFit="1" customWidth="1"/>
    <col min="12036" max="12284" width="8.6328125" style="2"/>
    <col min="12285" max="12285" width="6.08984375" style="2" customWidth="1"/>
    <col min="12286" max="12288" width="11.6328125" style="2" customWidth="1"/>
    <col min="12289" max="12290" width="9.6328125" style="2" customWidth="1"/>
    <col min="12291" max="12291" width="15.08984375" style="2" bestFit="1" customWidth="1"/>
    <col min="12292" max="12540" width="8.6328125" style="2"/>
    <col min="12541" max="12541" width="6.08984375" style="2" customWidth="1"/>
    <col min="12542" max="12544" width="11.6328125" style="2" customWidth="1"/>
    <col min="12545" max="12546" width="9.6328125" style="2" customWidth="1"/>
    <col min="12547" max="12547" width="15.08984375" style="2" bestFit="1" customWidth="1"/>
    <col min="12548" max="12796" width="8.6328125" style="2"/>
    <col min="12797" max="12797" width="6.08984375" style="2" customWidth="1"/>
    <col min="12798" max="12800" width="11.6328125" style="2" customWidth="1"/>
    <col min="12801" max="12802" width="9.6328125" style="2" customWidth="1"/>
    <col min="12803" max="12803" width="15.08984375" style="2" bestFit="1" customWidth="1"/>
    <col min="12804" max="13052" width="8.6328125" style="2"/>
    <col min="13053" max="13053" width="6.08984375" style="2" customWidth="1"/>
    <col min="13054" max="13056" width="11.6328125" style="2" customWidth="1"/>
    <col min="13057" max="13058" width="9.6328125" style="2" customWidth="1"/>
    <col min="13059" max="13059" width="15.08984375" style="2" bestFit="1" customWidth="1"/>
    <col min="13060" max="13308" width="8.6328125" style="2"/>
    <col min="13309" max="13309" width="6.08984375" style="2" customWidth="1"/>
    <col min="13310" max="13312" width="11.6328125" style="2" customWidth="1"/>
    <col min="13313" max="13314" width="9.6328125" style="2" customWidth="1"/>
    <col min="13315" max="13315" width="15.08984375" style="2" bestFit="1" customWidth="1"/>
    <col min="13316" max="13564" width="8.6328125" style="2"/>
    <col min="13565" max="13565" width="6.08984375" style="2" customWidth="1"/>
    <col min="13566" max="13568" width="11.6328125" style="2" customWidth="1"/>
    <col min="13569" max="13570" width="9.6328125" style="2" customWidth="1"/>
    <col min="13571" max="13571" width="15.08984375" style="2" bestFit="1" customWidth="1"/>
    <col min="13572" max="13820" width="8.6328125" style="2"/>
    <col min="13821" max="13821" width="6.08984375" style="2" customWidth="1"/>
    <col min="13822" max="13824" width="11.6328125" style="2" customWidth="1"/>
    <col min="13825" max="13826" width="9.6328125" style="2" customWidth="1"/>
    <col min="13827" max="13827" width="15.08984375" style="2" bestFit="1" customWidth="1"/>
    <col min="13828" max="14076" width="8.6328125" style="2"/>
    <col min="14077" max="14077" width="6.08984375" style="2" customWidth="1"/>
    <col min="14078" max="14080" width="11.6328125" style="2" customWidth="1"/>
    <col min="14081" max="14082" width="9.6328125" style="2" customWidth="1"/>
    <col min="14083" max="14083" width="15.08984375" style="2" bestFit="1" customWidth="1"/>
    <col min="14084" max="14332" width="8.6328125" style="2"/>
    <col min="14333" max="14333" width="6.08984375" style="2" customWidth="1"/>
    <col min="14334" max="14336" width="11.6328125" style="2" customWidth="1"/>
    <col min="14337" max="14338" width="9.6328125" style="2" customWidth="1"/>
    <col min="14339" max="14339" width="15.08984375" style="2" bestFit="1" customWidth="1"/>
    <col min="14340" max="14588" width="8.6328125" style="2"/>
    <col min="14589" max="14589" width="6.08984375" style="2" customWidth="1"/>
    <col min="14590" max="14592" width="11.6328125" style="2" customWidth="1"/>
    <col min="14593" max="14594" width="9.6328125" style="2" customWidth="1"/>
    <col min="14595" max="14595" width="15.08984375" style="2" bestFit="1" customWidth="1"/>
    <col min="14596" max="14844" width="8.6328125" style="2"/>
    <col min="14845" max="14845" width="6.08984375" style="2" customWidth="1"/>
    <col min="14846" max="14848" width="11.6328125" style="2" customWidth="1"/>
    <col min="14849" max="14850" width="9.6328125" style="2" customWidth="1"/>
    <col min="14851" max="14851" width="15.08984375" style="2" bestFit="1" customWidth="1"/>
    <col min="14852" max="15100" width="8.6328125" style="2"/>
    <col min="15101" max="15101" width="6.08984375" style="2" customWidth="1"/>
    <col min="15102" max="15104" width="11.6328125" style="2" customWidth="1"/>
    <col min="15105" max="15106" width="9.6328125" style="2" customWidth="1"/>
    <col min="15107" max="15107" width="15.08984375" style="2" bestFit="1" customWidth="1"/>
    <col min="15108" max="15356" width="8.6328125" style="2"/>
    <col min="15357" max="15357" width="6.08984375" style="2" customWidth="1"/>
    <col min="15358" max="15360" width="11.6328125" style="2" customWidth="1"/>
    <col min="15361" max="15362" width="9.6328125" style="2" customWidth="1"/>
    <col min="15363" max="15363" width="15.08984375" style="2" bestFit="1" customWidth="1"/>
    <col min="15364" max="15612" width="8.6328125" style="2"/>
    <col min="15613" max="15613" width="6.08984375" style="2" customWidth="1"/>
    <col min="15614" max="15616" width="11.6328125" style="2" customWidth="1"/>
    <col min="15617" max="15618" width="9.6328125" style="2" customWidth="1"/>
    <col min="15619" max="15619" width="15.08984375" style="2" bestFit="1" customWidth="1"/>
    <col min="15620" max="15868" width="8.6328125" style="2"/>
    <col min="15869" max="15869" width="6.08984375" style="2" customWidth="1"/>
    <col min="15870" max="15872" width="11.6328125" style="2" customWidth="1"/>
    <col min="15873" max="15874" width="9.6328125" style="2" customWidth="1"/>
    <col min="15875" max="15875" width="15.08984375" style="2" bestFit="1" customWidth="1"/>
    <col min="15876" max="16124" width="8.6328125" style="2"/>
    <col min="16125" max="16125" width="6.08984375" style="2" customWidth="1"/>
    <col min="16126" max="16128" width="11.6328125" style="2" customWidth="1"/>
    <col min="16129" max="16130" width="9.6328125" style="2" customWidth="1"/>
    <col min="16131" max="16131" width="15.08984375" style="2" bestFit="1" customWidth="1"/>
    <col min="16132" max="16380" width="8.6328125" style="2"/>
    <col min="16381" max="16384" width="8.6328125" style="2" customWidth="1"/>
  </cols>
  <sheetData>
    <row r="1" spans="1:7">
      <c r="A1" s="925" t="s">
        <v>413</v>
      </c>
      <c r="B1" s="925"/>
      <c r="C1" s="925"/>
      <c r="D1" s="925"/>
      <c r="E1" s="925"/>
      <c r="F1" s="925"/>
    </row>
    <row r="2" spans="1:7">
      <c r="A2" s="925" t="s">
        <v>171</v>
      </c>
      <c r="B2" s="925"/>
      <c r="C2" s="925"/>
      <c r="D2" s="925"/>
      <c r="E2" s="925"/>
      <c r="F2" s="925"/>
    </row>
    <row r="3" spans="1:7">
      <c r="A3" s="926" t="str">
        <f>'Act Att-H'!C7</f>
        <v>Black Hills Colorado Electric, LLC</v>
      </c>
      <c r="B3" s="926"/>
      <c r="C3" s="926"/>
      <c r="D3" s="926"/>
      <c r="E3" s="926"/>
      <c r="F3" s="926"/>
    </row>
    <row r="4" spans="1:7" s="206" customFormat="1">
      <c r="F4" s="192" t="s">
        <v>515</v>
      </c>
    </row>
    <row r="5" spans="1:7">
      <c r="A5" s="397"/>
      <c r="B5" s="397"/>
      <c r="C5" s="397"/>
      <c r="D5" s="397"/>
      <c r="E5" s="397"/>
      <c r="F5" s="397"/>
    </row>
    <row r="7" spans="1:7">
      <c r="A7" s="396"/>
      <c r="B7" s="396"/>
      <c r="C7" s="172"/>
      <c r="D7" s="172" t="s">
        <v>590</v>
      </c>
      <c r="E7" s="172" t="s">
        <v>591</v>
      </c>
    </row>
    <row r="8" spans="1:7">
      <c r="B8" s="396"/>
      <c r="C8" s="172"/>
      <c r="D8" s="172" t="s">
        <v>483</v>
      </c>
      <c r="E8" s="172" t="s">
        <v>539</v>
      </c>
      <c r="F8" s="213"/>
    </row>
    <row r="9" spans="1:7">
      <c r="A9" s="397" t="s">
        <v>4</v>
      </c>
      <c r="B9" s="172" t="s">
        <v>368</v>
      </c>
      <c r="C9" s="172" t="s">
        <v>589</v>
      </c>
      <c r="D9" s="673">
        <v>45261</v>
      </c>
      <c r="E9" s="673">
        <v>45627</v>
      </c>
      <c r="F9" s="172" t="s">
        <v>588</v>
      </c>
    </row>
    <row r="10" spans="1:7" ht="13.8" thickBot="1">
      <c r="A10" s="399" t="s">
        <v>6</v>
      </c>
      <c r="B10" s="398" t="s">
        <v>138</v>
      </c>
      <c r="C10" s="398" t="s">
        <v>139</v>
      </c>
      <c r="D10" s="398" t="s">
        <v>140</v>
      </c>
      <c r="E10" s="398" t="s">
        <v>141</v>
      </c>
      <c r="F10" s="398" t="s">
        <v>142</v>
      </c>
    </row>
    <row r="11" spans="1:7">
      <c r="A11" s="193">
        <v>1</v>
      </c>
    </row>
    <row r="12" spans="1:7" ht="15" customHeight="1">
      <c r="A12" s="193">
        <f t="shared" ref="A12:A15" si="0">+A11+1</f>
        <v>2</v>
      </c>
      <c r="B12" s="395" t="s">
        <v>118</v>
      </c>
      <c r="C12" s="194" t="s">
        <v>596</v>
      </c>
      <c r="D12" s="719">
        <v>0</v>
      </c>
      <c r="E12" s="719">
        <v>0</v>
      </c>
      <c r="F12" s="195">
        <f>(D12+E12)/2</f>
        <v>0</v>
      </c>
    </row>
    <row r="13" spans="1:7" ht="15" customHeight="1">
      <c r="A13" s="193">
        <f t="shared" si="0"/>
        <v>3</v>
      </c>
      <c r="B13" s="395" t="s">
        <v>119</v>
      </c>
      <c r="C13" s="194" t="s">
        <v>593</v>
      </c>
      <c r="D13" s="719">
        <v>-137999967</v>
      </c>
      <c r="E13" s="719">
        <v>-142243027</v>
      </c>
      <c r="F13" s="195">
        <f>(D13+E13)/2</f>
        <v>-140121497</v>
      </c>
    </row>
    <row r="14" spans="1:7" ht="15" customHeight="1">
      <c r="A14" s="193">
        <f t="shared" si="0"/>
        <v>4</v>
      </c>
      <c r="B14" s="395" t="s">
        <v>120</v>
      </c>
      <c r="C14" s="194" t="s">
        <v>594</v>
      </c>
      <c r="D14" s="719">
        <v>-61775900</v>
      </c>
      <c r="E14" s="719">
        <v>-59213144</v>
      </c>
      <c r="F14" s="195">
        <f>(D14+E14)/2</f>
        <v>-60494522</v>
      </c>
    </row>
    <row r="15" spans="1:7" ht="15" customHeight="1">
      <c r="A15" s="193">
        <f t="shared" si="0"/>
        <v>5</v>
      </c>
      <c r="B15" s="395" t="s">
        <v>121</v>
      </c>
      <c r="C15" s="194" t="s">
        <v>595</v>
      </c>
      <c r="D15" s="719">
        <v>75736193</v>
      </c>
      <c r="E15" s="719">
        <v>76686825</v>
      </c>
      <c r="F15" s="195">
        <f>(D15+E15)/2</f>
        <v>76211509</v>
      </c>
      <c r="G15" s="542"/>
    </row>
    <row r="16" spans="1:7">
      <c r="A16" s="193">
        <v>6</v>
      </c>
      <c r="G16" s="395"/>
    </row>
    <row r="17" spans="1:7">
      <c r="A17" s="193">
        <v>7</v>
      </c>
      <c r="B17" s="649" t="s">
        <v>770</v>
      </c>
      <c r="C17" s="195"/>
      <c r="D17" s="50"/>
      <c r="E17" s="50"/>
      <c r="F17" s="50"/>
      <c r="G17" s="542"/>
    </row>
    <row r="18" spans="1:7">
      <c r="A18" s="193">
        <v>8</v>
      </c>
      <c r="B18" s="609" t="s">
        <v>733</v>
      </c>
      <c r="C18" s="195"/>
      <c r="D18" s="50"/>
      <c r="E18" s="50"/>
      <c r="F18" s="50"/>
      <c r="G18" s="542"/>
    </row>
    <row r="19" spans="1:7" s="877" customFormat="1">
      <c r="A19" s="193">
        <f>A18+1</f>
        <v>9</v>
      </c>
      <c r="B19" s="609" t="s">
        <v>1195</v>
      </c>
      <c r="C19" s="874" t="s">
        <v>685</v>
      </c>
      <c r="D19" s="719">
        <v>-7860</v>
      </c>
      <c r="E19" s="719">
        <v>-7860</v>
      </c>
      <c r="F19" s="876">
        <f>(D19+E19)/2</f>
        <v>-7860</v>
      </c>
    </row>
    <row r="20" spans="1:7" s="877" customFormat="1">
      <c r="A20" s="193">
        <f t="shared" ref="A20:A47" si="1">A19+1</f>
        <v>10</v>
      </c>
      <c r="B20" s="609" t="s">
        <v>1196</v>
      </c>
      <c r="C20" s="874" t="s">
        <v>685</v>
      </c>
      <c r="D20" s="719">
        <v>9524255</v>
      </c>
      <c r="E20" s="719">
        <v>-1417587.6400000001</v>
      </c>
      <c r="F20" s="876">
        <f t="shared" ref="F20:F47" si="2">(D20+E20)/2</f>
        <v>4053333.6799999997</v>
      </c>
    </row>
    <row r="21" spans="1:7" s="877" customFormat="1">
      <c r="A21" s="193">
        <f t="shared" si="1"/>
        <v>11</v>
      </c>
      <c r="B21" s="609" t="s">
        <v>883</v>
      </c>
      <c r="C21" s="874" t="s">
        <v>685</v>
      </c>
      <c r="D21" s="719">
        <v>-1760828.54</v>
      </c>
      <c r="E21" s="719">
        <v>-1797599.13</v>
      </c>
      <c r="F21" s="876">
        <f t="shared" si="2"/>
        <v>-1779213.835</v>
      </c>
    </row>
    <row r="22" spans="1:7" s="877" customFormat="1">
      <c r="A22" s="193">
        <f t="shared" si="1"/>
        <v>12</v>
      </c>
      <c r="B22" s="609" t="s">
        <v>250</v>
      </c>
      <c r="C22" s="874" t="s">
        <v>685</v>
      </c>
      <c r="D22" s="719">
        <v>5233</v>
      </c>
      <c r="E22" s="719">
        <v>-1084735.73</v>
      </c>
      <c r="F22" s="876">
        <f t="shared" si="2"/>
        <v>-539751.36499999999</v>
      </c>
    </row>
    <row r="23" spans="1:7" s="877" customFormat="1">
      <c r="A23" s="193">
        <f t="shared" si="1"/>
        <v>13</v>
      </c>
      <c r="B23" s="609" t="s">
        <v>1197</v>
      </c>
      <c r="C23" s="874" t="s">
        <v>685</v>
      </c>
      <c r="D23" s="719">
        <v>-3458426</v>
      </c>
      <c r="E23" s="719">
        <v>-4859049.18</v>
      </c>
      <c r="F23" s="876">
        <f t="shared" si="2"/>
        <v>-4158737.59</v>
      </c>
    </row>
    <row r="24" spans="1:7" s="877" customFormat="1">
      <c r="A24" s="193">
        <f t="shared" si="1"/>
        <v>14</v>
      </c>
      <c r="B24" s="609" t="s">
        <v>1198</v>
      </c>
      <c r="C24" s="874" t="s">
        <v>685</v>
      </c>
      <c r="D24" s="719">
        <v>0</v>
      </c>
      <c r="E24" s="719">
        <v>1014963.18</v>
      </c>
      <c r="F24" s="876">
        <f t="shared" si="2"/>
        <v>507481.59</v>
      </c>
    </row>
    <row r="25" spans="1:7" s="877" customFormat="1">
      <c r="A25" s="193">
        <f t="shared" si="1"/>
        <v>15</v>
      </c>
      <c r="B25" s="609" t="s">
        <v>1199</v>
      </c>
      <c r="C25" s="874" t="s">
        <v>685</v>
      </c>
      <c r="D25" s="719">
        <v>1105899</v>
      </c>
      <c r="E25" s="719">
        <v>0</v>
      </c>
      <c r="F25" s="876">
        <f t="shared" si="2"/>
        <v>552949.5</v>
      </c>
    </row>
    <row r="26" spans="1:7" s="877" customFormat="1">
      <c r="A26" s="193">
        <f t="shared" si="1"/>
        <v>16</v>
      </c>
      <c r="B26" s="609" t="s">
        <v>1200</v>
      </c>
      <c r="C26" s="874" t="s">
        <v>685</v>
      </c>
      <c r="D26" s="719">
        <v>0</v>
      </c>
      <c r="E26" s="719">
        <v>0</v>
      </c>
      <c r="F26" s="876">
        <f t="shared" si="2"/>
        <v>0</v>
      </c>
    </row>
    <row r="27" spans="1:7" s="877" customFormat="1">
      <c r="A27" s="193">
        <f t="shared" si="1"/>
        <v>17</v>
      </c>
      <c r="B27" s="609" t="s">
        <v>1201</v>
      </c>
      <c r="C27" s="874" t="s">
        <v>685</v>
      </c>
      <c r="D27" s="719">
        <v>0</v>
      </c>
      <c r="E27" s="719">
        <v>0</v>
      </c>
      <c r="F27" s="876">
        <f t="shared" si="2"/>
        <v>0</v>
      </c>
    </row>
    <row r="28" spans="1:7" s="877" customFormat="1">
      <c r="A28" s="193">
        <f t="shared" si="1"/>
        <v>18</v>
      </c>
      <c r="B28" s="609" t="s">
        <v>1202</v>
      </c>
      <c r="C28" s="874" t="s">
        <v>685</v>
      </c>
      <c r="D28" s="719">
        <v>220606</v>
      </c>
      <c r="E28" s="719">
        <v>-1618462.0699999996</v>
      </c>
      <c r="F28" s="876">
        <f t="shared" si="2"/>
        <v>-698928.0349999998</v>
      </c>
    </row>
    <row r="29" spans="1:7" s="877" customFormat="1">
      <c r="A29" s="193">
        <f t="shared" si="1"/>
        <v>19</v>
      </c>
      <c r="B29" s="609" t="s">
        <v>1203</v>
      </c>
      <c r="C29" s="874" t="s">
        <v>685</v>
      </c>
      <c r="D29" s="719">
        <v>-2434648.15</v>
      </c>
      <c r="E29" s="719">
        <v>-2784534.73</v>
      </c>
      <c r="F29" s="876">
        <f t="shared" si="2"/>
        <v>-2609591.44</v>
      </c>
    </row>
    <row r="30" spans="1:7" s="877" customFormat="1">
      <c r="A30" s="193">
        <f t="shared" si="1"/>
        <v>20</v>
      </c>
      <c r="B30" s="609" t="s">
        <v>1204</v>
      </c>
      <c r="C30" s="874" t="s">
        <v>685</v>
      </c>
      <c r="D30" s="719">
        <v>41311783</v>
      </c>
      <c r="E30" s="719">
        <v>41311782.659999996</v>
      </c>
      <c r="F30" s="876">
        <f t="shared" si="2"/>
        <v>41311782.829999998</v>
      </c>
    </row>
    <row r="31" spans="1:7" s="877" customFormat="1">
      <c r="A31" s="193">
        <f t="shared" si="1"/>
        <v>21</v>
      </c>
      <c r="B31" s="609" t="s">
        <v>1205</v>
      </c>
      <c r="C31" s="874" t="s">
        <v>685</v>
      </c>
      <c r="D31" s="719">
        <v>184644</v>
      </c>
      <c r="E31" s="719">
        <v>573531.62999999989</v>
      </c>
      <c r="F31" s="876">
        <f t="shared" si="2"/>
        <v>379087.81499999994</v>
      </c>
    </row>
    <row r="32" spans="1:7" s="877" customFormat="1">
      <c r="A32" s="193">
        <f t="shared" si="1"/>
        <v>22</v>
      </c>
      <c r="B32" s="609" t="s">
        <v>1206</v>
      </c>
      <c r="C32" s="874" t="s">
        <v>685</v>
      </c>
      <c r="D32" s="719">
        <v>-1821792</v>
      </c>
      <c r="E32" s="719">
        <v>-2024946.79</v>
      </c>
      <c r="F32" s="876">
        <f t="shared" si="2"/>
        <v>-1923369.395</v>
      </c>
    </row>
    <row r="33" spans="1:7" s="877" customFormat="1">
      <c r="A33" s="193">
        <f t="shared" si="1"/>
        <v>23</v>
      </c>
      <c r="B33" s="609" t="s">
        <v>1207</v>
      </c>
      <c r="C33" s="874" t="s">
        <v>685</v>
      </c>
      <c r="D33" s="719">
        <v>-31697</v>
      </c>
      <c r="E33" s="719">
        <v>-31336.569999999992</v>
      </c>
      <c r="F33" s="876">
        <f t="shared" si="2"/>
        <v>-31516.784999999996</v>
      </c>
    </row>
    <row r="34" spans="1:7" s="877" customFormat="1">
      <c r="A34" s="193">
        <f t="shared" si="1"/>
        <v>24</v>
      </c>
      <c r="B34" s="609" t="s">
        <v>1001</v>
      </c>
      <c r="C34" s="874" t="s">
        <v>685</v>
      </c>
      <c r="D34" s="719">
        <v>0</v>
      </c>
      <c r="E34" s="719">
        <v>0</v>
      </c>
      <c r="F34" s="876">
        <f t="shared" si="2"/>
        <v>0</v>
      </c>
    </row>
    <row r="35" spans="1:7" s="877" customFormat="1">
      <c r="A35" s="193">
        <f t="shared" si="1"/>
        <v>25</v>
      </c>
      <c r="B35" s="609" t="s">
        <v>1208</v>
      </c>
      <c r="C35" s="874" t="s">
        <v>685</v>
      </c>
      <c r="D35" s="719">
        <v>-36916243.25</v>
      </c>
      <c r="E35" s="719">
        <v>-37302634.25</v>
      </c>
      <c r="F35" s="876">
        <f t="shared" si="2"/>
        <v>-37109438.75</v>
      </c>
    </row>
    <row r="36" spans="1:7" s="877" customFormat="1">
      <c r="A36" s="193">
        <f t="shared" si="1"/>
        <v>26</v>
      </c>
      <c r="B36" s="609" t="s">
        <v>882</v>
      </c>
      <c r="C36" s="874" t="s">
        <v>685</v>
      </c>
      <c r="D36" s="719">
        <v>-361417.78</v>
      </c>
      <c r="E36" s="719">
        <v>-369086.1</v>
      </c>
      <c r="F36" s="876">
        <f t="shared" si="2"/>
        <v>-365251.94</v>
      </c>
    </row>
    <row r="37" spans="1:7" s="877" customFormat="1">
      <c r="A37" s="193">
        <f t="shared" si="1"/>
        <v>27</v>
      </c>
      <c r="B37" s="609" t="s">
        <v>1209</v>
      </c>
      <c r="C37" s="874" t="s">
        <v>685</v>
      </c>
      <c r="D37" s="719">
        <v>0</v>
      </c>
      <c r="E37" s="719">
        <v>0.44</v>
      </c>
      <c r="F37" s="876">
        <f t="shared" si="2"/>
        <v>0.22</v>
      </c>
    </row>
    <row r="38" spans="1:7" s="877" customFormat="1">
      <c r="A38" s="193">
        <f t="shared" si="1"/>
        <v>28</v>
      </c>
      <c r="B38" s="609" t="s">
        <v>1210</v>
      </c>
      <c r="C38" s="874" t="s">
        <v>685</v>
      </c>
      <c r="D38" s="719">
        <v>0</v>
      </c>
      <c r="E38" s="719">
        <v>0.31</v>
      </c>
      <c r="F38" s="876">
        <f t="shared" si="2"/>
        <v>0.155</v>
      </c>
    </row>
    <row r="39" spans="1:7" s="877" customFormat="1">
      <c r="A39" s="193">
        <f t="shared" si="1"/>
        <v>29</v>
      </c>
      <c r="B39" s="609" t="s">
        <v>1211</v>
      </c>
      <c r="C39" s="874" t="s">
        <v>685</v>
      </c>
      <c r="D39" s="719">
        <v>7851</v>
      </c>
      <c r="E39" s="719">
        <v>7851.16</v>
      </c>
      <c r="F39" s="876">
        <f t="shared" si="2"/>
        <v>7851.08</v>
      </c>
    </row>
    <row r="40" spans="1:7" s="877" customFormat="1">
      <c r="A40" s="193">
        <f t="shared" si="1"/>
        <v>30</v>
      </c>
      <c r="B40" s="609" t="s">
        <v>1212</v>
      </c>
      <c r="C40" s="874" t="s">
        <v>685</v>
      </c>
      <c r="D40" s="719">
        <v>0</v>
      </c>
      <c r="E40" s="719">
        <v>0.28000000000000003</v>
      </c>
      <c r="F40" s="876">
        <f t="shared" si="2"/>
        <v>0.14000000000000001</v>
      </c>
    </row>
    <row r="41" spans="1:7" s="877" customFormat="1">
      <c r="A41" s="193">
        <f t="shared" si="1"/>
        <v>31</v>
      </c>
      <c r="B41" s="609" t="s">
        <v>880</v>
      </c>
      <c r="C41" s="874" t="s">
        <v>685</v>
      </c>
      <c r="D41" s="719">
        <v>-375091</v>
      </c>
      <c r="E41" s="719">
        <v>-334090.56</v>
      </c>
      <c r="F41" s="876">
        <f t="shared" si="2"/>
        <v>-354590.78</v>
      </c>
    </row>
    <row r="42" spans="1:7" s="877" customFormat="1">
      <c r="A42" s="193">
        <f t="shared" si="1"/>
        <v>32</v>
      </c>
      <c r="B42" s="609" t="s">
        <v>1268</v>
      </c>
      <c r="C42" s="874" t="s">
        <v>685</v>
      </c>
      <c r="D42" s="719">
        <v>495699</v>
      </c>
      <c r="E42" s="719">
        <v>495699.47</v>
      </c>
      <c r="F42" s="876">
        <f t="shared" si="2"/>
        <v>495699.23499999999</v>
      </c>
    </row>
    <row r="43" spans="1:7" s="877" customFormat="1">
      <c r="A43" s="193">
        <f t="shared" si="1"/>
        <v>33</v>
      </c>
      <c r="B43" s="609" t="s">
        <v>1213</v>
      </c>
      <c r="C43" s="874" t="s">
        <v>685</v>
      </c>
      <c r="D43" s="719">
        <v>-236883</v>
      </c>
      <c r="E43" s="719">
        <v>9031796.8299999982</v>
      </c>
      <c r="F43" s="876">
        <f t="shared" si="2"/>
        <v>4397456.9149999991</v>
      </c>
    </row>
    <row r="44" spans="1:7" s="877" customFormat="1">
      <c r="A44" s="193">
        <f t="shared" si="1"/>
        <v>34</v>
      </c>
      <c r="B44" s="609" t="s">
        <v>1214</v>
      </c>
      <c r="C44" s="874" t="s">
        <v>685</v>
      </c>
      <c r="D44" s="719">
        <v>-5769628</v>
      </c>
      <c r="E44" s="719">
        <v>-5639959.6499999994</v>
      </c>
      <c r="F44" s="876">
        <f t="shared" si="2"/>
        <v>-5704793.8249999993</v>
      </c>
    </row>
    <row r="45" spans="1:7" s="877" customFormat="1">
      <c r="A45" s="193">
        <f t="shared" si="1"/>
        <v>35</v>
      </c>
      <c r="B45" s="609" t="s">
        <v>1215</v>
      </c>
      <c r="C45" s="874" t="s">
        <v>685</v>
      </c>
      <c r="D45" s="719">
        <v>-179705</v>
      </c>
      <c r="E45" s="719">
        <v>-179705</v>
      </c>
      <c r="F45" s="876">
        <f t="shared" si="2"/>
        <v>-179705</v>
      </c>
    </row>
    <row r="46" spans="1:7" s="877" customFormat="1">
      <c r="A46" s="193">
        <f t="shared" si="1"/>
        <v>36</v>
      </c>
      <c r="B46" s="609" t="s">
        <v>1216</v>
      </c>
      <c r="C46" s="874" t="s">
        <v>685</v>
      </c>
      <c r="D46" s="719">
        <v>870070</v>
      </c>
      <c r="E46" s="719">
        <v>-0.02</v>
      </c>
      <c r="F46" s="876">
        <f t="shared" si="2"/>
        <v>435034.99</v>
      </c>
    </row>
    <row r="47" spans="1:7" s="877" customFormat="1">
      <c r="A47" s="193">
        <f t="shared" si="1"/>
        <v>37</v>
      </c>
      <c r="B47" s="875" t="s">
        <v>275</v>
      </c>
      <c r="C47" s="874" t="s">
        <v>685</v>
      </c>
      <c r="D47" s="719"/>
      <c r="E47" s="719"/>
      <c r="F47" s="876">
        <f t="shared" si="2"/>
        <v>0</v>
      </c>
      <c r="G47" s="893"/>
    </row>
    <row r="48" spans="1:7" s="877" customFormat="1">
      <c r="A48" s="193">
        <v>200</v>
      </c>
      <c r="B48" s="877" t="s">
        <v>744</v>
      </c>
      <c r="C48" s="876"/>
      <c r="D48" s="50"/>
      <c r="E48" s="50"/>
      <c r="F48" s="614">
        <f>SUM(F19:F47)</f>
        <v>-3322070.5900000017</v>
      </c>
      <c r="G48" s="893"/>
    </row>
    <row r="49" spans="1:9">
      <c r="A49" s="193"/>
      <c r="B49" s="395"/>
      <c r="C49" s="195"/>
      <c r="D49" s="50"/>
      <c r="E49" s="50"/>
      <c r="F49" s="50"/>
      <c r="G49" s="542"/>
    </row>
    <row r="50" spans="1:9" ht="15" customHeight="1">
      <c r="A50" s="193"/>
      <c r="C50" s="212"/>
      <c r="D50" s="212"/>
    </row>
    <row r="51" spans="1:9">
      <c r="A51" s="193"/>
      <c r="B51" s="395"/>
      <c r="C51" s="195"/>
      <c r="D51" s="50"/>
      <c r="E51" s="50"/>
      <c r="F51" s="50"/>
      <c r="G51" s="542"/>
    </row>
    <row r="52" spans="1:9">
      <c r="A52" s="353" t="s">
        <v>172</v>
      </c>
      <c r="G52" s="395"/>
    </row>
    <row r="53" spans="1:9" ht="16.350000000000001" customHeight="1">
      <c r="A53" s="400" t="s">
        <v>76</v>
      </c>
      <c r="B53" s="927" t="s">
        <v>592</v>
      </c>
      <c r="C53" s="927"/>
      <c r="D53" s="927"/>
      <c r="E53" s="927"/>
      <c r="F53" s="927"/>
      <c r="G53" s="395"/>
    </row>
    <row r="54" spans="1:9" ht="16.350000000000001" customHeight="1">
      <c r="A54" s="400" t="s">
        <v>77</v>
      </c>
      <c r="B54" s="927" t="s">
        <v>1084</v>
      </c>
      <c r="C54" s="927"/>
      <c r="D54" s="927"/>
      <c r="E54" s="927"/>
      <c r="F54" s="927"/>
    </row>
    <row r="55" spans="1:9">
      <c r="A55" s="393" t="s">
        <v>78</v>
      </c>
      <c r="B55" s="905" t="s">
        <v>1147</v>
      </c>
      <c r="C55" s="905"/>
      <c r="D55" s="905"/>
      <c r="E55" s="905"/>
      <c r="F55" s="905"/>
      <c r="G55" s="905"/>
      <c r="H55" s="905"/>
      <c r="I55" s="905"/>
    </row>
    <row r="56" spans="1:9">
      <c r="A56" s="393" t="s">
        <v>79</v>
      </c>
      <c r="B56" s="904" t="s">
        <v>1147</v>
      </c>
      <c r="C56" s="904"/>
      <c r="D56" s="904"/>
      <c r="E56" s="904"/>
      <c r="F56" s="904"/>
    </row>
    <row r="57" spans="1:9" ht="28.2" customHeight="1">
      <c r="A57" s="393" t="s">
        <v>80</v>
      </c>
      <c r="B57" s="904" t="s">
        <v>1194</v>
      </c>
      <c r="C57" s="904"/>
      <c r="D57" s="904"/>
      <c r="E57" s="904"/>
      <c r="F57" s="904"/>
    </row>
    <row r="58" spans="1:9">
      <c r="A58" s="193"/>
    </row>
    <row r="59" spans="1:9">
      <c r="A59" s="28"/>
      <c r="C59" s="212"/>
      <c r="D59" s="212"/>
    </row>
    <row r="60" spans="1:9">
      <c r="A60" s="193"/>
      <c r="C60" s="212"/>
      <c r="D60" s="212"/>
    </row>
    <row r="61" spans="1:9">
      <c r="A61" s="193"/>
      <c r="C61" s="212"/>
      <c r="D61" s="212"/>
    </row>
    <row r="62" spans="1:9">
      <c r="A62" s="193"/>
      <c r="C62" s="212"/>
      <c r="D62" s="212"/>
    </row>
    <row r="63" spans="1:9">
      <c r="A63" s="193"/>
      <c r="C63" s="212"/>
      <c r="D63" s="212"/>
    </row>
    <row r="64" spans="1:9">
      <c r="C64" s="212"/>
      <c r="D64" s="212"/>
    </row>
    <row r="68" ht="15" customHeight="1"/>
    <row r="72" ht="15" customHeight="1"/>
    <row r="80" ht="15" customHeight="1"/>
    <row r="83" spans="2:6" ht="15" customHeight="1"/>
    <row r="93" spans="2:6" ht="12.75" customHeight="1">
      <c r="B93" s="904"/>
      <c r="C93" s="904"/>
      <c r="D93" s="904"/>
      <c r="E93" s="904"/>
      <c r="F93" s="904"/>
    </row>
    <row r="94" spans="2:6">
      <c r="B94" s="904"/>
      <c r="C94" s="904"/>
      <c r="D94" s="904"/>
      <c r="E94" s="904"/>
      <c r="F94" s="904"/>
    </row>
    <row r="95" spans="2:6">
      <c r="B95" s="904"/>
      <c r="C95" s="904"/>
      <c r="D95" s="904"/>
      <c r="E95" s="904"/>
      <c r="F95" s="904"/>
    </row>
    <row r="96" spans="2:6">
      <c r="B96" s="904"/>
      <c r="C96" s="904"/>
      <c r="D96" s="904"/>
      <c r="E96" s="904"/>
      <c r="F96" s="904"/>
    </row>
    <row r="97" spans="2:6">
      <c r="B97" s="904"/>
      <c r="C97" s="904"/>
      <c r="D97" s="904"/>
      <c r="E97" s="904"/>
      <c r="F97" s="904"/>
    </row>
    <row r="98" spans="2:6" ht="12.75" customHeight="1">
      <c r="B98" s="904"/>
      <c r="C98" s="904"/>
      <c r="D98" s="904"/>
      <c r="E98" s="904"/>
      <c r="F98" s="904"/>
    </row>
    <row r="99" spans="2:6" ht="12.75" customHeight="1">
      <c r="B99" s="904"/>
      <c r="C99" s="904"/>
      <c r="D99" s="904"/>
      <c r="E99" s="904"/>
      <c r="F99" s="904"/>
    </row>
    <row r="100" spans="2:6" ht="12.75" customHeight="1">
      <c r="B100" s="904"/>
      <c r="C100" s="904"/>
      <c r="D100" s="904"/>
      <c r="E100" s="904"/>
      <c r="F100" s="904"/>
    </row>
    <row r="101" spans="2:6">
      <c r="B101" s="928"/>
      <c r="C101" s="928"/>
      <c r="D101" s="928"/>
      <c r="E101" s="928"/>
      <c r="F101" s="928"/>
    </row>
    <row r="102" spans="2:6">
      <c r="B102" s="928"/>
      <c r="C102" s="928"/>
      <c r="D102" s="928"/>
      <c r="E102" s="928"/>
      <c r="F102" s="928"/>
    </row>
    <row r="103" spans="2:6">
      <c r="B103" s="928"/>
      <c r="C103" s="928"/>
      <c r="D103" s="928"/>
      <c r="E103" s="928"/>
      <c r="F103" s="928"/>
    </row>
    <row r="104" spans="2:6">
      <c r="B104" s="928"/>
      <c r="C104" s="928"/>
      <c r="D104" s="928"/>
      <c r="E104" s="928"/>
      <c r="F104" s="928"/>
    </row>
    <row r="105" spans="2:6">
      <c r="B105" s="928"/>
      <c r="C105" s="928"/>
      <c r="D105" s="928"/>
      <c r="E105" s="928"/>
      <c r="F105" s="928"/>
    </row>
  </sheetData>
  <mergeCells count="17">
    <mergeCell ref="B104:F104"/>
    <mergeCell ref="B105:F105"/>
    <mergeCell ref="B101:F101"/>
    <mergeCell ref="B99:F99"/>
    <mergeCell ref="B100:F100"/>
    <mergeCell ref="B102:F102"/>
    <mergeCell ref="B103:F103"/>
    <mergeCell ref="B98:F98"/>
    <mergeCell ref="A1:F1"/>
    <mergeCell ref="A2:F2"/>
    <mergeCell ref="A3:F3"/>
    <mergeCell ref="B93:F97"/>
    <mergeCell ref="B53:F53"/>
    <mergeCell ref="B54:F54"/>
    <mergeCell ref="B57:F57"/>
    <mergeCell ref="B56:F56"/>
    <mergeCell ref="B55:I55"/>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sheetPr>
  <dimension ref="A1:Q65"/>
  <sheetViews>
    <sheetView zoomScale="80" zoomScaleNormal="80" workbookViewId="0">
      <selection activeCell="G41" sqref="G41"/>
    </sheetView>
  </sheetViews>
  <sheetFormatPr defaultColWidth="8.90625" defaultRowHeight="13.8"/>
  <cols>
    <col min="1" max="1" width="8.90625" style="736" customWidth="1"/>
    <col min="2" max="2" width="50.6328125" style="736" bestFit="1" customWidth="1"/>
    <col min="3" max="3" width="12.81640625" style="736" bestFit="1" customWidth="1"/>
    <col min="4" max="4" width="9.6328125" style="736" customWidth="1"/>
    <col min="5" max="5" width="11.81640625" style="736" customWidth="1"/>
    <col min="6" max="6" width="15.08984375" style="736" bestFit="1" customWidth="1"/>
    <col min="7" max="7" width="11.81640625" style="736" bestFit="1" customWidth="1"/>
    <col min="8" max="8" width="10.81640625" style="736" bestFit="1" customWidth="1"/>
    <col min="9" max="9" width="15.08984375" style="736" customWidth="1"/>
    <col min="10" max="11" width="8.90625" style="736"/>
    <col min="12" max="12" width="11.54296875" style="736" bestFit="1" customWidth="1"/>
    <col min="13" max="13" width="13.1796875" style="736" customWidth="1"/>
    <col min="14" max="14" width="12.08984375" style="736" customWidth="1"/>
    <col min="15" max="15" width="11.54296875" style="736" bestFit="1" customWidth="1"/>
    <col min="16" max="16" width="8.90625" style="736"/>
    <col min="17" max="17" width="12.90625" style="736" bestFit="1" customWidth="1"/>
    <col min="18" max="16384" width="8.90625" style="736"/>
  </cols>
  <sheetData>
    <row r="1" spans="1:17" ht="15.75" customHeight="1">
      <c r="A1" s="934" t="s">
        <v>1009</v>
      </c>
      <c r="B1" s="934"/>
      <c r="C1" s="934"/>
      <c r="D1" s="934"/>
      <c r="E1" s="934"/>
      <c r="F1" s="934"/>
      <c r="G1" s="934"/>
      <c r="H1" s="934"/>
      <c r="I1" s="934"/>
      <c r="J1" s="934"/>
      <c r="K1" s="934"/>
      <c r="L1" s="934"/>
      <c r="M1" s="934"/>
      <c r="N1" s="934"/>
      <c r="O1" s="934"/>
      <c r="P1" s="934"/>
      <c r="Q1" s="934"/>
    </row>
    <row r="2" spans="1:17" s="806" customFormat="1">
      <c r="A2" s="925" t="s">
        <v>1066</v>
      </c>
      <c r="B2" s="925"/>
      <c r="C2" s="925"/>
      <c r="D2" s="925"/>
      <c r="E2" s="925"/>
      <c r="F2" s="925"/>
      <c r="G2" s="925"/>
      <c r="H2" s="925"/>
      <c r="I2" s="925"/>
      <c r="J2" s="925"/>
      <c r="K2" s="925"/>
      <c r="L2" s="925"/>
      <c r="M2" s="925"/>
      <c r="N2" s="925"/>
      <c r="O2" s="925"/>
      <c r="P2" s="925"/>
      <c r="Q2" s="925"/>
    </row>
    <row r="3" spans="1:17">
      <c r="A3" s="926" t="str">
        <f>'Act Att-H'!C7</f>
        <v>Black Hills Colorado Electric, LLC</v>
      </c>
      <c r="B3" s="925"/>
      <c r="C3" s="925"/>
      <c r="D3" s="925"/>
      <c r="E3" s="925"/>
      <c r="F3" s="925"/>
      <c r="G3" s="925"/>
      <c r="H3" s="925"/>
      <c r="I3" s="925"/>
      <c r="J3" s="925"/>
      <c r="K3" s="925"/>
      <c r="L3" s="925"/>
      <c r="M3" s="925"/>
      <c r="N3" s="925"/>
      <c r="O3" s="925"/>
      <c r="P3" s="925"/>
      <c r="Q3" s="925"/>
    </row>
    <row r="4" spans="1:17">
      <c r="A4" s="925" t="str">
        <f>'Act Att-H'!K4</f>
        <v>Actuals - For the 12 months ended 12/31/2024</v>
      </c>
      <c r="B4" s="925"/>
      <c r="C4" s="925"/>
      <c r="D4" s="925"/>
      <c r="E4" s="925"/>
      <c r="F4" s="925"/>
      <c r="G4" s="925"/>
      <c r="H4" s="925"/>
      <c r="I4" s="925"/>
      <c r="J4" s="925"/>
      <c r="K4" s="925"/>
      <c r="L4" s="925"/>
      <c r="M4" s="925"/>
      <c r="N4" s="925"/>
      <c r="O4" s="925"/>
      <c r="P4" s="925"/>
      <c r="Q4" s="925"/>
    </row>
    <row r="6" spans="1:17">
      <c r="A6" s="397"/>
      <c r="B6" s="397"/>
      <c r="C6" s="397"/>
      <c r="D6" s="397"/>
      <c r="E6" s="397"/>
      <c r="F6" s="702"/>
      <c r="G6" s="702"/>
      <c r="H6" s="702"/>
      <c r="I6" s="702"/>
      <c r="J6" s="397"/>
      <c r="K6" s="710"/>
      <c r="L6" s="702"/>
      <c r="M6" s="702"/>
      <c r="N6" s="702"/>
      <c r="O6" s="702"/>
      <c r="P6" s="703"/>
      <c r="Q6" s="703"/>
    </row>
    <row r="7" spans="1:17">
      <c r="A7" s="397"/>
      <c r="B7" s="699"/>
      <c r="C7" s="699"/>
      <c r="D7" s="699"/>
      <c r="E7" s="699"/>
      <c r="F7" s="708">
        <v>44531</v>
      </c>
      <c r="G7" s="709" t="s">
        <v>1250</v>
      </c>
      <c r="H7" s="709" t="s">
        <v>1250</v>
      </c>
      <c r="I7" s="708">
        <v>44896</v>
      </c>
      <c r="J7" s="707"/>
      <c r="K7" s="706"/>
      <c r="L7" s="704">
        <f>+F7</f>
        <v>44531</v>
      </c>
      <c r="M7" s="704" t="str">
        <f>+G7</f>
        <v>2022</v>
      </c>
      <c r="N7" s="705" t="str">
        <f>H7</f>
        <v>2022</v>
      </c>
      <c r="O7" s="704">
        <f>I7</f>
        <v>44896</v>
      </c>
      <c r="P7" s="703"/>
      <c r="Q7" s="703"/>
    </row>
    <row r="8" spans="1:17" ht="14.4" thickBot="1">
      <c r="A8" s="399" t="s">
        <v>6</v>
      </c>
      <c r="B8" s="734" t="s">
        <v>138</v>
      </c>
      <c r="C8" s="734" t="s">
        <v>875</v>
      </c>
      <c r="D8" s="734" t="s">
        <v>874</v>
      </c>
      <c r="E8" s="734" t="s">
        <v>873</v>
      </c>
      <c r="F8" s="734" t="s">
        <v>139</v>
      </c>
      <c r="G8" s="734" t="s">
        <v>140</v>
      </c>
      <c r="H8" s="734" t="s">
        <v>141</v>
      </c>
      <c r="I8" s="734" t="s">
        <v>142</v>
      </c>
      <c r="J8" s="931" t="s">
        <v>143</v>
      </c>
      <c r="K8" s="931"/>
      <c r="L8" s="734" t="s">
        <v>144</v>
      </c>
      <c r="M8" s="734" t="s">
        <v>145</v>
      </c>
      <c r="N8" s="734" t="s">
        <v>161</v>
      </c>
      <c r="O8" s="734" t="s">
        <v>162</v>
      </c>
      <c r="P8" s="734" t="s">
        <v>872</v>
      </c>
      <c r="Q8" s="734" t="s">
        <v>871</v>
      </c>
    </row>
    <row r="9" spans="1:17">
      <c r="A9" s="702"/>
      <c r="B9" s="702"/>
      <c r="C9" s="702"/>
      <c r="D9" s="702"/>
      <c r="E9" s="702"/>
      <c r="F9" s="699"/>
      <c r="G9" s="699"/>
      <c r="H9" s="699"/>
      <c r="I9" s="699"/>
      <c r="J9" s="681"/>
      <c r="K9" s="680"/>
      <c r="L9" s="681"/>
      <c r="M9" s="681"/>
      <c r="N9" s="699"/>
      <c r="O9" s="681"/>
      <c r="P9" s="699"/>
      <c r="Q9" s="699"/>
    </row>
    <row r="10" spans="1:17" ht="60" customHeight="1">
      <c r="A10" s="701" t="s">
        <v>396</v>
      </c>
      <c r="B10" s="701" t="s">
        <v>870</v>
      </c>
      <c r="C10" s="701" t="s">
        <v>869</v>
      </c>
      <c r="D10" s="700" t="s">
        <v>1034</v>
      </c>
      <c r="E10" s="700" t="s">
        <v>1033</v>
      </c>
      <c r="F10" s="700" t="s">
        <v>868</v>
      </c>
      <c r="G10" s="700" t="s">
        <v>867</v>
      </c>
      <c r="H10" s="700" t="s">
        <v>866</v>
      </c>
      <c r="I10" s="700" t="s">
        <v>865</v>
      </c>
      <c r="J10" s="935" t="s">
        <v>864</v>
      </c>
      <c r="K10" s="935"/>
      <c r="L10" s="700" t="s">
        <v>863</v>
      </c>
      <c r="M10" s="700" t="s">
        <v>862</v>
      </c>
      <c r="N10" s="700" t="s">
        <v>861</v>
      </c>
      <c r="O10" s="700" t="s">
        <v>860</v>
      </c>
      <c r="P10" s="700" t="s">
        <v>859</v>
      </c>
      <c r="Q10" s="700" t="s">
        <v>858</v>
      </c>
    </row>
    <row r="11" spans="1:17">
      <c r="A11" s="681"/>
      <c r="B11" s="681"/>
      <c r="C11" s="681"/>
      <c r="D11" s="681"/>
      <c r="E11" s="681"/>
      <c r="F11" s="698"/>
      <c r="G11" s="698"/>
      <c r="H11" s="698"/>
      <c r="I11" s="698"/>
      <c r="J11" s="699"/>
      <c r="K11" s="699"/>
      <c r="L11" s="698"/>
      <c r="M11" s="698"/>
      <c r="N11" s="698"/>
      <c r="O11" s="698"/>
      <c r="P11" s="698"/>
      <c r="Q11" s="698"/>
    </row>
    <row r="12" spans="1:17">
      <c r="A12" s="193">
        <v>1</v>
      </c>
      <c r="B12" s="932" t="s">
        <v>857</v>
      </c>
      <c r="C12" s="933"/>
      <c r="D12" s="933"/>
      <c r="E12" s="933"/>
      <c r="F12" s="933"/>
      <c r="G12" s="933"/>
      <c r="H12" s="933"/>
      <c r="I12" s="933"/>
      <c r="J12" s="933"/>
      <c r="K12" s="933"/>
      <c r="L12" s="933"/>
      <c r="M12" s="933"/>
      <c r="N12" s="933"/>
      <c r="O12" s="933"/>
      <c r="P12" s="933"/>
      <c r="Q12" s="933"/>
    </row>
    <row r="13" spans="1:17">
      <c r="A13" s="193">
        <f>A12+1</f>
        <v>2</v>
      </c>
      <c r="B13" s="682" t="s">
        <v>1071</v>
      </c>
      <c r="C13" s="682" t="s">
        <v>848</v>
      </c>
      <c r="D13" s="693" t="s">
        <v>1251</v>
      </c>
      <c r="E13" s="693"/>
      <c r="F13" s="692">
        <v>0</v>
      </c>
      <c r="G13" s="692">
        <v>0</v>
      </c>
      <c r="H13" s="692">
        <v>0</v>
      </c>
      <c r="I13" s="692">
        <v>1.0000000000000001E-9</v>
      </c>
      <c r="J13" s="691" t="s">
        <v>847</v>
      </c>
      <c r="K13" s="792">
        <v>0.22680814926774853</v>
      </c>
      <c r="L13" s="690">
        <f t="shared" ref="L13:O14" si="0">F13*$K13</f>
        <v>0</v>
      </c>
      <c r="M13" s="690">
        <f t="shared" si="0"/>
        <v>0</v>
      </c>
      <c r="N13" s="690">
        <f t="shared" si="0"/>
        <v>0</v>
      </c>
      <c r="O13" s="690">
        <f t="shared" si="0"/>
        <v>2.2680814926774854E-10</v>
      </c>
      <c r="P13" s="691" t="s">
        <v>852</v>
      </c>
      <c r="Q13" s="696" t="s">
        <v>1002</v>
      </c>
    </row>
    <row r="14" spans="1:17">
      <c r="A14" s="193">
        <f>A13+1</f>
        <v>3</v>
      </c>
      <c r="B14" s="689" t="s">
        <v>275</v>
      </c>
      <c r="C14" s="689"/>
      <c r="D14" s="689"/>
      <c r="E14" s="689"/>
      <c r="F14" s="692"/>
      <c r="G14" s="692"/>
      <c r="H14" s="692"/>
      <c r="I14" s="692"/>
      <c r="J14" s="685"/>
      <c r="K14" s="695"/>
      <c r="L14" s="690">
        <f t="shared" si="0"/>
        <v>0</v>
      </c>
      <c r="M14" s="690">
        <f>G14*$K14</f>
        <v>0</v>
      </c>
      <c r="N14" s="690">
        <f t="shared" si="0"/>
        <v>0</v>
      </c>
      <c r="O14" s="690">
        <f t="shared" si="0"/>
        <v>0</v>
      </c>
      <c r="P14" s="685"/>
      <c r="Q14" s="685"/>
    </row>
    <row r="15" spans="1:17">
      <c r="A15" s="193">
        <v>50</v>
      </c>
      <c r="B15" s="678" t="s">
        <v>1035</v>
      </c>
      <c r="C15" s="678"/>
      <c r="D15" s="678"/>
      <c r="E15" s="678"/>
      <c r="F15" s="694">
        <f>SUM(F13:F14)</f>
        <v>0</v>
      </c>
      <c r="G15" s="694">
        <f>SUM(G13:G14)</f>
        <v>0</v>
      </c>
      <c r="H15" s="694">
        <f>SUM(H13:H14)</f>
        <v>0</v>
      </c>
      <c r="I15" s="694">
        <f>SUM(I13:I14)</f>
        <v>1.0000000000000001E-9</v>
      </c>
      <c r="J15" s="681"/>
      <c r="K15" s="680"/>
      <c r="L15" s="694">
        <f>SUM(L13:L14)</f>
        <v>0</v>
      </c>
      <c r="M15" s="694">
        <f>SUM(M13:M14)</f>
        <v>0</v>
      </c>
      <c r="N15" s="694">
        <f>SUM(N13:N14)</f>
        <v>0</v>
      </c>
      <c r="O15" s="694">
        <f>SUM(O13:O14)</f>
        <v>2.2680814926774854E-10</v>
      </c>
      <c r="P15" s="676"/>
      <c r="Q15" s="676"/>
    </row>
    <row r="16" spans="1:17">
      <c r="A16" s="193"/>
      <c r="B16" s="678"/>
      <c r="C16" s="678"/>
      <c r="D16" s="678"/>
      <c r="E16" s="678"/>
      <c r="F16" s="677"/>
      <c r="G16" s="677"/>
      <c r="H16" s="677"/>
      <c r="I16" s="677"/>
      <c r="J16" s="681"/>
      <c r="K16" s="680"/>
      <c r="L16" s="677"/>
      <c r="M16" s="677"/>
      <c r="N16" s="677"/>
      <c r="O16" s="677"/>
      <c r="P16" s="676"/>
      <c r="Q16" s="676"/>
    </row>
    <row r="17" spans="1:17">
      <c r="A17" s="193">
        <v>51</v>
      </c>
      <c r="B17" s="682" t="s">
        <v>1072</v>
      </c>
      <c r="C17" s="682" t="s">
        <v>848</v>
      </c>
      <c r="D17" s="693">
        <v>283</v>
      </c>
      <c r="E17" s="693"/>
      <c r="F17" s="692">
        <v>0</v>
      </c>
      <c r="G17" s="692">
        <v>0</v>
      </c>
      <c r="H17" s="692">
        <v>0</v>
      </c>
      <c r="I17" s="692">
        <v>0</v>
      </c>
      <c r="J17" s="691" t="s">
        <v>847</v>
      </c>
      <c r="K17" s="792">
        <v>0.22680814926774853</v>
      </c>
      <c r="L17" s="690">
        <f t="shared" ref="L17:O18" si="1">F17*$K17</f>
        <v>0</v>
      </c>
      <c r="M17" s="690">
        <f t="shared" si="1"/>
        <v>0</v>
      </c>
      <c r="N17" s="690">
        <f t="shared" si="1"/>
        <v>0</v>
      </c>
      <c r="O17" s="690">
        <f t="shared" si="1"/>
        <v>0</v>
      </c>
      <c r="P17" s="691"/>
      <c r="Q17" s="697"/>
    </row>
    <row r="18" spans="1:17">
      <c r="A18" s="193">
        <v>52</v>
      </c>
      <c r="B18" s="689" t="s">
        <v>275</v>
      </c>
      <c r="C18" s="689"/>
      <c r="D18" s="689"/>
      <c r="E18" s="688"/>
      <c r="F18" s="687"/>
      <c r="G18" s="686"/>
      <c r="H18" s="686"/>
      <c r="I18" s="686"/>
      <c r="J18" s="686"/>
      <c r="K18" s="685"/>
      <c r="L18" s="684">
        <f t="shared" si="1"/>
        <v>0</v>
      </c>
      <c r="M18" s="684">
        <f t="shared" si="1"/>
        <v>0</v>
      </c>
      <c r="N18" s="684">
        <f t="shared" si="1"/>
        <v>0</v>
      </c>
      <c r="O18" s="684">
        <f t="shared" si="1"/>
        <v>0</v>
      </c>
      <c r="P18" s="683"/>
      <c r="Q18" s="683"/>
    </row>
    <row r="19" spans="1:17">
      <c r="A19" s="193">
        <v>150</v>
      </c>
      <c r="B19" s="678" t="s">
        <v>856</v>
      </c>
      <c r="C19" s="678"/>
      <c r="D19" s="678"/>
      <c r="E19" s="678"/>
      <c r="F19" s="677">
        <f>SUM(F17:F18)</f>
        <v>0</v>
      </c>
      <c r="G19" s="677">
        <f>SUM(G17:G18)</f>
        <v>0</v>
      </c>
      <c r="H19" s="677">
        <f>SUM(H17:H18)</f>
        <v>0</v>
      </c>
      <c r="I19" s="677">
        <f>SUM(I17:I18)</f>
        <v>0</v>
      </c>
      <c r="J19" s="681"/>
      <c r="K19" s="680"/>
      <c r="L19" s="677">
        <f>SUM(L17:L18)</f>
        <v>0</v>
      </c>
      <c r="M19" s="677">
        <f>SUM(M17:M18)</f>
        <v>0</v>
      </c>
      <c r="N19" s="677">
        <f>SUM(N17:N18)</f>
        <v>0</v>
      </c>
      <c r="O19" s="677">
        <f>SUM(O17:O18)</f>
        <v>0</v>
      </c>
      <c r="P19" s="676"/>
      <c r="Q19" s="676"/>
    </row>
    <row r="20" spans="1:17">
      <c r="A20" s="193">
        <v>151</v>
      </c>
      <c r="B20" s="678"/>
      <c r="C20" s="678"/>
      <c r="D20" s="678"/>
      <c r="E20" s="678"/>
      <c r="F20" s="677"/>
      <c r="G20" s="677"/>
      <c r="H20" s="677"/>
      <c r="I20" s="677"/>
      <c r="J20" s="681"/>
      <c r="K20" s="680"/>
      <c r="L20" s="677"/>
      <c r="M20" s="677"/>
      <c r="N20" s="677"/>
      <c r="O20" s="677"/>
      <c r="P20" s="676"/>
      <c r="Q20" s="676"/>
    </row>
    <row r="21" spans="1:17">
      <c r="A21" s="193">
        <v>152</v>
      </c>
      <c r="B21" s="678" t="s">
        <v>1036</v>
      </c>
      <c r="C21" s="678"/>
      <c r="D21" s="678"/>
      <c r="E21" s="678"/>
      <c r="F21" s="677">
        <f>F15+F19</f>
        <v>0</v>
      </c>
      <c r="G21" s="677">
        <f>G15+G19</f>
        <v>0</v>
      </c>
      <c r="H21" s="677">
        <f>H15+H19</f>
        <v>0</v>
      </c>
      <c r="I21" s="677">
        <f>I15+I19</f>
        <v>1.0000000000000001E-9</v>
      </c>
      <c r="J21" s="681"/>
      <c r="K21" s="680"/>
      <c r="L21" s="677">
        <f>L15+L19</f>
        <v>0</v>
      </c>
      <c r="M21" s="677">
        <f>M15+M19</f>
        <v>0</v>
      </c>
      <c r="N21" s="677">
        <f>N15+N19</f>
        <v>0</v>
      </c>
      <c r="O21" s="677">
        <f>O15+O19</f>
        <v>2.2680814926774854E-10</v>
      </c>
      <c r="P21" s="676"/>
      <c r="Q21" s="676"/>
    </row>
    <row r="22" spans="1:17">
      <c r="A22" s="193"/>
      <c r="B22" s="678"/>
      <c r="C22" s="678"/>
      <c r="D22" s="678"/>
      <c r="E22" s="678"/>
      <c r="F22" s="677"/>
      <c r="G22" s="677"/>
      <c r="H22" s="677"/>
      <c r="I22" s="677"/>
      <c r="J22" s="681"/>
      <c r="K22" s="680"/>
      <c r="L22" s="677"/>
      <c r="M22" s="677"/>
      <c r="N22" s="677"/>
      <c r="O22" s="677"/>
      <c r="P22" s="676"/>
      <c r="Q22" s="676"/>
    </row>
    <row r="23" spans="1:17">
      <c r="A23" s="193">
        <v>200</v>
      </c>
      <c r="B23" s="932" t="s">
        <v>855</v>
      </c>
      <c r="C23" s="933"/>
      <c r="D23" s="933"/>
      <c r="E23" s="933"/>
      <c r="F23" s="933"/>
      <c r="G23" s="933"/>
      <c r="H23" s="933"/>
      <c r="I23" s="933"/>
      <c r="J23" s="933"/>
      <c r="K23" s="933"/>
      <c r="L23" s="933"/>
      <c r="M23" s="933"/>
      <c r="N23" s="933"/>
      <c r="O23" s="933"/>
      <c r="P23" s="933"/>
      <c r="Q23" s="933"/>
    </row>
    <row r="24" spans="1:17">
      <c r="A24" s="193">
        <f t="shared" ref="A24:A29" si="2">A23+1</f>
        <v>201</v>
      </c>
      <c r="B24" s="682" t="s">
        <v>817</v>
      </c>
      <c r="C24" s="682" t="s">
        <v>848</v>
      </c>
      <c r="D24" s="693" t="s">
        <v>1252</v>
      </c>
      <c r="E24" s="693"/>
      <c r="F24" s="692">
        <v>-71366502.36999999</v>
      </c>
      <c r="G24" s="692">
        <v>2549068.4103807486</v>
      </c>
      <c r="H24" s="692">
        <v>-75103.960380762815</v>
      </c>
      <c r="I24" s="692">
        <v>-68892537.920000002</v>
      </c>
      <c r="J24" s="691" t="s">
        <v>847</v>
      </c>
      <c r="K24" s="792">
        <v>0.22680814926774853</v>
      </c>
      <c r="L24" s="690">
        <f t="shared" ref="L24:O29" si="3">F24*$K24</f>
        <v>-16186504.322252087</v>
      </c>
      <c r="M24" s="690">
        <f t="shared" si="3"/>
        <v>578149.48851533933</v>
      </c>
      <c r="N24" s="690">
        <f t="shared" si="3"/>
        <v>-17034.190256639125</v>
      </c>
      <c r="O24" s="690">
        <f t="shared" si="3"/>
        <v>-15625389.023993386</v>
      </c>
      <c r="P24" s="691" t="s">
        <v>852</v>
      </c>
      <c r="Q24" s="697" t="s">
        <v>853</v>
      </c>
    </row>
    <row r="25" spans="1:17">
      <c r="A25" s="193">
        <f t="shared" si="2"/>
        <v>202</v>
      </c>
      <c r="B25" s="682" t="s">
        <v>1067</v>
      </c>
      <c r="C25" s="682" t="s">
        <v>848</v>
      </c>
      <c r="D25" s="693" t="s">
        <v>1252</v>
      </c>
      <c r="E25" s="693"/>
      <c r="F25" s="692">
        <v>0</v>
      </c>
      <c r="G25" s="692">
        <v>0</v>
      </c>
      <c r="H25" s="692">
        <v>0</v>
      </c>
      <c r="I25" s="692">
        <v>0</v>
      </c>
      <c r="J25" s="697" t="s">
        <v>847</v>
      </c>
      <c r="K25" s="792">
        <v>0.22680814926774853</v>
      </c>
      <c r="L25" s="690">
        <f t="shared" si="3"/>
        <v>0</v>
      </c>
      <c r="M25" s="690">
        <f t="shared" si="3"/>
        <v>0</v>
      </c>
      <c r="N25" s="690">
        <f t="shared" si="3"/>
        <v>0</v>
      </c>
      <c r="O25" s="690">
        <f t="shared" si="3"/>
        <v>0</v>
      </c>
      <c r="P25" s="697" t="s">
        <v>852</v>
      </c>
      <c r="Q25" s="696" t="s">
        <v>1002</v>
      </c>
    </row>
    <row r="26" spans="1:17">
      <c r="A26" s="193">
        <f t="shared" si="2"/>
        <v>203</v>
      </c>
      <c r="B26" s="682" t="s">
        <v>854</v>
      </c>
      <c r="C26" s="682" t="s">
        <v>848</v>
      </c>
      <c r="D26" s="727">
        <v>182.3</v>
      </c>
      <c r="E26" s="693"/>
      <c r="F26" s="692">
        <v>30331026</v>
      </c>
      <c r="G26" s="692">
        <v>-1075594.1081304911</v>
      </c>
      <c r="H26" s="692">
        <v>445656.10813049227</v>
      </c>
      <c r="I26" s="692">
        <v>29701088</v>
      </c>
      <c r="J26" s="697" t="s">
        <v>847</v>
      </c>
      <c r="K26" s="792">
        <v>0.22680814926774853</v>
      </c>
      <c r="L26" s="690">
        <f t="shared" si="3"/>
        <v>6879323.872451962</v>
      </c>
      <c r="M26" s="690">
        <f t="shared" si="3"/>
        <v>-243953.50902837128</v>
      </c>
      <c r="N26" s="690">
        <f t="shared" si="3"/>
        <v>101078.43709494457</v>
      </c>
      <c r="O26" s="690">
        <f t="shared" si="3"/>
        <v>6736448.8005185351</v>
      </c>
      <c r="P26" s="691" t="s">
        <v>852</v>
      </c>
      <c r="Q26" s="697" t="s">
        <v>853</v>
      </c>
    </row>
    <row r="27" spans="1:17">
      <c r="A27" s="193">
        <f t="shared" si="2"/>
        <v>204</v>
      </c>
      <c r="B27" s="682" t="s">
        <v>1269</v>
      </c>
      <c r="C27" s="682" t="s">
        <v>848</v>
      </c>
      <c r="D27" s="727">
        <v>182.3</v>
      </c>
      <c r="E27" s="693"/>
      <c r="F27" s="692">
        <v>1623575</v>
      </c>
      <c r="G27" s="692">
        <v>-28514.114718500077</v>
      </c>
      <c r="H27" s="692">
        <v>-39.885281499940902</v>
      </c>
      <c r="I27" s="692">
        <v>1595021</v>
      </c>
      <c r="J27" s="697" t="s">
        <v>847</v>
      </c>
      <c r="K27" s="792">
        <v>0.22680814926774853</v>
      </c>
      <c r="L27" s="690">
        <f t="shared" si="3"/>
        <v>368240.04094738484</v>
      </c>
      <c r="M27" s="690">
        <f t="shared" ref="M27" si="4">G27*$K27</f>
        <v>-6467.2335873112706</v>
      </c>
      <c r="N27" s="690">
        <f t="shared" ref="N27" si="5">H27*$K27</f>
        <v>-9.0463068800247655</v>
      </c>
      <c r="O27" s="690">
        <f t="shared" ref="O27" si="6">I27*$K27</f>
        <v>361763.76105319354</v>
      </c>
      <c r="P27" s="691" t="s">
        <v>852</v>
      </c>
      <c r="Q27" s="697" t="s">
        <v>853</v>
      </c>
    </row>
    <row r="28" spans="1:17">
      <c r="A28" s="193">
        <f t="shared" si="2"/>
        <v>205</v>
      </c>
      <c r="B28" s="682" t="s">
        <v>1270</v>
      </c>
      <c r="C28" s="682"/>
      <c r="D28" s="727">
        <v>254</v>
      </c>
      <c r="E28" s="693"/>
      <c r="F28" s="692">
        <v>-25456.22</v>
      </c>
      <c r="G28" s="692">
        <v>2627.7391876006336</v>
      </c>
      <c r="H28" s="692">
        <v>19.910812399368297</v>
      </c>
      <c r="I28" s="692">
        <v>-22808.57</v>
      </c>
      <c r="J28" s="697" t="s">
        <v>847</v>
      </c>
      <c r="K28" s="792">
        <v>0.22680814926774853</v>
      </c>
      <c r="L28" s="690">
        <f t="shared" ref="L28" si="7">F28*$K28</f>
        <v>-5773.6781455526461</v>
      </c>
      <c r="M28" s="690">
        <f t="shared" ref="M28" si="8">G28*$K28</f>
        <v>595.99266189803677</v>
      </c>
      <c r="N28" s="690">
        <f t="shared" ref="N28" si="9">H28*$K28</f>
        <v>4.5159345107180631</v>
      </c>
      <c r="O28" s="690">
        <f t="shared" ref="O28" si="10">I28*$K28</f>
        <v>-5173.1695491438913</v>
      </c>
      <c r="P28" s="691" t="s">
        <v>852</v>
      </c>
      <c r="Q28" s="697" t="s">
        <v>853</v>
      </c>
    </row>
    <row r="29" spans="1:17">
      <c r="A29" s="193">
        <f t="shared" si="2"/>
        <v>206</v>
      </c>
      <c r="B29" s="689" t="s">
        <v>275</v>
      </c>
      <c r="C29" s="689"/>
      <c r="D29" s="689"/>
      <c r="E29" s="689"/>
      <c r="F29" s="692"/>
      <c r="G29" s="692"/>
      <c r="H29" s="692"/>
      <c r="I29" s="692"/>
      <c r="J29" s="685"/>
      <c r="K29" s="695"/>
      <c r="L29" s="690">
        <f t="shared" si="3"/>
        <v>0</v>
      </c>
      <c r="M29" s="690">
        <f t="shared" si="3"/>
        <v>0</v>
      </c>
      <c r="N29" s="690">
        <f t="shared" si="3"/>
        <v>0</v>
      </c>
      <c r="O29" s="690">
        <f t="shared" si="3"/>
        <v>0</v>
      </c>
      <c r="P29" s="683"/>
      <c r="Q29" s="683"/>
    </row>
    <row r="30" spans="1:17">
      <c r="A30" s="193">
        <v>299</v>
      </c>
      <c r="B30" s="678" t="s">
        <v>851</v>
      </c>
      <c r="C30" s="678"/>
      <c r="D30" s="678"/>
      <c r="E30" s="678"/>
      <c r="F30" s="694">
        <f>SUM(F24:F29)</f>
        <v>-39437357.589999989</v>
      </c>
      <c r="G30" s="694">
        <f>SUM(G24:G29)</f>
        <v>1447587.926719358</v>
      </c>
      <c r="H30" s="694">
        <f>SUM(H24:H29)</f>
        <v>370532.17328062886</v>
      </c>
      <c r="I30" s="694">
        <f>SUM(I24:I29)</f>
        <v>-37619237.490000002</v>
      </c>
      <c r="J30" s="681"/>
      <c r="K30" s="680"/>
      <c r="L30" s="694">
        <f>SUM(L24:L29)</f>
        <v>-8944714.0869982932</v>
      </c>
      <c r="M30" s="694">
        <f>SUM(M24:M29)</f>
        <v>328324.73856155475</v>
      </c>
      <c r="N30" s="694">
        <f>SUM(N24:N29)</f>
        <v>84039.716465936144</v>
      </c>
      <c r="O30" s="694">
        <f>SUM(O24:O29)</f>
        <v>-8532349.6319708023</v>
      </c>
      <c r="P30" s="676"/>
      <c r="Q30" s="676"/>
    </row>
    <row r="31" spans="1:17">
      <c r="A31" s="193"/>
      <c r="B31" s="678"/>
      <c r="C31" s="678"/>
      <c r="D31" s="678"/>
      <c r="E31" s="678"/>
      <c r="F31" s="677"/>
      <c r="G31" s="677"/>
      <c r="H31" s="677"/>
      <c r="I31" s="677"/>
      <c r="J31" s="681"/>
      <c r="K31" s="680"/>
      <c r="L31" s="677"/>
      <c r="M31" s="677"/>
      <c r="N31" s="677"/>
      <c r="O31" s="677"/>
      <c r="P31" s="676"/>
      <c r="Q31" s="676"/>
    </row>
    <row r="32" spans="1:17">
      <c r="A32" s="193">
        <v>300</v>
      </c>
      <c r="B32" s="682" t="s">
        <v>850</v>
      </c>
      <c r="C32" s="682" t="s">
        <v>848</v>
      </c>
      <c r="D32" s="693">
        <v>190</v>
      </c>
      <c r="E32" s="693"/>
      <c r="F32" s="692">
        <v>17473895.784488399</v>
      </c>
      <c r="G32" s="692">
        <v>-624553.14956834912</v>
      </c>
      <c r="H32" s="692">
        <v>18377.571972352638</v>
      </c>
      <c r="I32" s="692">
        <v>16867720.206892401</v>
      </c>
      <c r="J32" s="691" t="s">
        <v>847</v>
      </c>
      <c r="K32" s="792">
        <v>0.22680814926774853</v>
      </c>
      <c r="L32" s="690">
        <f t="shared" ref="L32:O34" si="11">F32*$K32</f>
        <v>3963221.9633773267</v>
      </c>
      <c r="M32" s="690">
        <f t="shared" si="11"/>
        <v>-141653.7439729406</v>
      </c>
      <c r="N32" s="690">
        <f t="shared" si="11"/>
        <v>4168.1830870841486</v>
      </c>
      <c r="O32" s="690">
        <f t="shared" si="11"/>
        <v>3825736.4024914699</v>
      </c>
      <c r="P32" s="676"/>
      <c r="Q32" s="676"/>
    </row>
    <row r="33" spans="1:17">
      <c r="A33" s="193">
        <f>A32+1</f>
        <v>301</v>
      </c>
      <c r="B33" s="682" t="s">
        <v>849</v>
      </c>
      <c r="C33" s="682" t="s">
        <v>848</v>
      </c>
      <c r="D33" s="693">
        <v>283</v>
      </c>
      <c r="E33" s="693"/>
      <c r="F33" s="692">
        <v>-7821208.1407599999</v>
      </c>
      <c r="G33" s="692">
        <v>270241.52862451907</v>
      </c>
      <c r="H33" s="692">
        <v>-109069.02670451936</v>
      </c>
      <c r="I33" s="692">
        <v>-7660035.6388400001</v>
      </c>
      <c r="J33" s="691" t="s">
        <v>847</v>
      </c>
      <c r="K33" s="792">
        <v>0.22680814926774853</v>
      </c>
      <c r="L33" s="690">
        <f t="shared" si="11"/>
        <v>-1773913.7434436241</v>
      </c>
      <c r="M33" s="690">
        <f t="shared" si="11"/>
        <v>61292.980962614456</v>
      </c>
      <c r="N33" s="690">
        <f t="shared" si="11"/>
        <v>-24737.74408928668</v>
      </c>
      <c r="O33" s="690">
        <f t="shared" si="11"/>
        <v>-1737358.5065702961</v>
      </c>
      <c r="P33" s="676"/>
      <c r="Q33" s="676"/>
    </row>
    <row r="34" spans="1:17">
      <c r="A34" s="193">
        <f>A33+1</f>
        <v>302</v>
      </c>
      <c r="B34" s="689" t="s">
        <v>275</v>
      </c>
      <c r="C34" s="689"/>
      <c r="D34" s="689"/>
      <c r="E34" s="688"/>
      <c r="F34" s="687"/>
      <c r="G34" s="686"/>
      <c r="H34" s="686"/>
      <c r="I34" s="686"/>
      <c r="J34" s="686"/>
      <c r="K34" s="685"/>
      <c r="L34" s="684">
        <f t="shared" si="11"/>
        <v>0</v>
      </c>
      <c r="M34" s="684">
        <f t="shared" si="11"/>
        <v>0</v>
      </c>
      <c r="N34" s="684">
        <f t="shared" si="11"/>
        <v>0</v>
      </c>
      <c r="O34" s="684">
        <f t="shared" si="11"/>
        <v>0</v>
      </c>
      <c r="P34" s="683"/>
      <c r="Q34" s="683"/>
    </row>
    <row r="35" spans="1:17">
      <c r="A35" s="193">
        <v>350</v>
      </c>
      <c r="B35" s="678" t="s">
        <v>846</v>
      </c>
      <c r="C35" s="678"/>
      <c r="F35" s="677">
        <f>SUM(F32:F34)</f>
        <v>9652687.6437283978</v>
      </c>
      <c r="G35" s="677">
        <f>SUM(G32:G34)</f>
        <v>-354311.62094383006</v>
      </c>
      <c r="H35" s="677">
        <f>SUM(H32:H34)</f>
        <v>-90691.45473216672</v>
      </c>
      <c r="I35" s="677">
        <f>SUM(I32:I34)</f>
        <v>9207684.5680523999</v>
      </c>
      <c r="J35" s="681"/>
      <c r="K35" s="680"/>
      <c r="L35" s="677">
        <f>SUM(L32:L34)</f>
        <v>2189308.2199337026</v>
      </c>
      <c r="M35" s="677">
        <f>SUM(M32:M34)</f>
        <v>-80360.763010326147</v>
      </c>
      <c r="N35" s="677">
        <f>SUM(N32:N34)</f>
        <v>-20569.561002202532</v>
      </c>
      <c r="O35" s="677">
        <f>SUM(O32:O34)</f>
        <v>2088377.8959211737</v>
      </c>
      <c r="P35" s="676"/>
      <c r="Q35" s="676"/>
    </row>
    <row r="36" spans="1:17">
      <c r="A36" s="193">
        <f>A35+1</f>
        <v>351</v>
      </c>
      <c r="B36" s="678"/>
      <c r="C36" s="678"/>
      <c r="F36" s="677"/>
      <c r="G36" s="677"/>
      <c r="H36" s="677"/>
      <c r="I36" s="677"/>
      <c r="J36" s="681"/>
      <c r="K36" s="680"/>
      <c r="L36" s="677"/>
      <c r="M36" s="677"/>
      <c r="N36" s="677"/>
      <c r="O36" s="677"/>
      <c r="P36" s="676"/>
      <c r="Q36" s="676"/>
    </row>
    <row r="37" spans="1:17">
      <c r="A37" s="193">
        <f>A36+1</f>
        <v>352</v>
      </c>
      <c r="B37" s="678" t="s">
        <v>845</v>
      </c>
      <c r="C37" s="678"/>
      <c r="D37" s="678"/>
      <c r="E37" s="678"/>
      <c r="F37" s="677">
        <f>F30+F35</f>
        <v>-29784669.946271591</v>
      </c>
      <c r="G37" s="677">
        <f>G30+G35</f>
        <v>1093276.3057755278</v>
      </c>
      <c r="H37" s="677">
        <f>H30+H35</f>
        <v>279840.71854846214</v>
      </c>
      <c r="I37" s="677">
        <f>I30+I35</f>
        <v>-28411552.921947602</v>
      </c>
      <c r="J37" s="681"/>
      <c r="K37" s="680"/>
      <c r="L37" s="677">
        <f>L30+L35</f>
        <v>-6755405.8670645906</v>
      </c>
      <c r="M37" s="677">
        <f>M30+M35</f>
        <v>247963.97555122862</v>
      </c>
      <c r="N37" s="677">
        <f>N30+N35</f>
        <v>63470.155463733608</v>
      </c>
      <c r="O37" s="677">
        <f>O30+O35</f>
        <v>-6443971.7360496288</v>
      </c>
      <c r="P37" s="676"/>
      <c r="Q37" s="676"/>
    </row>
    <row r="38" spans="1:17">
      <c r="A38" s="193"/>
      <c r="B38" s="678"/>
      <c r="C38" s="678"/>
      <c r="D38" s="678"/>
      <c r="E38" s="678"/>
      <c r="F38" s="677"/>
      <c r="G38" s="677"/>
      <c r="H38" s="677"/>
      <c r="I38" s="677"/>
      <c r="J38" s="681"/>
      <c r="K38" s="680"/>
      <c r="L38" s="677"/>
      <c r="M38" s="677"/>
      <c r="N38" s="677"/>
      <c r="O38" s="677"/>
      <c r="P38" s="676"/>
      <c r="Q38" s="676"/>
    </row>
    <row r="39" spans="1:17">
      <c r="A39" s="193">
        <v>353</v>
      </c>
      <c r="B39" s="932" t="s">
        <v>844</v>
      </c>
      <c r="C39" s="933"/>
      <c r="D39" s="933"/>
      <c r="E39" s="933"/>
      <c r="F39" s="933"/>
      <c r="G39" s="933"/>
      <c r="H39" s="933"/>
      <c r="I39" s="933"/>
      <c r="J39" s="933"/>
      <c r="K39" s="933"/>
      <c r="L39" s="933"/>
      <c r="M39" s="933"/>
      <c r="N39" s="933"/>
      <c r="O39" s="933"/>
      <c r="P39" s="933"/>
      <c r="Q39" s="933"/>
    </row>
    <row r="40" spans="1:17">
      <c r="A40" s="193">
        <f t="shared" ref="A40:A45" si="12">A39+1</f>
        <v>354</v>
      </c>
      <c r="B40" s="678"/>
      <c r="C40" s="678"/>
      <c r="D40" s="682"/>
      <c r="E40" s="678"/>
      <c r="F40" s="677"/>
      <c r="G40" s="677"/>
      <c r="H40" s="677"/>
      <c r="I40" s="677"/>
      <c r="J40" s="681"/>
      <c r="K40" s="680"/>
      <c r="L40" s="677"/>
      <c r="M40" s="677"/>
      <c r="N40" s="677"/>
      <c r="O40" s="677"/>
      <c r="P40" s="676"/>
      <c r="Q40" s="676"/>
    </row>
    <row r="41" spans="1:17">
      <c r="A41" s="193">
        <f t="shared" si="12"/>
        <v>355</v>
      </c>
      <c r="B41" s="733" t="s">
        <v>1068</v>
      </c>
      <c r="C41" s="678"/>
      <c r="D41" s="678"/>
      <c r="E41" s="678"/>
      <c r="F41" s="677">
        <f>+F15+F30</f>
        <v>-39437357.589999989</v>
      </c>
      <c r="G41" s="677">
        <f>+G15+G30</f>
        <v>1447587.926719358</v>
      </c>
      <c r="H41" s="677">
        <f>+H15+H30</f>
        <v>370532.17328062886</v>
      </c>
      <c r="I41" s="677">
        <f>+I15+I30</f>
        <v>-37619237.490000002</v>
      </c>
      <c r="J41" s="738"/>
      <c r="K41" s="677"/>
      <c r="L41" s="677">
        <f>+L15+L30</f>
        <v>-8944714.0869982932</v>
      </c>
      <c r="M41" s="677">
        <f>+M15+M30</f>
        <v>328324.73856155475</v>
      </c>
      <c r="N41" s="677">
        <f>+N15+N30</f>
        <v>84039.716465936144</v>
      </c>
      <c r="O41" s="677">
        <f>+O15+O30</f>
        <v>-8532349.6319708023</v>
      </c>
      <c r="P41" s="676"/>
      <c r="Q41" s="676"/>
    </row>
    <row r="42" spans="1:17">
      <c r="A42" s="193">
        <f t="shared" si="12"/>
        <v>356</v>
      </c>
      <c r="B42" s="678" t="s">
        <v>843</v>
      </c>
      <c r="C42" s="678"/>
      <c r="D42" s="678"/>
      <c r="E42" s="678"/>
      <c r="F42" s="679">
        <f>F19+F35</f>
        <v>9652687.6437283978</v>
      </c>
      <c r="G42" s="679">
        <f>G19+G35</f>
        <v>-354311.62094383006</v>
      </c>
      <c r="H42" s="679">
        <f>H19+H35</f>
        <v>-90691.45473216672</v>
      </c>
      <c r="I42" s="679">
        <f>I19+I35</f>
        <v>9207684.5680523999</v>
      </c>
      <c r="J42" s="739"/>
      <c r="K42" s="679"/>
      <c r="L42" s="679">
        <f>L19+L35</f>
        <v>2189308.2199337026</v>
      </c>
      <c r="M42" s="679">
        <f>M19+M35</f>
        <v>-80360.763010326147</v>
      </c>
      <c r="N42" s="679">
        <f>N19+N35</f>
        <v>-20569.561002202532</v>
      </c>
      <c r="O42" s="679">
        <f>O19+O35</f>
        <v>2088377.8959211737</v>
      </c>
      <c r="P42" s="676"/>
      <c r="Q42" s="676"/>
    </row>
    <row r="43" spans="1:17">
      <c r="A43" s="193">
        <f t="shared" si="12"/>
        <v>357</v>
      </c>
      <c r="B43" s="678" t="s">
        <v>904</v>
      </c>
      <c r="C43" s="678"/>
      <c r="D43" s="678"/>
      <c r="E43" s="678"/>
      <c r="F43" s="677">
        <f>SUM(F41:F42)</f>
        <v>-29784669.946271591</v>
      </c>
      <c r="G43" s="677">
        <f>SUM(G41:G42)</f>
        <v>1093276.3057755278</v>
      </c>
      <c r="H43" s="677">
        <f>SUM(H41:H42)</f>
        <v>279840.71854846214</v>
      </c>
      <c r="I43" s="677">
        <f>SUM(I41:I42)</f>
        <v>-28411552.921947602</v>
      </c>
      <c r="J43" s="738"/>
      <c r="K43" s="677"/>
      <c r="L43" s="677">
        <f>SUM(L41:L42)</f>
        <v>-6755405.8670645906</v>
      </c>
      <c r="M43" s="677">
        <f>SUM(M41:M42)</f>
        <v>247963.97555122862</v>
      </c>
      <c r="N43" s="677">
        <f>SUM(N41:N42)</f>
        <v>63470.155463733608</v>
      </c>
      <c r="O43" s="677">
        <f>SUM(O41:O42)</f>
        <v>-6443971.7360496288</v>
      </c>
      <c r="P43" s="676"/>
      <c r="Q43" s="676"/>
    </row>
    <row r="44" spans="1:17">
      <c r="A44" s="193">
        <f t="shared" si="12"/>
        <v>358</v>
      </c>
      <c r="B44" s="678" t="s">
        <v>842</v>
      </c>
      <c r="C44" s="678"/>
      <c r="D44" s="678"/>
      <c r="E44" s="678"/>
      <c r="F44" s="677"/>
      <c r="G44" s="677"/>
      <c r="H44" s="677"/>
      <c r="I44" s="677">
        <f>(I41+F41)/2</f>
        <v>-38528297.539999992</v>
      </c>
      <c r="J44" s="738"/>
      <c r="K44" s="677"/>
      <c r="L44" s="677"/>
      <c r="M44" s="677"/>
      <c r="N44" s="677"/>
      <c r="O44" s="677">
        <f>(O41+L41)/2</f>
        <v>-8738531.8594845477</v>
      </c>
      <c r="Q44" s="676"/>
    </row>
    <row r="45" spans="1:17" ht="15.6">
      <c r="A45" s="193">
        <f t="shared" si="12"/>
        <v>359</v>
      </c>
      <c r="B45" s="678" t="s">
        <v>1069</v>
      </c>
      <c r="C45" s="678"/>
      <c r="D45" s="678"/>
      <c r="E45" s="678"/>
      <c r="F45" s="677"/>
      <c r="G45" s="677"/>
      <c r="H45" s="677"/>
      <c r="I45" s="175"/>
      <c r="J45" s="738"/>
      <c r="K45" s="677"/>
      <c r="L45" s="677"/>
      <c r="M45" s="677"/>
      <c r="N45" s="677"/>
      <c r="O45" s="807">
        <f>O43/I43</f>
        <v>0.22680814926774853</v>
      </c>
      <c r="Q45" s="676"/>
    </row>
    <row r="46" spans="1:17">
      <c r="A46" s="193"/>
      <c r="B46" s="678"/>
      <c r="C46" s="678"/>
      <c r="D46" s="678"/>
      <c r="E46" s="678"/>
      <c r="F46" s="677"/>
      <c r="G46" s="677"/>
      <c r="H46" s="677"/>
      <c r="I46" s="677"/>
      <c r="J46" s="738"/>
      <c r="K46" s="677"/>
      <c r="L46" s="677"/>
      <c r="M46" s="677"/>
      <c r="N46" s="677"/>
      <c r="P46" s="676"/>
      <c r="Q46" s="676"/>
    </row>
    <row r="47" spans="1:17">
      <c r="A47" s="353" t="s">
        <v>172</v>
      </c>
    </row>
    <row r="48" spans="1:17" ht="79.5" customHeight="1">
      <c r="A48" s="393" t="s">
        <v>76</v>
      </c>
      <c r="B48" s="929" t="s">
        <v>1085</v>
      </c>
      <c r="C48" s="929"/>
      <c r="D48" s="929"/>
      <c r="E48" s="929"/>
      <c r="F48" s="929"/>
      <c r="G48" s="929"/>
      <c r="H48" s="929"/>
      <c r="I48" s="929"/>
      <c r="J48" s="929"/>
      <c r="K48" s="929"/>
      <c r="L48" s="929"/>
      <c r="M48" s="929"/>
      <c r="N48" s="929"/>
      <c r="O48" s="929"/>
      <c r="P48" s="740"/>
      <c r="Q48" s="740"/>
    </row>
    <row r="49" spans="1:17" ht="21" customHeight="1">
      <c r="A49" s="393" t="s">
        <v>841</v>
      </c>
      <c r="B49" s="929" t="s">
        <v>1086</v>
      </c>
      <c r="C49" s="929"/>
      <c r="D49" s="929"/>
      <c r="E49" s="929"/>
      <c r="F49" s="929"/>
      <c r="G49" s="929"/>
      <c r="H49" s="929"/>
      <c r="I49" s="929"/>
      <c r="J49" s="929"/>
      <c r="K49" s="929"/>
      <c r="L49" s="929"/>
      <c r="M49" s="929"/>
      <c r="N49" s="929"/>
      <c r="O49" s="929"/>
      <c r="P49" s="740"/>
      <c r="Q49" s="740"/>
    </row>
    <row r="50" spans="1:17" ht="21" customHeight="1">
      <c r="A50" s="393" t="s">
        <v>77</v>
      </c>
      <c r="B50" s="930" t="s">
        <v>840</v>
      </c>
      <c r="C50" s="930"/>
      <c r="D50" s="930"/>
      <c r="E50" s="930"/>
      <c r="F50" s="930"/>
      <c r="G50" s="930"/>
      <c r="H50" s="930"/>
      <c r="I50" s="930"/>
      <c r="J50" s="930"/>
      <c r="K50" s="930"/>
      <c r="L50" s="930"/>
      <c r="M50" s="930"/>
      <c r="N50" s="930"/>
      <c r="O50" s="930"/>
      <c r="P50" s="741"/>
      <c r="Q50" s="741"/>
    </row>
    <row r="51" spans="1:17" ht="21" customHeight="1">
      <c r="A51" s="393" t="s">
        <v>78</v>
      </c>
      <c r="B51" s="930" t="s">
        <v>1087</v>
      </c>
      <c r="C51" s="930"/>
      <c r="D51" s="930"/>
      <c r="E51" s="930"/>
      <c r="F51" s="930"/>
      <c r="G51" s="930"/>
      <c r="H51" s="930"/>
      <c r="I51" s="930"/>
      <c r="J51" s="930"/>
      <c r="K51" s="930"/>
      <c r="L51" s="930"/>
      <c r="M51" s="930"/>
      <c r="N51" s="930"/>
      <c r="O51" s="930"/>
      <c r="P51" s="741"/>
      <c r="Q51" s="741"/>
    </row>
    <row r="52" spans="1:17" ht="21" customHeight="1">
      <c r="A52" s="393" t="s">
        <v>79</v>
      </c>
      <c r="B52" s="930" t="s">
        <v>839</v>
      </c>
      <c r="C52" s="930"/>
      <c r="D52" s="930"/>
      <c r="E52" s="930"/>
      <c r="F52" s="930"/>
      <c r="G52" s="930"/>
      <c r="H52" s="930"/>
      <c r="I52" s="930"/>
      <c r="J52" s="930"/>
      <c r="K52" s="930"/>
      <c r="L52" s="930"/>
      <c r="M52" s="930"/>
      <c r="N52" s="930"/>
      <c r="O52" s="930"/>
    </row>
    <row r="53" spans="1:17" ht="21" customHeight="1">
      <c r="A53" s="393" t="s">
        <v>80</v>
      </c>
      <c r="B53" s="929" t="s">
        <v>838</v>
      </c>
      <c r="C53" s="929"/>
      <c r="D53" s="929"/>
      <c r="E53" s="929"/>
      <c r="F53" s="929"/>
      <c r="G53" s="929"/>
      <c r="H53" s="929"/>
      <c r="I53" s="929"/>
      <c r="J53" s="929"/>
      <c r="K53" s="929"/>
      <c r="L53" s="929"/>
      <c r="M53" s="929"/>
      <c r="N53" s="929"/>
      <c r="O53" s="929"/>
    </row>
    <row r="54" spans="1:17" ht="32.4" customHeight="1">
      <c r="A54" s="393" t="s">
        <v>81</v>
      </c>
      <c r="B54" s="929" t="s">
        <v>1060</v>
      </c>
      <c r="C54" s="929"/>
      <c r="D54" s="929"/>
      <c r="E54" s="929"/>
      <c r="F54" s="929"/>
      <c r="G54" s="929"/>
      <c r="H54" s="929"/>
      <c r="I54" s="929"/>
      <c r="J54" s="929"/>
      <c r="K54" s="929"/>
      <c r="L54" s="929"/>
      <c r="M54" s="929"/>
      <c r="N54" s="929"/>
      <c r="O54" s="929"/>
    </row>
    <row r="55" spans="1:17" ht="32.4" customHeight="1">
      <c r="A55" s="393" t="s">
        <v>82</v>
      </c>
      <c r="B55" s="929" t="s">
        <v>1037</v>
      </c>
      <c r="C55" s="929"/>
      <c r="D55" s="929"/>
      <c r="E55" s="929"/>
      <c r="F55" s="929"/>
      <c r="G55" s="929"/>
      <c r="H55" s="929"/>
      <c r="I55" s="929"/>
      <c r="J55" s="929"/>
      <c r="K55" s="929"/>
      <c r="L55" s="929"/>
      <c r="M55" s="929"/>
      <c r="N55" s="929"/>
      <c r="O55" s="929"/>
    </row>
    <row r="56" spans="1:17" ht="21" customHeight="1">
      <c r="A56" s="393" t="s">
        <v>343</v>
      </c>
      <c r="B56" s="929" t="s">
        <v>837</v>
      </c>
      <c r="C56" s="929"/>
      <c r="D56" s="929"/>
      <c r="E56" s="929"/>
      <c r="F56" s="929"/>
      <c r="G56" s="929"/>
      <c r="H56" s="929"/>
      <c r="I56" s="929"/>
      <c r="J56" s="929"/>
      <c r="K56" s="929"/>
      <c r="L56" s="929"/>
      <c r="M56" s="929"/>
      <c r="N56" s="929"/>
      <c r="O56" s="929"/>
    </row>
    <row r="57" spans="1:17" ht="29.25" customHeight="1">
      <c r="A57" s="393" t="s">
        <v>83</v>
      </c>
      <c r="B57" s="930" t="s">
        <v>1059</v>
      </c>
      <c r="C57" s="930"/>
      <c r="D57" s="930"/>
      <c r="E57" s="930"/>
      <c r="F57" s="930"/>
      <c r="G57" s="930"/>
      <c r="H57" s="930"/>
      <c r="I57" s="930"/>
      <c r="J57" s="930"/>
      <c r="K57" s="930"/>
      <c r="L57" s="930"/>
      <c r="M57" s="930"/>
      <c r="N57" s="930"/>
      <c r="O57" s="930"/>
    </row>
    <row r="58" spans="1:17" ht="29.25" customHeight="1">
      <c r="A58" s="393" t="s">
        <v>84</v>
      </c>
      <c r="B58" s="930" t="s">
        <v>906</v>
      </c>
      <c r="C58" s="930"/>
      <c r="D58" s="930"/>
      <c r="E58" s="930"/>
      <c r="F58" s="930"/>
      <c r="G58" s="930"/>
      <c r="H58" s="930"/>
      <c r="I58" s="930"/>
      <c r="J58" s="930"/>
      <c r="K58" s="930"/>
      <c r="L58" s="930"/>
      <c r="M58" s="930"/>
      <c r="N58" s="930"/>
      <c r="O58" s="930"/>
    </row>
    <row r="59" spans="1:17" s="806" customFormat="1" ht="18" customHeight="1">
      <c r="A59" s="393" t="s">
        <v>85</v>
      </c>
      <c r="B59" s="929" t="s">
        <v>1061</v>
      </c>
      <c r="C59" s="929"/>
      <c r="D59" s="929"/>
      <c r="E59" s="929"/>
      <c r="F59" s="929"/>
      <c r="G59" s="929"/>
      <c r="H59" s="929"/>
      <c r="I59" s="929"/>
      <c r="J59" s="929"/>
      <c r="K59" s="929"/>
      <c r="L59" s="929"/>
      <c r="M59" s="929"/>
      <c r="N59" s="929"/>
      <c r="O59" s="929"/>
    </row>
    <row r="60" spans="1:17" ht="15.6">
      <c r="A60" s="181"/>
      <c r="B60" s="742"/>
    </row>
    <row r="61" spans="1:17">
      <c r="A61" s="785"/>
      <c r="B61" s="742"/>
    </row>
    <row r="62" spans="1:17">
      <c r="B62" s="742"/>
    </row>
    <row r="63" spans="1:17">
      <c r="B63" s="742"/>
    </row>
    <row r="64" spans="1:17">
      <c r="B64" s="742"/>
    </row>
    <row r="65" spans="2:2">
      <c r="B65" s="742"/>
    </row>
  </sheetData>
  <mergeCells count="21">
    <mergeCell ref="A2:Q2"/>
    <mergeCell ref="A4:Q4"/>
    <mergeCell ref="J8:K8"/>
    <mergeCell ref="B39:Q39"/>
    <mergeCell ref="A1:Q1"/>
    <mergeCell ref="J10:K10"/>
    <mergeCell ref="B12:Q12"/>
    <mergeCell ref="B23:Q23"/>
    <mergeCell ref="B48:O48"/>
    <mergeCell ref="A3:Q3"/>
    <mergeCell ref="B59:O59"/>
    <mergeCell ref="B55:O55"/>
    <mergeCell ref="B56:O56"/>
    <mergeCell ref="B49:O49"/>
    <mergeCell ref="B50:O50"/>
    <mergeCell ref="B52:O52"/>
    <mergeCell ref="B53:O53"/>
    <mergeCell ref="B54:O54"/>
    <mergeCell ref="B51:O51"/>
    <mergeCell ref="B57:O57"/>
    <mergeCell ref="B58:O58"/>
  </mergeCells>
  <phoneticPr fontId="206" type="noConversion"/>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colBreaks count="1" manualBreakCount="1">
    <brk id="5" max="56" man="1"/>
  </colBreaks>
  <ignoredErrors>
    <ignoredError sqref="D13:D17 G7:H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sheetPr>
  <dimension ref="A1:J62"/>
  <sheetViews>
    <sheetView zoomScale="90" zoomScaleNormal="90" workbookViewId="0">
      <selection activeCell="K57" sqref="K57"/>
    </sheetView>
  </sheetViews>
  <sheetFormatPr defaultColWidth="7.08984375" defaultRowHeight="13.2"/>
  <cols>
    <col min="1" max="1" width="4.81640625" style="744" customWidth="1"/>
    <col min="2" max="2" width="26.1796875" style="743" customWidth="1"/>
    <col min="3" max="3" width="6.90625" style="743" bestFit="1" customWidth="1"/>
    <col min="4" max="4" width="9.90625" style="743" customWidth="1"/>
    <col min="5" max="5" width="10.1796875" style="743" bestFit="1" customWidth="1"/>
    <col min="6" max="6" width="9.81640625" style="743" customWidth="1"/>
    <col min="7" max="7" width="9.26953125" style="743" bestFit="1" customWidth="1"/>
    <col min="8" max="8" width="10.1796875" style="743" customWidth="1"/>
    <col min="9" max="9" width="11.81640625" style="743" customWidth="1"/>
    <col min="10" max="10" width="11" style="743" bestFit="1" customWidth="1"/>
    <col min="11" max="16384" width="7.08984375" style="743"/>
  </cols>
  <sheetData>
    <row r="1" spans="1:10" ht="15" customHeight="1">
      <c r="A1" s="936" t="s">
        <v>1024</v>
      </c>
      <c r="B1" s="936"/>
      <c r="C1" s="936"/>
      <c r="D1" s="936"/>
      <c r="E1" s="936"/>
      <c r="F1" s="936"/>
      <c r="G1" s="936"/>
      <c r="H1" s="936"/>
      <c r="I1" s="936"/>
      <c r="J1" s="206"/>
    </row>
    <row r="2" spans="1:10" ht="15" customHeight="1">
      <c r="A2" s="937" t="s">
        <v>1008</v>
      </c>
      <c r="B2" s="937"/>
      <c r="C2" s="937"/>
      <c r="D2" s="937"/>
      <c r="E2" s="937"/>
      <c r="F2" s="937"/>
      <c r="G2" s="937"/>
      <c r="H2" s="937"/>
      <c r="I2" s="937"/>
      <c r="J2" s="206"/>
    </row>
    <row r="3" spans="1:10" ht="15" customHeight="1">
      <c r="A3" s="942" t="s">
        <v>912</v>
      </c>
      <c r="B3" s="942"/>
      <c r="C3" s="942"/>
      <c r="D3" s="942"/>
      <c r="E3" s="942"/>
      <c r="F3" s="942"/>
      <c r="G3" s="942"/>
      <c r="H3" s="942"/>
      <c r="I3" s="942"/>
      <c r="J3" s="206"/>
    </row>
    <row r="4" spans="1:10" ht="15" customHeight="1">
      <c r="A4" s="936" t="str">
        <f>'Act Att-H'!K4</f>
        <v>Actuals - For the 12 months ended 12/31/2024</v>
      </c>
      <c r="B4" s="936"/>
      <c r="C4" s="936"/>
      <c r="D4" s="936"/>
      <c r="E4" s="936"/>
      <c r="F4" s="936"/>
      <c r="G4" s="936"/>
      <c r="H4" s="936"/>
      <c r="I4" s="936"/>
      <c r="J4" s="206"/>
    </row>
    <row r="5" spans="1:10" ht="12.75" customHeight="1">
      <c r="B5" s="745"/>
      <c r="C5" s="745"/>
      <c r="D5" s="745"/>
      <c r="E5" s="745"/>
      <c r="F5" s="745"/>
      <c r="G5" s="745"/>
      <c r="H5" s="759" t="s">
        <v>902</v>
      </c>
      <c r="I5" s="808" t="s">
        <v>1253</v>
      </c>
    </row>
    <row r="6" spans="1:10" ht="12.75" customHeight="1">
      <c r="B6" s="745"/>
      <c r="C6" s="745"/>
      <c r="D6" s="745"/>
      <c r="E6" s="745"/>
      <c r="F6" s="745"/>
      <c r="G6" s="745"/>
      <c r="H6" s="759" t="s">
        <v>901</v>
      </c>
      <c r="I6" s="808" t="s">
        <v>852</v>
      </c>
    </row>
    <row r="7" spans="1:10" ht="12.75" customHeight="1">
      <c r="A7" s="746"/>
      <c r="B7" s="747"/>
      <c r="C7" s="748"/>
      <c r="D7" s="748"/>
      <c r="E7" s="748"/>
      <c r="F7" s="748"/>
      <c r="G7" s="748"/>
      <c r="H7" s="759" t="s">
        <v>900</v>
      </c>
      <c r="I7" s="809">
        <v>0.20380499999999999</v>
      </c>
    </row>
    <row r="8" spans="1:10" ht="12.75" customHeight="1">
      <c r="A8" s="746"/>
      <c r="B8" s="747"/>
      <c r="C8" s="748"/>
      <c r="D8" s="748"/>
      <c r="E8" s="748"/>
      <c r="F8" s="748"/>
      <c r="G8" s="748"/>
      <c r="H8" s="759" t="s">
        <v>899</v>
      </c>
      <c r="I8" s="810">
        <v>1.32727565</v>
      </c>
    </row>
    <row r="9" spans="1:10" ht="12.75" customHeight="1">
      <c r="A9" s="746"/>
      <c r="B9" s="747"/>
      <c r="C9" s="748"/>
      <c r="D9" s="748"/>
      <c r="E9" s="748"/>
      <c r="F9" s="748"/>
      <c r="G9" s="748"/>
      <c r="H9" s="759" t="s">
        <v>898</v>
      </c>
      <c r="I9" s="810" t="s">
        <v>848</v>
      </c>
    </row>
    <row r="10" spans="1:10" ht="18.600000000000001" customHeight="1" thickBot="1">
      <c r="B10" s="760" t="s">
        <v>1010</v>
      </c>
      <c r="C10" s="760" t="s">
        <v>897</v>
      </c>
      <c r="D10" s="760" t="s">
        <v>1011</v>
      </c>
      <c r="E10" s="760" t="s">
        <v>1012</v>
      </c>
      <c r="F10" s="760" t="s">
        <v>1013</v>
      </c>
      <c r="G10" s="760" t="s">
        <v>1014</v>
      </c>
      <c r="H10" s="760" t="s">
        <v>896</v>
      </c>
      <c r="I10" s="760" t="s">
        <v>895</v>
      </c>
    </row>
    <row r="11" spans="1:10" ht="15.6" customHeight="1" thickBot="1">
      <c r="A11" s="746"/>
      <c r="B11" s="747"/>
      <c r="C11" s="749"/>
      <c r="D11" s="939" t="s">
        <v>894</v>
      </c>
      <c r="E11" s="940"/>
      <c r="F11" s="940"/>
      <c r="G11" s="940"/>
      <c r="H11" s="940"/>
      <c r="I11" s="941"/>
    </row>
    <row r="12" spans="1:10" ht="39" customHeight="1" thickBot="1">
      <c r="A12" s="746"/>
      <c r="B12" s="747"/>
      <c r="C12" s="750"/>
      <c r="D12" s="761" t="s">
        <v>685</v>
      </c>
      <c r="E12" s="761" t="s">
        <v>685</v>
      </c>
      <c r="F12" s="761" t="s">
        <v>1088</v>
      </c>
      <c r="G12" s="761" t="s">
        <v>1015</v>
      </c>
      <c r="H12" s="762" t="s">
        <v>893</v>
      </c>
      <c r="I12" s="763" t="s">
        <v>892</v>
      </c>
      <c r="J12" s="759"/>
    </row>
    <row r="13" spans="1:10" s="751" customFormat="1" ht="105" customHeight="1" thickBot="1">
      <c r="A13" s="760" t="s">
        <v>1020</v>
      </c>
      <c r="B13" s="749"/>
      <c r="C13" s="761" t="s">
        <v>187</v>
      </c>
      <c r="D13" s="761" t="s">
        <v>891</v>
      </c>
      <c r="E13" s="811" t="s">
        <v>890</v>
      </c>
      <c r="F13" s="811" t="s">
        <v>1016</v>
      </c>
      <c r="G13" s="811" t="s">
        <v>889</v>
      </c>
      <c r="H13" s="812" t="s">
        <v>888</v>
      </c>
      <c r="I13" s="812" t="s">
        <v>887</v>
      </c>
    </row>
    <row r="14" spans="1:10" ht="12.9" customHeight="1">
      <c r="A14" s="764">
        <v>1</v>
      </c>
      <c r="B14" s="765" t="s">
        <v>886</v>
      </c>
      <c r="C14" s="752"/>
      <c r="D14" s="747"/>
      <c r="E14" s="747"/>
      <c r="F14" s="747"/>
      <c r="G14" s="747"/>
    </row>
    <row r="15" spans="1:10">
      <c r="A15" s="764">
        <v>2</v>
      </c>
      <c r="B15" s="766" t="s">
        <v>1017</v>
      </c>
      <c r="C15" s="813">
        <v>282</v>
      </c>
      <c r="D15" s="886">
        <v>-458889652.28000003</v>
      </c>
      <c r="E15" s="886">
        <v>-155873342.63820902</v>
      </c>
      <c r="F15" s="768">
        <f>+D15*$I$7</f>
        <v>-93524005.582925394</v>
      </c>
      <c r="G15" s="768">
        <f>+E15-F15</f>
        <v>-62349337.055283621</v>
      </c>
      <c r="H15" s="768">
        <f>+G15*$I$8</f>
        <v>-82754756.867120653</v>
      </c>
      <c r="I15" s="755">
        <f>+G15-H15</f>
        <v>20405419.811837032</v>
      </c>
      <c r="J15" s="769"/>
    </row>
    <row r="16" spans="1:10" ht="12.9" customHeight="1">
      <c r="A16" s="764">
        <v>3</v>
      </c>
      <c r="B16" s="766" t="s">
        <v>885</v>
      </c>
      <c r="C16" s="813">
        <v>282</v>
      </c>
      <c r="D16" s="886">
        <v>12501555.460000001</v>
      </c>
      <c r="E16" s="886">
        <v>4246465.8508755006</v>
      </c>
      <c r="F16" s="767">
        <f>+D16*$I$7</f>
        <v>2547879.5105253002</v>
      </c>
      <c r="G16" s="769">
        <f>+E16-F16</f>
        <v>1698586.3403502004</v>
      </c>
      <c r="H16" s="768">
        <f>+G16*$I$8</f>
        <v>2254492.2889694334</v>
      </c>
      <c r="I16" s="755">
        <f>+G16-H16</f>
        <v>-555905.94861923298</v>
      </c>
      <c r="J16" s="769"/>
    </row>
    <row r="17" spans="1:10">
      <c r="A17" s="764">
        <v>4</v>
      </c>
      <c r="B17" s="766" t="s">
        <v>1018</v>
      </c>
      <c r="C17" s="813">
        <v>190</v>
      </c>
      <c r="D17" s="886">
        <v>195816643.08754742</v>
      </c>
      <c r="E17" s="886">
        <v>66514018.240762673</v>
      </c>
      <c r="F17" s="767">
        <f>+D17*$I$7</f>
        <v>39908410.944457598</v>
      </c>
      <c r="G17" s="767">
        <f>+E17-F17</f>
        <v>26605607.296305075</v>
      </c>
      <c r="H17" s="768">
        <f>+G17*$I$8</f>
        <v>35312974.717848063</v>
      </c>
      <c r="I17" s="755">
        <f>+G17-H17</f>
        <v>-8707367.4215429872</v>
      </c>
      <c r="J17" s="769"/>
    </row>
    <row r="18" spans="1:10">
      <c r="A18" s="764">
        <v>5</v>
      </c>
      <c r="B18" s="816" t="s">
        <v>275</v>
      </c>
      <c r="C18" s="816"/>
      <c r="D18" s="817"/>
      <c r="E18" s="817"/>
      <c r="F18" s="770">
        <f>+D18*$I$7</f>
        <v>0</v>
      </c>
      <c r="G18" s="770">
        <f>+E18-F18</f>
        <v>0</v>
      </c>
      <c r="H18" s="771">
        <f>+G18*$I$8</f>
        <v>0</v>
      </c>
      <c r="I18" s="772">
        <f>+G18-H18</f>
        <v>0</v>
      </c>
      <c r="J18" s="769"/>
    </row>
    <row r="19" spans="1:10">
      <c r="A19" s="764">
        <v>99</v>
      </c>
      <c r="B19" s="749"/>
      <c r="C19" s="749"/>
      <c r="D19" s="767">
        <f t="shared" ref="D19:I19" si="0">SUM(D15:D18)</f>
        <v>-250571453.73245263</v>
      </c>
      <c r="E19" s="767">
        <f t="shared" si="0"/>
        <v>-85112858.546570837</v>
      </c>
      <c r="F19" s="767">
        <f t="shared" si="0"/>
        <v>-51067715.127942495</v>
      </c>
      <c r="G19" s="767">
        <f t="shared" si="0"/>
        <v>-34045143.418628342</v>
      </c>
      <c r="H19" s="767">
        <f t="shared" si="0"/>
        <v>-45187289.860303164</v>
      </c>
      <c r="I19" s="767">
        <f t="shared" si="0"/>
        <v>11142146.441674814</v>
      </c>
      <c r="J19" s="769"/>
    </row>
    <row r="20" spans="1:10">
      <c r="A20" s="764"/>
      <c r="B20" s="753"/>
      <c r="C20" s="749"/>
      <c r="D20" s="767"/>
      <c r="E20" s="767"/>
      <c r="F20" s="767"/>
      <c r="G20" s="767"/>
      <c r="H20" s="767"/>
      <c r="I20" s="767"/>
      <c r="J20" s="769"/>
    </row>
    <row r="21" spans="1:10" ht="12.9" customHeight="1">
      <c r="A21" s="764">
        <v>100</v>
      </c>
      <c r="B21" s="765" t="s">
        <v>884</v>
      </c>
      <c r="C21" s="749"/>
      <c r="D21" s="754"/>
      <c r="E21" s="754"/>
      <c r="F21" s="754"/>
      <c r="G21" s="754"/>
      <c r="H21" s="768"/>
      <c r="J21" s="769"/>
    </row>
    <row r="22" spans="1:10" ht="12.9" customHeight="1">
      <c r="A22" s="764">
        <v>101</v>
      </c>
      <c r="B22" s="766" t="s">
        <v>1076</v>
      </c>
      <c r="C22" s="813">
        <v>282</v>
      </c>
      <c r="D22" s="814">
        <v>3480140.7399999998</v>
      </c>
      <c r="E22" s="814">
        <v>1182116.8058594998</v>
      </c>
      <c r="F22" s="767">
        <f t="shared" ref="F22:F30" si="1">+D22*$I$7</f>
        <v>709270.08351569995</v>
      </c>
      <c r="G22" s="767">
        <f t="shared" ref="G22:G30" si="2">+E22-F22</f>
        <v>472846.72234379989</v>
      </c>
      <c r="H22" s="768">
        <f t="shared" ref="H22:H30" si="3">+G22*$I$8</f>
        <v>627597.9407492365</v>
      </c>
      <c r="I22" s="755">
        <f t="shared" ref="I22:I30" si="4">+G22-H22</f>
        <v>-154751.21840543661</v>
      </c>
      <c r="J22" s="769"/>
    </row>
    <row r="23" spans="1:10" ht="26.4">
      <c r="A23" s="764">
        <v>102</v>
      </c>
      <c r="B23" s="766" t="s">
        <v>1074</v>
      </c>
      <c r="C23" s="813">
        <v>282</v>
      </c>
      <c r="D23" s="814">
        <v>-1367948.28</v>
      </c>
      <c r="E23" s="814">
        <v>-464657.83200900001</v>
      </c>
      <c r="F23" s="767">
        <f t="shared" si="1"/>
        <v>-278794.69920540001</v>
      </c>
      <c r="G23" s="767">
        <f t="shared" si="2"/>
        <v>-185863.13280359999</v>
      </c>
      <c r="H23" s="768">
        <f t="shared" si="3"/>
        <v>-246691.61040293452</v>
      </c>
      <c r="I23" s="755">
        <f t="shared" si="4"/>
        <v>60828.477599334525</v>
      </c>
      <c r="J23" s="769"/>
    </row>
    <row r="24" spans="1:10" ht="12.9" customHeight="1">
      <c r="A24" s="764">
        <v>103</v>
      </c>
      <c r="B24" s="766" t="s">
        <v>1073</v>
      </c>
      <c r="C24" s="813">
        <v>282</v>
      </c>
      <c r="D24" s="814">
        <v>-18147933.350000001</v>
      </c>
      <c r="E24" s="814">
        <v>-6164399.2606612509</v>
      </c>
      <c r="F24" s="767">
        <f t="shared" si="1"/>
        <v>-3698639.5563967503</v>
      </c>
      <c r="G24" s="767">
        <f t="shared" si="2"/>
        <v>-2465759.7042645006</v>
      </c>
      <c r="H24" s="768">
        <f t="shared" si="3"/>
        <v>-3272742.8142214729</v>
      </c>
      <c r="I24" s="755">
        <f t="shared" si="4"/>
        <v>806983.1099569723</v>
      </c>
      <c r="J24" s="769"/>
    </row>
    <row r="25" spans="1:10" ht="12.9" customHeight="1">
      <c r="A25" s="764">
        <v>104</v>
      </c>
      <c r="B25" s="766" t="s">
        <v>1075</v>
      </c>
      <c r="C25" s="813">
        <v>282</v>
      </c>
      <c r="D25" s="814">
        <v>1890375.2929999996</v>
      </c>
      <c r="E25" s="814">
        <v>642113.22764977487</v>
      </c>
      <c r="F25" s="767">
        <f t="shared" ref="F25:F27" si="5">+D25*$I$7</f>
        <v>385267.9365898649</v>
      </c>
      <c r="G25" s="767">
        <f t="shared" ref="G25:G27" si="6">+E25-F25</f>
        <v>256845.29105990997</v>
      </c>
      <c r="H25" s="768">
        <f t="shared" ref="H25:H27" si="7">+G25*$I$8</f>
        <v>340904.50064098119</v>
      </c>
      <c r="I25" s="755">
        <f t="shared" ref="I25:I27" si="8">+G25-H25</f>
        <v>-84059.20958107122</v>
      </c>
      <c r="J25" s="769"/>
    </row>
    <row r="26" spans="1:10" ht="12.9" customHeight="1">
      <c r="A26" s="764">
        <v>105</v>
      </c>
      <c r="B26" s="766" t="s">
        <v>991</v>
      </c>
      <c r="C26" s="813">
        <v>282</v>
      </c>
      <c r="D26" s="814">
        <v>252398.55999999997</v>
      </c>
      <c r="E26" s="814">
        <v>85733.480867999984</v>
      </c>
      <c r="F26" s="767">
        <f t="shared" si="5"/>
        <v>51440.088520799989</v>
      </c>
      <c r="G26" s="767">
        <f t="shared" si="6"/>
        <v>34293.392347199995</v>
      </c>
      <c r="H26" s="768">
        <f t="shared" si="7"/>
        <v>45516.784618334903</v>
      </c>
      <c r="I26" s="755">
        <f t="shared" si="8"/>
        <v>-11223.392271134908</v>
      </c>
      <c r="J26" s="769"/>
    </row>
    <row r="27" spans="1:10" ht="12.9" customHeight="1">
      <c r="A27" s="764">
        <v>106</v>
      </c>
      <c r="B27" s="766" t="s">
        <v>992</v>
      </c>
      <c r="C27" s="813">
        <v>282</v>
      </c>
      <c r="D27" s="815">
        <v>22703547.91</v>
      </c>
      <c r="E27" s="814">
        <v>7711827.6363292504</v>
      </c>
      <c r="F27" s="767">
        <f t="shared" si="5"/>
        <v>4627096.5817975495</v>
      </c>
      <c r="G27" s="767">
        <f t="shared" si="6"/>
        <v>3084731.0545317009</v>
      </c>
      <c r="H27" s="768">
        <f t="shared" si="7"/>
        <v>4094288.4154787487</v>
      </c>
      <c r="I27" s="755">
        <f t="shared" si="8"/>
        <v>-1009557.3609470478</v>
      </c>
      <c r="J27" s="769"/>
    </row>
    <row r="28" spans="1:10" ht="12.9" customHeight="1">
      <c r="A28" s="764">
        <f>A27+1</f>
        <v>107</v>
      </c>
      <c r="B28" s="766" t="s">
        <v>993</v>
      </c>
      <c r="C28" s="813">
        <v>282</v>
      </c>
      <c r="D28" s="815">
        <v>-35693415.770000003</v>
      </c>
      <c r="E28" s="814">
        <v>-12124161.001674751</v>
      </c>
      <c r="F28" s="767">
        <f t="shared" si="1"/>
        <v>-7274496.6010048501</v>
      </c>
      <c r="G28" s="769">
        <f t="shared" si="2"/>
        <v>-4849664.4006699007</v>
      </c>
      <c r="H28" s="768">
        <f t="shared" si="3"/>
        <v>-6436841.4696810031</v>
      </c>
      <c r="I28" s="755">
        <f t="shared" si="4"/>
        <v>1587177.0690111024</v>
      </c>
      <c r="J28" s="769"/>
    </row>
    <row r="29" spans="1:10" ht="12.9" customHeight="1">
      <c r="A29" s="764">
        <f>A28+1</f>
        <v>108</v>
      </c>
      <c r="B29" s="766" t="s">
        <v>994</v>
      </c>
      <c r="C29" s="813">
        <v>282</v>
      </c>
      <c r="D29" s="815">
        <v>-21027219.380000003</v>
      </c>
      <c r="E29" s="814">
        <v>-7142420.7429015012</v>
      </c>
      <c r="F29" s="767">
        <f t="shared" si="1"/>
        <v>-4285452.4457409</v>
      </c>
      <c r="G29" s="769">
        <f t="shared" si="2"/>
        <v>-2856968.2971606012</v>
      </c>
      <c r="H29" s="768">
        <f t="shared" si="3"/>
        <v>-3791984.4536432303</v>
      </c>
      <c r="I29" s="755">
        <f t="shared" si="4"/>
        <v>935016.15648262901</v>
      </c>
      <c r="J29" s="769"/>
    </row>
    <row r="30" spans="1:10" ht="12.9" customHeight="1">
      <c r="A30" s="764">
        <f>A29+1</f>
        <v>109</v>
      </c>
      <c r="B30" s="816" t="s">
        <v>275</v>
      </c>
      <c r="C30" s="813"/>
      <c r="D30" s="818"/>
      <c r="E30" s="818"/>
      <c r="F30" s="770">
        <f t="shared" si="1"/>
        <v>0</v>
      </c>
      <c r="G30" s="770">
        <f t="shared" si="2"/>
        <v>0</v>
      </c>
      <c r="H30" s="771">
        <f t="shared" si="3"/>
        <v>0</v>
      </c>
      <c r="I30" s="772">
        <f t="shared" si="4"/>
        <v>0</v>
      </c>
      <c r="J30" s="769"/>
    </row>
    <row r="31" spans="1:10">
      <c r="A31" s="764">
        <v>199</v>
      </c>
      <c r="B31" s="747"/>
      <c r="C31" s="747"/>
      <c r="D31" s="769">
        <f t="shared" ref="D31:I31" si="9">SUM(D22:D30)</f>
        <v>-47910054.27700001</v>
      </c>
      <c r="E31" s="769">
        <f t="shared" si="9"/>
        <v>-16273847.686539978</v>
      </c>
      <c r="F31" s="769">
        <f t="shared" si="9"/>
        <v>-9764308.6119239852</v>
      </c>
      <c r="G31" s="769">
        <f t="shared" si="9"/>
        <v>-6509539.0746159917</v>
      </c>
      <c r="H31" s="769">
        <f t="shared" si="9"/>
        <v>-8639952.7064613402</v>
      </c>
      <c r="I31" s="769">
        <f t="shared" si="9"/>
        <v>2130413.6318453476</v>
      </c>
      <c r="J31" s="769"/>
    </row>
    <row r="32" spans="1:10">
      <c r="D32" s="756"/>
      <c r="E32" s="756"/>
      <c r="F32" s="756"/>
      <c r="G32" s="756"/>
      <c r="H32" s="756"/>
      <c r="J32" s="769"/>
    </row>
    <row r="33" spans="1:10" ht="13.5" customHeight="1" thickBot="1">
      <c r="A33" s="764">
        <v>200</v>
      </c>
      <c r="B33" s="823" t="s">
        <v>905</v>
      </c>
      <c r="C33" s="759"/>
      <c r="D33" s="773">
        <f t="shared" ref="D33:I33" si="10">+D19+D31</f>
        <v>-298481508.00945264</v>
      </c>
      <c r="E33" s="773">
        <f t="shared" si="10"/>
        <v>-101386706.23311082</v>
      </c>
      <c r="F33" s="773">
        <f t="shared" si="10"/>
        <v>-60832023.73986648</v>
      </c>
      <c r="G33" s="773">
        <f t="shared" si="10"/>
        <v>-40554682.493244335</v>
      </c>
      <c r="H33" s="773">
        <f t="shared" si="10"/>
        <v>-53827242.566764504</v>
      </c>
      <c r="I33" s="773">
        <f t="shared" si="10"/>
        <v>13272560.073520161</v>
      </c>
      <c r="J33" s="769"/>
    </row>
    <row r="34" spans="1:10" ht="13.8" thickTop="1">
      <c r="A34" s="764"/>
      <c r="B34" s="774"/>
      <c r="C34" s="774"/>
      <c r="D34" s="769"/>
      <c r="E34" s="769"/>
      <c r="F34" s="769"/>
      <c r="G34" s="769"/>
      <c r="H34" s="769"/>
      <c r="I34" s="769"/>
      <c r="J34" s="769"/>
    </row>
    <row r="35" spans="1:10" ht="12.9" customHeight="1">
      <c r="A35" s="775">
        <v>300</v>
      </c>
      <c r="B35" s="776" t="s">
        <v>1077</v>
      </c>
      <c r="C35" s="777"/>
      <c r="D35" s="757"/>
      <c r="E35" s="757"/>
      <c r="F35" s="757"/>
      <c r="G35" s="757"/>
      <c r="H35" s="768"/>
      <c r="J35" s="769"/>
    </row>
    <row r="36" spans="1:10" ht="12.9" customHeight="1">
      <c r="A36" s="775">
        <v>301</v>
      </c>
      <c r="B36" s="766" t="s">
        <v>995</v>
      </c>
      <c r="C36" s="813">
        <v>190</v>
      </c>
      <c r="D36" s="814">
        <v>186258.31</v>
      </c>
      <c r="E36" s="814">
        <v>63267.291449249999</v>
      </c>
      <c r="F36" s="767">
        <f t="shared" ref="F36:F51" si="11">+D36*$I$7</f>
        <v>37960.374869549996</v>
      </c>
      <c r="G36" s="767">
        <f t="shared" ref="G36:G51" si="12">+E36-F36</f>
        <v>25306.916579700002</v>
      </c>
      <c r="H36" s="768">
        <f t="shared" ref="H36:H51" si="13">+G36*$I$8</f>
        <v>33589.254152817099</v>
      </c>
      <c r="I36" s="755">
        <f t="shared" ref="I36:I51" si="14">+G36-H36</f>
        <v>-8282.3375731170963</v>
      </c>
      <c r="J36" s="769"/>
    </row>
    <row r="37" spans="1:10" ht="12.9" customHeight="1">
      <c r="A37" s="775">
        <v>302</v>
      </c>
      <c r="B37" s="766" t="s">
        <v>883</v>
      </c>
      <c r="C37" s="813">
        <v>190</v>
      </c>
      <c r="D37" s="814">
        <v>7766143.3500000006</v>
      </c>
      <c r="E37" s="814">
        <v>2637964.7424112502</v>
      </c>
      <c r="F37" s="767">
        <f t="shared" si="11"/>
        <v>1582778.8454467501</v>
      </c>
      <c r="G37" s="767">
        <f t="shared" si="12"/>
        <v>1055185.8969645002</v>
      </c>
      <c r="H37" s="768">
        <f t="shared" si="13"/>
        <v>1400522.5472643902</v>
      </c>
      <c r="I37" s="755">
        <f t="shared" si="14"/>
        <v>-345336.65029988997</v>
      </c>
      <c r="J37" s="769"/>
    </row>
    <row r="38" spans="1:10">
      <c r="A38" s="775">
        <v>303</v>
      </c>
      <c r="B38" s="766" t="s">
        <v>877</v>
      </c>
      <c r="C38" s="813">
        <v>283</v>
      </c>
      <c r="D38" s="814">
        <v>-378023.27</v>
      </c>
      <c r="E38" s="814">
        <v>-128405.05423725001</v>
      </c>
      <c r="F38" s="767">
        <f t="shared" si="11"/>
        <v>-77043.032542350003</v>
      </c>
      <c r="G38" s="767">
        <f t="shared" si="12"/>
        <v>-51362.021694900002</v>
      </c>
      <c r="H38" s="768">
        <f t="shared" si="13"/>
        <v>-68171.560730412501</v>
      </c>
      <c r="I38" s="755">
        <f t="shared" si="14"/>
        <v>16809.539035512498</v>
      </c>
      <c r="J38" s="769"/>
    </row>
    <row r="39" spans="1:10" ht="12.9" customHeight="1">
      <c r="A39" s="775">
        <v>304</v>
      </c>
      <c r="B39" s="766" t="s">
        <v>996</v>
      </c>
      <c r="C39" s="813">
        <v>190</v>
      </c>
      <c r="D39" s="814">
        <v>530487.19999999995</v>
      </c>
      <c r="E39" s="814">
        <v>180193.23965999999</v>
      </c>
      <c r="F39" s="767">
        <f t="shared" si="11"/>
        <v>108115.94379599998</v>
      </c>
      <c r="G39" s="767">
        <f t="shared" si="12"/>
        <v>72077.295864000014</v>
      </c>
      <c r="H39" s="768">
        <f t="shared" si="13"/>
        <v>95666.439718132926</v>
      </c>
      <c r="I39" s="755">
        <f t="shared" si="14"/>
        <v>-23589.143854132912</v>
      </c>
      <c r="J39" s="769"/>
    </row>
    <row r="40" spans="1:10" ht="12.9" customHeight="1">
      <c r="A40" s="775">
        <v>305</v>
      </c>
      <c r="B40" s="766" t="s">
        <v>997</v>
      </c>
      <c r="C40" s="813">
        <v>190</v>
      </c>
      <c r="D40" s="814">
        <v>128516.5</v>
      </c>
      <c r="E40" s="814">
        <v>43653.842137500003</v>
      </c>
      <c r="F40" s="767">
        <f t="shared" si="11"/>
        <v>26192.305282499998</v>
      </c>
      <c r="G40" s="767">
        <f t="shared" si="12"/>
        <v>17461.536855000006</v>
      </c>
      <c r="H40" s="778">
        <f t="shared" si="13"/>
        <v>23176.272679219088</v>
      </c>
      <c r="I40" s="755">
        <f t="shared" si="14"/>
        <v>-5714.7358242190821</v>
      </c>
      <c r="J40" s="769"/>
    </row>
    <row r="41" spans="1:10" ht="12.9" customHeight="1">
      <c r="A41" s="775">
        <v>306</v>
      </c>
      <c r="B41" s="766" t="s">
        <v>998</v>
      </c>
      <c r="C41" s="813">
        <v>190</v>
      </c>
      <c r="D41" s="814">
        <v>20319.93</v>
      </c>
      <c r="E41" s="814">
        <v>6902.1722227500004</v>
      </c>
      <c r="F41" s="767">
        <f t="shared" si="11"/>
        <v>4141.3033336499993</v>
      </c>
      <c r="G41" s="767">
        <f t="shared" si="12"/>
        <v>2760.8688891000011</v>
      </c>
      <c r="H41" s="778">
        <f t="shared" si="13"/>
        <v>3664.4340493449818</v>
      </c>
      <c r="I41" s="755">
        <f t="shared" si="14"/>
        <v>-903.56516024498069</v>
      </c>
      <c r="J41" s="769"/>
    </row>
    <row r="42" spans="1:10" ht="12.9" customHeight="1">
      <c r="A42" s="775">
        <v>307</v>
      </c>
      <c r="B42" s="766" t="s">
        <v>879</v>
      </c>
      <c r="C42" s="813">
        <v>190</v>
      </c>
      <c r="D42" s="814">
        <v>2992922.5500000003</v>
      </c>
      <c r="E42" s="814">
        <v>1016620.9671712501</v>
      </c>
      <c r="F42" s="767">
        <f t="shared" si="11"/>
        <v>609972.58030274999</v>
      </c>
      <c r="G42" s="767">
        <f t="shared" si="12"/>
        <v>406648.38686850015</v>
      </c>
      <c r="H42" s="778">
        <f t="shared" si="13"/>
        <v>539734.50200234004</v>
      </c>
      <c r="I42" s="755">
        <f t="shared" si="14"/>
        <v>-133086.11513383989</v>
      </c>
      <c r="J42" s="769"/>
    </row>
    <row r="43" spans="1:10" ht="12.9" customHeight="1">
      <c r="A43" s="775">
        <v>308</v>
      </c>
      <c r="B43" s="766" t="s">
        <v>999</v>
      </c>
      <c r="C43" s="813">
        <v>283</v>
      </c>
      <c r="D43" s="814">
        <v>-9890835.7400000002</v>
      </c>
      <c r="E43" s="814">
        <v>-3359669.6299844999</v>
      </c>
      <c r="F43" s="767">
        <f t="shared" si="11"/>
        <v>-2015801.7779907</v>
      </c>
      <c r="G43" s="767">
        <f t="shared" si="12"/>
        <v>-1343867.8519937999</v>
      </c>
      <c r="H43" s="778">
        <f t="shared" si="13"/>
        <v>-1783683.0767691745</v>
      </c>
      <c r="I43" s="755">
        <f t="shared" si="14"/>
        <v>439815.22477537463</v>
      </c>
      <c r="J43" s="769"/>
    </row>
    <row r="44" spans="1:10" ht="12.9" customHeight="1">
      <c r="A44" s="775">
        <v>309</v>
      </c>
      <c r="B44" s="766" t="s">
        <v>1000</v>
      </c>
      <c r="C44" s="813">
        <v>190</v>
      </c>
      <c r="D44" s="814">
        <v>10088.17</v>
      </c>
      <c r="E44" s="814">
        <v>3426.69914475</v>
      </c>
      <c r="F44" s="767">
        <f t="shared" si="11"/>
        <v>2056.0194868499998</v>
      </c>
      <c r="G44" s="767">
        <f t="shared" si="12"/>
        <v>1370.6796579000002</v>
      </c>
      <c r="H44" s="778">
        <f t="shared" si="13"/>
        <v>1819.2697338810003</v>
      </c>
      <c r="I44" s="755">
        <f t="shared" si="14"/>
        <v>-448.59007598100015</v>
      </c>
      <c r="J44" s="769"/>
    </row>
    <row r="45" spans="1:10" ht="12.9" customHeight="1">
      <c r="A45" s="775">
        <v>310</v>
      </c>
      <c r="B45" s="766" t="s">
        <v>1001</v>
      </c>
      <c r="C45" s="813">
        <v>190</v>
      </c>
      <c r="D45" s="814">
        <v>859042.77</v>
      </c>
      <c r="E45" s="814">
        <v>291795.35289975</v>
      </c>
      <c r="F45" s="767">
        <f t="shared" si="11"/>
        <v>175077.21173985</v>
      </c>
      <c r="G45" s="767">
        <f t="shared" si="12"/>
        <v>116718.1411599</v>
      </c>
      <c r="H45" s="778">
        <f t="shared" si="13"/>
        <v>154917.14667479802</v>
      </c>
      <c r="I45" s="755">
        <f t="shared" si="14"/>
        <v>-38199.005514898017</v>
      </c>
      <c r="J45" s="769"/>
    </row>
    <row r="46" spans="1:10" ht="12.9" customHeight="1">
      <c r="A46" s="775">
        <v>311</v>
      </c>
      <c r="B46" s="766" t="s">
        <v>878</v>
      </c>
      <c r="C46" s="813">
        <v>283</v>
      </c>
      <c r="D46" s="814">
        <v>-985985.08</v>
      </c>
      <c r="E46" s="814">
        <v>-334914.48204899998</v>
      </c>
      <c r="F46" s="767">
        <f t="shared" si="11"/>
        <v>-200948.68922939998</v>
      </c>
      <c r="G46" s="767">
        <f t="shared" si="12"/>
        <v>-133965.7928196</v>
      </c>
      <c r="H46" s="778">
        <f t="shared" si="13"/>
        <v>-177809.53474239993</v>
      </c>
      <c r="I46" s="755">
        <f t="shared" si="14"/>
        <v>43843.741922799934</v>
      </c>
      <c r="J46" s="769"/>
    </row>
    <row r="47" spans="1:10" ht="12.9" customHeight="1">
      <c r="A47" s="775">
        <v>312</v>
      </c>
      <c r="B47" s="766" t="s">
        <v>882</v>
      </c>
      <c r="C47" s="813">
        <v>190</v>
      </c>
      <c r="D47" s="814">
        <v>465927.65</v>
      </c>
      <c r="E47" s="814">
        <v>158263.97451375</v>
      </c>
      <c r="F47" s="767">
        <f t="shared" si="11"/>
        <v>94958.38470825</v>
      </c>
      <c r="G47" s="767">
        <f t="shared" si="12"/>
        <v>63305.5898055</v>
      </c>
      <c r="H47" s="778">
        <f t="shared" si="13"/>
        <v>84023.967857728392</v>
      </c>
      <c r="I47" s="755">
        <f t="shared" si="14"/>
        <v>-20718.378052228392</v>
      </c>
      <c r="J47" s="769"/>
    </row>
    <row r="48" spans="1:10" ht="12.9" customHeight="1">
      <c r="A48" s="775">
        <v>313</v>
      </c>
      <c r="B48" s="766" t="s">
        <v>1056</v>
      </c>
      <c r="C48" s="813">
        <v>283</v>
      </c>
      <c r="D48" s="814">
        <v>-1088216.26</v>
      </c>
      <c r="E48" s="814">
        <v>-369639.85811550001</v>
      </c>
      <c r="F48" s="767">
        <f t="shared" si="11"/>
        <v>-221783.91486929997</v>
      </c>
      <c r="G48" s="767">
        <f t="shared" si="12"/>
        <v>-147855.94324620004</v>
      </c>
      <c r="H48" s="778">
        <f t="shared" si="13"/>
        <v>-196245.59317846328</v>
      </c>
      <c r="I48" s="755">
        <f t="shared" si="14"/>
        <v>48389.649932263244</v>
      </c>
      <c r="J48" s="769"/>
    </row>
    <row r="49" spans="1:10" ht="12.9" customHeight="1">
      <c r="A49" s="775">
        <v>314</v>
      </c>
      <c r="B49" s="766" t="s">
        <v>880</v>
      </c>
      <c r="C49" s="813">
        <v>190</v>
      </c>
      <c r="D49" s="814">
        <v>5648113.3200000003</v>
      </c>
      <c r="E49" s="814">
        <v>1918522.891971</v>
      </c>
      <c r="F49" s="767">
        <f t="shared" ref="F49" si="15">+D49*$I$7</f>
        <v>1151113.7351826001</v>
      </c>
      <c r="G49" s="767">
        <f t="shared" ref="G49" si="16">+E49-F49</f>
        <v>767409.15678839991</v>
      </c>
      <c r="H49" s="778">
        <f t="shared" ref="H49" si="17">+G49*$I$8</f>
        <v>1018563.4873922755</v>
      </c>
      <c r="I49" s="755">
        <f t="shared" ref="I49" si="18">+G49-H49</f>
        <v>-251154.33060387557</v>
      </c>
      <c r="J49" s="769"/>
    </row>
    <row r="50" spans="1:10">
      <c r="A50" s="775">
        <v>315</v>
      </c>
      <c r="B50" s="766" t="s">
        <v>881</v>
      </c>
      <c r="C50" s="813">
        <v>190</v>
      </c>
      <c r="D50" s="814">
        <v>364754.71</v>
      </c>
      <c r="E50" s="814">
        <v>123898.05611925</v>
      </c>
      <c r="F50" s="767">
        <f t="shared" si="11"/>
        <v>74338.833671550005</v>
      </c>
      <c r="G50" s="767">
        <f t="shared" si="12"/>
        <v>49559.222447699998</v>
      </c>
      <c r="H50" s="778">
        <f t="shared" si="13"/>
        <v>65778.749187765614</v>
      </c>
      <c r="I50" s="755">
        <f t="shared" si="14"/>
        <v>-16219.526740065616</v>
      </c>
      <c r="J50" s="769"/>
    </row>
    <row r="51" spans="1:10">
      <c r="A51" s="775">
        <v>316</v>
      </c>
      <c r="B51" s="816" t="s">
        <v>275</v>
      </c>
      <c r="C51" s="819"/>
      <c r="D51" s="820"/>
      <c r="E51" s="820"/>
      <c r="F51" s="767">
        <f t="shared" si="11"/>
        <v>0</v>
      </c>
      <c r="G51" s="770">
        <f t="shared" si="12"/>
        <v>0</v>
      </c>
      <c r="H51" s="768">
        <f t="shared" si="13"/>
        <v>0</v>
      </c>
      <c r="I51" s="755">
        <f t="shared" si="14"/>
        <v>0</v>
      </c>
      <c r="J51" s="769"/>
    </row>
    <row r="52" spans="1:10" ht="12.9" customHeight="1">
      <c r="A52" s="764">
        <v>400</v>
      </c>
      <c r="B52" s="759" t="s">
        <v>1019</v>
      </c>
      <c r="C52" s="759"/>
      <c r="D52" s="779">
        <f t="shared" ref="D52:I52" si="19">SUM(D36:D51)</f>
        <v>6629514.1100000003</v>
      </c>
      <c r="E52" s="779">
        <f t="shared" si="19"/>
        <v>2251880.2053142511</v>
      </c>
      <c r="F52" s="779">
        <f t="shared" si="19"/>
        <v>1351128.1231885508</v>
      </c>
      <c r="G52" s="780">
        <f t="shared" si="19"/>
        <v>900752.08212570031</v>
      </c>
      <c r="H52" s="781">
        <f t="shared" si="19"/>
        <v>1195546.3052922424</v>
      </c>
      <c r="I52" s="779">
        <f t="shared" si="19"/>
        <v>-294794.22316654224</v>
      </c>
      <c r="J52" s="769"/>
    </row>
    <row r="53" spans="1:10">
      <c r="A53" s="746"/>
      <c r="B53" s="747"/>
      <c r="C53" s="747"/>
      <c r="D53" s="758"/>
      <c r="E53" s="779">
        <f>+E32+E51</f>
        <v>0</v>
      </c>
      <c r="F53" s="758"/>
      <c r="G53" s="758"/>
      <c r="H53" s="768"/>
      <c r="J53" s="769"/>
    </row>
    <row r="54" spans="1:10" ht="12.9" customHeight="1">
      <c r="A54" s="764">
        <v>500</v>
      </c>
      <c r="B54" s="759" t="s">
        <v>1078</v>
      </c>
      <c r="C54" s="759"/>
      <c r="D54" s="779">
        <f>+D33+D52</f>
        <v>-291851993.89945263</v>
      </c>
      <c r="E54" s="779">
        <f>+E33+E52</f>
        <v>-99134826.027796566</v>
      </c>
      <c r="F54" s="779">
        <f>+F33+F52</f>
        <v>-59480895.616677932</v>
      </c>
      <c r="G54" s="779">
        <f>+G33+G52</f>
        <v>-39653930.411118634</v>
      </c>
      <c r="H54" s="779">
        <f>+H33+H52</f>
        <v>-52631696.261472262</v>
      </c>
      <c r="I54" s="779">
        <f>+I33+I52</f>
        <v>12977765.850353619</v>
      </c>
      <c r="J54" s="769"/>
    </row>
    <row r="55" spans="1:10">
      <c r="D55" s="768"/>
      <c r="H55" s="782"/>
      <c r="J55" s="769"/>
    </row>
    <row r="56" spans="1:10">
      <c r="A56" s="353" t="s">
        <v>172</v>
      </c>
      <c r="B56" s="737"/>
      <c r="C56" s="737"/>
      <c r="D56" s="737"/>
      <c r="E56" s="737"/>
      <c r="F56" s="737"/>
      <c r="G56" s="737"/>
      <c r="H56" s="783"/>
      <c r="I56" s="737"/>
      <c r="J56" s="769"/>
    </row>
    <row r="57" spans="1:10" ht="38.1" customHeight="1">
      <c r="A57" s="784" t="s">
        <v>76</v>
      </c>
      <c r="B57" s="938" t="s">
        <v>1003</v>
      </c>
      <c r="C57" s="938"/>
      <c r="D57" s="938"/>
      <c r="E57" s="938"/>
      <c r="F57" s="938"/>
      <c r="G57" s="938"/>
      <c r="H57" s="938"/>
      <c r="I57" s="938"/>
      <c r="J57" s="769"/>
    </row>
    <row r="58" spans="1:10" ht="49.95" customHeight="1">
      <c r="A58" s="784" t="s">
        <v>77</v>
      </c>
      <c r="B58" s="938" t="s">
        <v>876</v>
      </c>
      <c r="C58" s="938"/>
      <c r="D58" s="938"/>
      <c r="E58" s="938"/>
      <c r="F58" s="938"/>
      <c r="G58" s="938"/>
      <c r="H58" s="938"/>
      <c r="I58" s="938"/>
      <c r="J58" s="802"/>
    </row>
    <row r="60" spans="1:10">
      <c r="H60" s="711"/>
    </row>
    <row r="61" spans="1:10">
      <c r="H61" s="782"/>
    </row>
    <row r="62" spans="1:10">
      <c r="H62" s="782"/>
    </row>
  </sheetData>
  <mergeCells count="7">
    <mergeCell ref="A1:I1"/>
    <mergeCell ref="A2:I2"/>
    <mergeCell ref="A4:I4"/>
    <mergeCell ref="B58:I58"/>
    <mergeCell ref="D11:I11"/>
    <mergeCell ref="B57:I57"/>
    <mergeCell ref="A3:I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1" manualBreakCount="1">
    <brk id="9" max="1048575" man="1"/>
  </colBreaks>
  <ignoredErrors>
    <ignoredError sqref="H30:H51 H28:H29 H15:H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3"/>
  <sheetViews>
    <sheetView topLeftCell="A94" zoomScale="80" zoomScaleNormal="80" workbookViewId="0">
      <selection activeCell="C22" sqref="C22"/>
    </sheetView>
  </sheetViews>
  <sheetFormatPr defaultColWidth="8.6328125" defaultRowHeight="13.2"/>
  <cols>
    <col min="1" max="1" width="5.6328125" style="1" customWidth="1"/>
    <col min="2" max="2" width="26.54296875" style="2" customWidth="1"/>
    <col min="3" max="9" width="15.08984375" style="2" customWidth="1"/>
    <col min="10" max="10" width="11.6328125" style="2" customWidth="1"/>
    <col min="11" max="11" width="14.1796875" style="2" customWidth="1"/>
    <col min="12" max="12" width="12.1796875" style="2" customWidth="1"/>
    <col min="13" max="13" width="15.54296875" style="2" customWidth="1"/>
    <col min="14" max="14" width="13.6328125" style="2" customWidth="1"/>
    <col min="15" max="15" width="10.1796875" style="2" customWidth="1"/>
    <col min="16" max="16" width="10.6328125" style="2" customWidth="1"/>
    <col min="17" max="16384" width="8.6328125" style="2"/>
  </cols>
  <sheetData>
    <row r="1" spans="1:12">
      <c r="C1" s="3"/>
      <c r="E1" s="413" t="s">
        <v>414</v>
      </c>
      <c r="F1" s="3"/>
      <c r="H1" s="3"/>
      <c r="I1" s="3"/>
      <c r="J1" s="3"/>
    </row>
    <row r="2" spans="1:12">
      <c r="A2" s="5"/>
      <c r="C2" s="3"/>
      <c r="D2" s="3"/>
      <c r="E2" s="13" t="s">
        <v>279</v>
      </c>
      <c r="F2" s="3"/>
      <c r="H2" s="3"/>
      <c r="I2" s="3"/>
      <c r="J2" s="3"/>
      <c r="L2" s="6"/>
    </row>
    <row r="3" spans="1:12">
      <c r="A3" s="5"/>
      <c r="C3" s="3"/>
      <c r="D3" s="3"/>
      <c r="E3" s="414" t="str">
        <f>'Act Att-H'!C7</f>
        <v>Black Hills Colorado Electric, LLC</v>
      </c>
      <c r="F3" s="3"/>
      <c r="H3" s="3"/>
      <c r="I3" s="174" t="s">
        <v>720</v>
      </c>
      <c r="J3" s="3"/>
    </row>
    <row r="4" spans="1:12">
      <c r="A4" s="5"/>
      <c r="C4" s="3"/>
      <c r="D4" s="3"/>
      <c r="E4" s="3"/>
      <c r="F4" s="3"/>
      <c r="G4" s="3"/>
      <c r="H4" s="3"/>
      <c r="I4" s="3"/>
    </row>
    <row r="5" spans="1:12" ht="15" customHeight="1">
      <c r="A5" s="5"/>
      <c r="B5" s="7"/>
      <c r="C5" s="944" t="s">
        <v>697</v>
      </c>
      <c r="D5" s="945"/>
      <c r="E5" s="945"/>
      <c r="F5" s="945"/>
      <c r="G5" s="946"/>
      <c r="H5" s="8" t="s">
        <v>250</v>
      </c>
      <c r="I5" s="8" t="s">
        <v>251</v>
      </c>
    </row>
    <row r="6" spans="1:12">
      <c r="A6" s="5"/>
      <c r="B6" s="7"/>
    </row>
    <row r="7" spans="1:12" s="12" customFormat="1" ht="30" customHeight="1">
      <c r="A7" s="9" t="s">
        <v>252</v>
      </c>
      <c r="B7" s="10" t="s">
        <v>219</v>
      </c>
      <c r="C7" s="10" t="s">
        <v>253</v>
      </c>
      <c r="D7" s="10" t="s">
        <v>21</v>
      </c>
      <c r="E7" s="10" t="s">
        <v>254</v>
      </c>
      <c r="F7" s="10" t="s">
        <v>255</v>
      </c>
      <c r="G7" s="11" t="s">
        <v>167</v>
      </c>
      <c r="H7" s="10" t="s">
        <v>256</v>
      </c>
      <c r="I7" s="10" t="s">
        <v>257</v>
      </c>
    </row>
    <row r="8" spans="1:12" s="16" customFormat="1">
      <c r="A8" s="5"/>
      <c r="B8" s="13" t="s">
        <v>138</v>
      </c>
      <c r="C8" s="13" t="s">
        <v>139</v>
      </c>
      <c r="D8" s="13" t="s">
        <v>140</v>
      </c>
      <c r="E8" s="10" t="s">
        <v>141</v>
      </c>
      <c r="F8" s="10" t="s">
        <v>142</v>
      </c>
      <c r="G8" s="10" t="s">
        <v>143</v>
      </c>
      <c r="H8" s="10" t="s">
        <v>144</v>
      </c>
      <c r="I8" s="14" t="s">
        <v>145</v>
      </c>
    </row>
    <row r="9" spans="1:12" s="16" customFormat="1" ht="57.6" customHeight="1">
      <c r="A9" s="5"/>
      <c r="B9" s="17" t="s">
        <v>259</v>
      </c>
      <c r="C9" s="10" t="s">
        <v>1021</v>
      </c>
      <c r="D9" s="10" t="s">
        <v>1022</v>
      </c>
      <c r="E9" s="10" t="s">
        <v>1023</v>
      </c>
      <c r="F9" s="10" t="s">
        <v>1239</v>
      </c>
      <c r="G9" s="10" t="s">
        <v>1257</v>
      </c>
      <c r="H9" s="13" t="s">
        <v>1244</v>
      </c>
      <c r="I9" s="13" t="s">
        <v>1245</v>
      </c>
    </row>
    <row r="10" spans="1:12">
      <c r="A10" s="5">
        <v>1</v>
      </c>
      <c r="B10" s="18" t="s">
        <v>260</v>
      </c>
      <c r="C10" s="19">
        <v>427684092.15999997</v>
      </c>
      <c r="D10" s="19">
        <v>318162522.34000003</v>
      </c>
      <c r="E10" s="19">
        <v>437813045.59263796</v>
      </c>
      <c r="F10" s="19">
        <v>45655275.060000002</v>
      </c>
      <c r="G10" s="19">
        <v>26045763</v>
      </c>
      <c r="H10" s="19">
        <v>0</v>
      </c>
      <c r="I10" s="19">
        <v>0</v>
      </c>
      <c r="J10" s="16"/>
      <c r="K10" s="16"/>
    </row>
    <row r="11" spans="1:12">
      <c r="A11" s="5">
        <v>2</v>
      </c>
      <c r="B11" s="18" t="s">
        <v>146</v>
      </c>
      <c r="C11" s="19">
        <v>428543901.35999995</v>
      </c>
      <c r="D11" s="19">
        <v>319063006.89000005</v>
      </c>
      <c r="E11" s="19">
        <v>440912003.82000005</v>
      </c>
      <c r="F11" s="19">
        <v>46590726.620000012</v>
      </c>
      <c r="G11" s="19">
        <v>24722634</v>
      </c>
      <c r="H11" s="19">
        <v>0</v>
      </c>
      <c r="I11" s="19">
        <v>0</v>
      </c>
      <c r="J11" s="16"/>
      <c r="K11" s="16"/>
    </row>
    <row r="12" spans="1:12">
      <c r="A12" s="5">
        <v>3</v>
      </c>
      <c r="B12" s="3" t="s">
        <v>147</v>
      </c>
      <c r="C12" s="19">
        <v>428520324.51999998</v>
      </c>
      <c r="D12" s="19">
        <v>321624242.09000003</v>
      </c>
      <c r="E12" s="19">
        <v>442905000.97999996</v>
      </c>
      <c r="F12" s="19">
        <v>46952394.560000002</v>
      </c>
      <c r="G12" s="19">
        <v>24820406</v>
      </c>
      <c r="H12" s="19">
        <v>0</v>
      </c>
      <c r="I12" s="19">
        <v>0</v>
      </c>
      <c r="J12" s="16"/>
      <c r="K12" s="16"/>
    </row>
    <row r="13" spans="1:12">
      <c r="A13" s="5">
        <v>4</v>
      </c>
      <c r="B13" s="3" t="s">
        <v>261</v>
      </c>
      <c r="C13" s="19">
        <v>427819915.99999994</v>
      </c>
      <c r="D13" s="19">
        <v>322074268.61000001</v>
      </c>
      <c r="E13" s="19">
        <v>450128454.64232099</v>
      </c>
      <c r="F13" s="19">
        <v>47117419.609999985</v>
      </c>
      <c r="G13" s="19">
        <v>24822386</v>
      </c>
      <c r="H13" s="19">
        <v>0</v>
      </c>
      <c r="I13" s="19">
        <v>0</v>
      </c>
      <c r="J13" s="16"/>
      <c r="K13" s="16"/>
    </row>
    <row r="14" spans="1:12">
      <c r="A14" s="5">
        <v>5</v>
      </c>
      <c r="B14" s="3" t="s">
        <v>148</v>
      </c>
      <c r="C14" s="19">
        <v>428141837.38000005</v>
      </c>
      <c r="D14" s="19">
        <v>321734807.01000005</v>
      </c>
      <c r="E14" s="19">
        <v>460742691.39999998</v>
      </c>
      <c r="F14" s="19">
        <v>47216348.429999992</v>
      </c>
      <c r="G14" s="19">
        <v>25691478</v>
      </c>
      <c r="H14" s="19">
        <v>0</v>
      </c>
      <c r="I14" s="19">
        <v>0</v>
      </c>
      <c r="J14" s="16"/>
      <c r="K14" s="16"/>
    </row>
    <row r="15" spans="1:12">
      <c r="A15" s="5">
        <v>6</v>
      </c>
      <c r="B15" s="3" t="s">
        <v>149</v>
      </c>
      <c r="C15" s="19">
        <v>427868911.95000005</v>
      </c>
      <c r="D15" s="19">
        <v>321704202.51000005</v>
      </c>
      <c r="E15" s="19">
        <v>464904450.78999996</v>
      </c>
      <c r="F15" s="19">
        <v>47875882.110000007</v>
      </c>
      <c r="G15" s="19">
        <v>25719836</v>
      </c>
      <c r="H15" s="19">
        <v>0</v>
      </c>
      <c r="I15" s="19">
        <v>0</v>
      </c>
      <c r="J15" s="16"/>
      <c r="K15" s="16"/>
    </row>
    <row r="16" spans="1:12">
      <c r="A16" s="5">
        <v>7</v>
      </c>
      <c r="B16" s="3" t="s">
        <v>150</v>
      </c>
      <c r="C16" s="19">
        <v>427906155.95999998</v>
      </c>
      <c r="D16" s="19">
        <v>320705759.50999999</v>
      </c>
      <c r="E16" s="19">
        <v>465262722.95508844</v>
      </c>
      <c r="F16" s="19">
        <v>47732540.270000003</v>
      </c>
      <c r="G16" s="19">
        <v>26016722</v>
      </c>
      <c r="H16" s="19">
        <v>0</v>
      </c>
      <c r="I16" s="19">
        <v>0</v>
      </c>
      <c r="J16" s="16"/>
      <c r="K16" s="16"/>
    </row>
    <row r="17" spans="1:11">
      <c r="A17" s="5">
        <v>8</v>
      </c>
      <c r="B17" s="3" t="s">
        <v>151</v>
      </c>
      <c r="C17" s="19">
        <v>428209233.75999999</v>
      </c>
      <c r="D17" s="19">
        <v>321341108.93000007</v>
      </c>
      <c r="E17" s="19">
        <v>467590081.43000001</v>
      </c>
      <c r="F17" s="19">
        <v>47573401.000000007</v>
      </c>
      <c r="G17" s="19">
        <v>25618009</v>
      </c>
      <c r="H17" s="19">
        <v>0</v>
      </c>
      <c r="I17" s="19">
        <v>0</v>
      </c>
      <c r="J17" s="16"/>
      <c r="K17" s="16"/>
    </row>
    <row r="18" spans="1:11">
      <c r="A18" s="5">
        <v>9</v>
      </c>
      <c r="B18" s="3" t="s">
        <v>262</v>
      </c>
      <c r="C18" s="19">
        <v>434995165.88</v>
      </c>
      <c r="D18" s="19">
        <v>321356510.25</v>
      </c>
      <c r="E18" s="19">
        <v>470358456.96000004</v>
      </c>
      <c r="F18" s="19">
        <v>47455069.690000005</v>
      </c>
      <c r="G18" s="19">
        <v>25723959</v>
      </c>
      <c r="H18" s="19">
        <v>0</v>
      </c>
      <c r="I18" s="19">
        <v>0</v>
      </c>
      <c r="J18" s="16"/>
      <c r="K18" s="16"/>
    </row>
    <row r="19" spans="1:11">
      <c r="A19" s="5">
        <v>10</v>
      </c>
      <c r="B19" s="3" t="s">
        <v>152</v>
      </c>
      <c r="C19" s="19">
        <v>429697843.00999999</v>
      </c>
      <c r="D19" s="19">
        <v>321243671.54000002</v>
      </c>
      <c r="E19" s="19">
        <v>473352938.91127056</v>
      </c>
      <c r="F19" s="19">
        <v>47801133.189999998</v>
      </c>
      <c r="G19" s="19">
        <v>25525510</v>
      </c>
      <c r="H19" s="19">
        <v>0</v>
      </c>
      <c r="I19" s="19">
        <v>0</v>
      </c>
      <c r="J19" s="16"/>
      <c r="K19" s="16"/>
    </row>
    <row r="20" spans="1:11">
      <c r="A20" s="5">
        <v>11</v>
      </c>
      <c r="B20" s="3" t="s">
        <v>153</v>
      </c>
      <c r="C20" s="19">
        <v>437713770.86999995</v>
      </c>
      <c r="D20" s="19">
        <v>328831753.57000005</v>
      </c>
      <c r="E20" s="19">
        <v>475924263.8599999</v>
      </c>
      <c r="F20" s="19">
        <v>48498188.210000008</v>
      </c>
      <c r="G20" s="19">
        <v>25543067</v>
      </c>
      <c r="H20" s="19">
        <v>0</v>
      </c>
      <c r="I20" s="19">
        <v>0</v>
      </c>
      <c r="J20" s="16"/>
      <c r="K20" s="16"/>
    </row>
    <row r="21" spans="1:11">
      <c r="A21" s="5">
        <v>12</v>
      </c>
      <c r="B21" s="3" t="s">
        <v>154</v>
      </c>
      <c r="C21" s="19">
        <v>432533224.31</v>
      </c>
      <c r="D21" s="19">
        <v>329387827.56999993</v>
      </c>
      <c r="E21" s="19">
        <v>477689697.86999995</v>
      </c>
      <c r="F21" s="19">
        <v>49054926.649999999</v>
      </c>
      <c r="G21" s="19">
        <v>25572666</v>
      </c>
      <c r="H21" s="19">
        <v>0</v>
      </c>
      <c r="I21" s="19">
        <v>0</v>
      </c>
      <c r="J21" s="16"/>
      <c r="K21" s="16"/>
    </row>
    <row r="22" spans="1:11">
      <c r="A22" s="5">
        <v>13</v>
      </c>
      <c r="B22" s="3" t="s">
        <v>263</v>
      </c>
      <c r="C22" s="19">
        <v>432352601.50000006</v>
      </c>
      <c r="D22" s="19">
        <v>333438896.38999999</v>
      </c>
      <c r="E22" s="19">
        <v>478810183.71437263</v>
      </c>
      <c r="F22" s="19">
        <v>51228694.220000014</v>
      </c>
      <c r="G22" s="19">
        <v>28415404</v>
      </c>
      <c r="H22" s="19">
        <v>0</v>
      </c>
      <c r="I22" s="19">
        <v>0</v>
      </c>
      <c r="J22" s="16"/>
      <c r="K22" s="16"/>
    </row>
    <row r="23" spans="1:11" ht="13.8" thickBot="1">
      <c r="A23" s="5">
        <v>14</v>
      </c>
      <c r="B23" s="20" t="s">
        <v>264</v>
      </c>
      <c r="C23" s="21">
        <f>SUM(C10:C22)/13</f>
        <v>430152844.51230776</v>
      </c>
      <c r="D23" s="21">
        <f>SUM(D10:D22)/13</f>
        <v>323128352.09307694</v>
      </c>
      <c r="E23" s="21">
        <f t="shared" ref="E23:I23" si="0">SUM(E10:E22)/13</f>
        <v>462030307.14813</v>
      </c>
      <c r="F23" s="21">
        <f t="shared" si="0"/>
        <v>47750153.816923074</v>
      </c>
      <c r="G23" s="21">
        <f t="shared" si="0"/>
        <v>25710603.076923076</v>
      </c>
      <c r="H23" s="21">
        <f t="shared" si="0"/>
        <v>0</v>
      </c>
      <c r="I23" s="21">
        <f t="shared" si="0"/>
        <v>0</v>
      </c>
      <c r="J23" s="16"/>
      <c r="K23" s="16"/>
    </row>
    <row r="24" spans="1:11" ht="13.8"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561"/>
      <c r="D28" s="560"/>
      <c r="E28" s="947" t="s">
        <v>698</v>
      </c>
      <c r="F28" s="948"/>
      <c r="G28" s="948"/>
      <c r="H28" s="948"/>
      <c r="I28" s="949"/>
    </row>
    <row r="29" spans="1:11">
      <c r="A29" s="5"/>
      <c r="B29" s="3"/>
    </row>
    <row r="30" spans="1:11" ht="26.4">
      <c r="A30" s="9" t="s">
        <v>252</v>
      </c>
      <c r="B30" s="10" t="s">
        <v>219</v>
      </c>
      <c r="C30" s="10" t="s">
        <v>723</v>
      </c>
      <c r="D30" s="10" t="s">
        <v>723</v>
      </c>
      <c r="E30" s="10" t="s">
        <v>253</v>
      </c>
      <c r="F30" s="10" t="s">
        <v>21</v>
      </c>
      <c r="G30" s="10" t="s">
        <v>254</v>
      </c>
      <c r="H30" s="10" t="s">
        <v>255</v>
      </c>
      <c r="I30" s="10" t="s">
        <v>167</v>
      </c>
    </row>
    <row r="31" spans="1:11">
      <c r="A31" s="5"/>
      <c r="B31" s="13" t="s">
        <v>138</v>
      </c>
      <c r="C31" s="13" t="s">
        <v>139</v>
      </c>
      <c r="D31" s="13" t="s">
        <v>140</v>
      </c>
      <c r="E31" s="10" t="s">
        <v>141</v>
      </c>
      <c r="F31" s="10" t="s">
        <v>142</v>
      </c>
      <c r="G31" s="10" t="s">
        <v>143</v>
      </c>
      <c r="H31" s="10" t="s">
        <v>144</v>
      </c>
      <c r="I31" s="14" t="s">
        <v>145</v>
      </c>
    </row>
    <row r="32" spans="1:11" ht="39.6">
      <c r="A32" s="5"/>
      <c r="B32" s="17" t="s">
        <v>259</v>
      </c>
      <c r="C32" s="10"/>
      <c r="D32" s="13"/>
      <c r="E32" s="824" t="s">
        <v>1091</v>
      </c>
      <c r="F32" s="824" t="s">
        <v>1092</v>
      </c>
      <c r="G32" s="824" t="s">
        <v>1093</v>
      </c>
      <c r="H32" s="824" t="s">
        <v>1246</v>
      </c>
      <c r="I32" s="824" t="s">
        <v>1258</v>
      </c>
    </row>
    <row r="33" spans="1:9">
      <c r="A33" s="5">
        <v>15</v>
      </c>
      <c r="B33" s="18" t="s">
        <v>260</v>
      </c>
      <c r="C33" s="10"/>
      <c r="D33" s="10"/>
      <c r="E33" s="19">
        <v>142142557.37</v>
      </c>
      <c r="F33" s="19">
        <v>51935611.219999999</v>
      </c>
      <c r="G33" s="19">
        <v>163933249.87263796</v>
      </c>
      <c r="H33" s="19">
        <v>23667929.41</v>
      </c>
      <c r="I33" s="19">
        <v>9226628</v>
      </c>
    </row>
    <row r="34" spans="1:9">
      <c r="A34" s="5">
        <v>16</v>
      </c>
      <c r="B34" s="18" t="s">
        <v>146</v>
      </c>
      <c r="C34" s="10"/>
      <c r="D34" s="10"/>
      <c r="E34" s="19">
        <v>143407895.40000001</v>
      </c>
      <c r="F34" s="19">
        <v>53003600.559999995</v>
      </c>
      <c r="G34" s="19">
        <v>165500983</v>
      </c>
      <c r="H34" s="19">
        <v>23852658.509999998</v>
      </c>
      <c r="I34" s="19">
        <v>8045799</v>
      </c>
    </row>
    <row r="35" spans="1:9">
      <c r="A35" s="5">
        <v>17</v>
      </c>
      <c r="B35" s="3" t="s">
        <v>147</v>
      </c>
      <c r="C35" s="10"/>
      <c r="D35" s="10"/>
      <c r="E35" s="19">
        <v>144674444.92000002</v>
      </c>
      <c r="F35" s="19">
        <v>52706723.980000004</v>
      </c>
      <c r="G35" s="19">
        <v>165982574.31</v>
      </c>
      <c r="H35" s="19">
        <v>24241891.579999998</v>
      </c>
      <c r="I35" s="19">
        <v>8320037</v>
      </c>
    </row>
    <row r="36" spans="1:9">
      <c r="A36" s="5">
        <v>18</v>
      </c>
      <c r="B36" s="3" t="s">
        <v>261</v>
      </c>
      <c r="C36" s="10"/>
      <c r="D36" s="10"/>
      <c r="E36" s="19">
        <v>145102109.59999999</v>
      </c>
      <c r="F36" s="19">
        <v>52995132.230000012</v>
      </c>
      <c r="G36" s="19">
        <v>165709400.78232089</v>
      </c>
      <c r="H36" s="19">
        <v>24530373.580000002</v>
      </c>
      <c r="I36" s="19">
        <v>8593005</v>
      </c>
    </row>
    <row r="37" spans="1:9">
      <c r="A37" s="5">
        <v>19</v>
      </c>
      <c r="B37" s="3" t="s">
        <v>148</v>
      </c>
      <c r="C37" s="10"/>
      <c r="D37" s="10"/>
      <c r="E37" s="19">
        <v>146677796.91000003</v>
      </c>
      <c r="F37" s="19">
        <v>53440759.68</v>
      </c>
      <c r="G37" s="19">
        <v>167628375.39000002</v>
      </c>
      <c r="H37" s="19">
        <v>24613964.029999994</v>
      </c>
      <c r="I37" s="19">
        <v>8861026</v>
      </c>
    </row>
    <row r="38" spans="1:9">
      <c r="A38" s="5">
        <v>20</v>
      </c>
      <c r="B38" s="3" t="s">
        <v>149</v>
      </c>
      <c r="C38" s="10"/>
      <c r="D38" s="10"/>
      <c r="E38" s="19">
        <v>147633514.73999998</v>
      </c>
      <c r="F38" s="19">
        <v>53904200.859999999</v>
      </c>
      <c r="G38" s="19">
        <v>168482194.84999999</v>
      </c>
      <c r="H38" s="19">
        <v>24836855.490000002</v>
      </c>
      <c r="I38" s="19">
        <v>9150957</v>
      </c>
    </row>
    <row r="39" spans="1:9">
      <c r="A39" s="5">
        <v>21</v>
      </c>
      <c r="B39" s="3" t="s">
        <v>150</v>
      </c>
      <c r="C39" s="10"/>
      <c r="D39" s="10"/>
      <c r="E39" s="19">
        <v>148837237.57000002</v>
      </c>
      <c r="F39" s="19">
        <v>53753371.360000007</v>
      </c>
      <c r="G39" s="19">
        <v>168043812.49508849</v>
      </c>
      <c r="H39" s="19">
        <v>25581001.559999999</v>
      </c>
      <c r="I39" s="19">
        <v>9451113</v>
      </c>
    </row>
    <row r="40" spans="1:9">
      <c r="A40" s="5">
        <v>22</v>
      </c>
      <c r="B40" s="3" t="s">
        <v>151</v>
      </c>
      <c r="C40" s="10"/>
      <c r="D40" s="10"/>
      <c r="E40" s="19">
        <v>150097129.98000002</v>
      </c>
      <c r="F40" s="19">
        <v>54830034.68</v>
      </c>
      <c r="G40" s="19">
        <v>169994274.63</v>
      </c>
      <c r="H40" s="19">
        <v>25577604.549999997</v>
      </c>
      <c r="I40" s="19">
        <v>9508325</v>
      </c>
    </row>
    <row r="41" spans="1:9">
      <c r="A41" s="5">
        <v>23</v>
      </c>
      <c r="B41" s="3" t="s">
        <v>262</v>
      </c>
      <c r="C41" s="10"/>
      <c r="D41" s="10"/>
      <c r="E41" s="19">
        <v>151372628.09</v>
      </c>
      <c r="F41" s="19">
        <v>55292821.629999995</v>
      </c>
      <c r="G41" s="19">
        <v>170640626.54000002</v>
      </c>
      <c r="H41" s="19">
        <v>25086759.539999999</v>
      </c>
      <c r="I41" s="19">
        <v>9830247</v>
      </c>
    </row>
    <row r="42" spans="1:9">
      <c r="A42" s="5">
        <v>24</v>
      </c>
      <c r="B42" s="3" t="s">
        <v>152</v>
      </c>
      <c r="C42" s="10"/>
      <c r="D42" s="10"/>
      <c r="E42" s="19">
        <v>147360286.66</v>
      </c>
      <c r="F42" s="19">
        <v>55598097.250000007</v>
      </c>
      <c r="G42" s="19">
        <v>170852901.40127048</v>
      </c>
      <c r="H42" s="19">
        <v>25136765.82</v>
      </c>
      <c r="I42" s="19">
        <v>9839637</v>
      </c>
    </row>
    <row r="43" spans="1:9">
      <c r="A43" s="5">
        <v>25</v>
      </c>
      <c r="B43" s="3" t="s">
        <v>153</v>
      </c>
      <c r="C43" s="10"/>
      <c r="D43" s="10"/>
      <c r="E43" s="19">
        <v>153706470.78</v>
      </c>
      <c r="F43" s="19">
        <v>56070654.940000005</v>
      </c>
      <c r="G43" s="19">
        <v>172363389.04000005</v>
      </c>
      <c r="H43" s="19">
        <v>23878148.889999997</v>
      </c>
      <c r="I43" s="19">
        <v>10013978</v>
      </c>
    </row>
    <row r="44" spans="1:9">
      <c r="A44" s="5">
        <v>26</v>
      </c>
      <c r="B44" s="3" t="s">
        <v>154</v>
      </c>
      <c r="C44" s="10"/>
      <c r="D44" s="10"/>
      <c r="E44" s="19">
        <v>149884901.92000002</v>
      </c>
      <c r="F44" s="19">
        <v>56541715.450000003</v>
      </c>
      <c r="G44" s="19">
        <v>173059549.52000007</v>
      </c>
      <c r="H44" s="19">
        <v>23822005.949999999</v>
      </c>
      <c r="I44" s="19">
        <v>10282826</v>
      </c>
    </row>
    <row r="45" spans="1:9">
      <c r="A45" s="5">
        <v>27</v>
      </c>
      <c r="B45" s="3" t="s">
        <v>263</v>
      </c>
      <c r="C45" s="10"/>
      <c r="D45" s="10"/>
      <c r="E45" s="19">
        <v>150545317.09999999</v>
      </c>
      <c r="F45" s="19">
        <v>55540844.059999987</v>
      </c>
      <c r="G45" s="19">
        <v>170909050.63437265</v>
      </c>
      <c r="H45" s="19">
        <v>23265381.149999999</v>
      </c>
      <c r="I45" s="19">
        <v>9644633</v>
      </c>
    </row>
    <row r="46" spans="1:9" ht="13.8" thickBot="1">
      <c r="A46" s="5">
        <v>28</v>
      </c>
      <c r="B46" s="20" t="s">
        <v>264</v>
      </c>
      <c r="C46" s="21"/>
      <c r="D46" s="21"/>
      <c r="E46" s="21">
        <f t="shared" ref="E46:I46" si="1">SUM(E33:E45)/13</f>
        <v>147803253.15692309</v>
      </c>
      <c r="F46" s="21">
        <f t="shared" si="1"/>
        <v>54277966.761538468</v>
      </c>
      <c r="G46" s="21">
        <f t="shared" si="1"/>
        <v>168700029.42043775</v>
      </c>
      <c r="H46" s="21">
        <f t="shared" si="1"/>
        <v>24468564.619999997</v>
      </c>
      <c r="I46" s="21">
        <f t="shared" si="1"/>
        <v>9289862.384615384</v>
      </c>
    </row>
    <row r="47" spans="1:9" ht="13.8" thickTop="1">
      <c r="A47" s="5"/>
      <c r="B47" s="3"/>
    </row>
    <row r="48" spans="1:9">
      <c r="A48" s="5"/>
      <c r="B48" s="3"/>
    </row>
    <row r="49" spans="1:9">
      <c r="A49" s="723"/>
      <c r="B49" s="3"/>
      <c r="C49" s="724"/>
      <c r="D49" s="725"/>
      <c r="E49" s="724"/>
      <c r="F49" s="724"/>
      <c r="G49" s="724"/>
      <c r="H49" s="724"/>
      <c r="I49" s="724"/>
    </row>
    <row r="50" spans="1:9" s="827" customFormat="1" ht="26.4">
      <c r="A50" s="825"/>
      <c r="B50" s="824" t="s">
        <v>219</v>
      </c>
      <c r="C50" s="824" t="s">
        <v>962</v>
      </c>
      <c r="D50" s="824" t="s">
        <v>963</v>
      </c>
      <c r="E50" s="824" t="s">
        <v>1089</v>
      </c>
      <c r="F50" s="824" t="s">
        <v>1090</v>
      </c>
      <c r="G50" s="824" t="s">
        <v>964</v>
      </c>
      <c r="H50" s="824" t="s">
        <v>965</v>
      </c>
      <c r="I50" s="14" t="s">
        <v>1127</v>
      </c>
    </row>
    <row r="51" spans="1:9" s="827" customFormat="1">
      <c r="A51" s="825"/>
      <c r="B51" s="828" t="s">
        <v>138</v>
      </c>
      <c r="C51" s="828" t="s">
        <v>139</v>
      </c>
      <c r="D51" s="828" t="s">
        <v>140</v>
      </c>
      <c r="E51" s="828" t="s">
        <v>141</v>
      </c>
      <c r="F51" s="828" t="s">
        <v>142</v>
      </c>
      <c r="G51" s="828" t="s">
        <v>143</v>
      </c>
      <c r="H51" s="828" t="s">
        <v>144</v>
      </c>
      <c r="I51" s="14" t="s">
        <v>145</v>
      </c>
    </row>
    <row r="52" spans="1:9" s="827" customFormat="1">
      <c r="A52" s="825"/>
      <c r="B52" s="829" t="s">
        <v>259</v>
      </c>
      <c r="C52" s="824"/>
      <c r="D52" s="824"/>
      <c r="E52" s="824" t="s">
        <v>216</v>
      </c>
      <c r="F52" s="824" t="s">
        <v>216</v>
      </c>
      <c r="G52" s="824" t="s">
        <v>216</v>
      </c>
      <c r="H52" s="824" t="s">
        <v>216</v>
      </c>
      <c r="I52" s="10" t="s">
        <v>1128</v>
      </c>
    </row>
    <row r="53" spans="1:9" s="827" customFormat="1">
      <c r="A53" s="825">
        <f>A46+1</f>
        <v>29</v>
      </c>
      <c r="B53" s="830" t="s">
        <v>260</v>
      </c>
      <c r="C53" s="831">
        <v>7196224</v>
      </c>
      <c r="D53" s="831">
        <v>2815708</v>
      </c>
      <c r="E53" s="831">
        <v>261441404</v>
      </c>
      <c r="F53" s="831">
        <v>156864842</v>
      </c>
      <c r="G53" s="831">
        <v>1086540</v>
      </c>
      <c r="H53" s="831">
        <v>500676</v>
      </c>
      <c r="I53" s="19"/>
    </row>
    <row r="54" spans="1:9" s="827" customFormat="1">
      <c r="A54" s="825">
        <f>A53+1</f>
        <v>30</v>
      </c>
      <c r="B54" s="830" t="s">
        <v>146</v>
      </c>
      <c r="C54" s="831">
        <v>7196224</v>
      </c>
      <c r="D54" s="831">
        <v>2842026</v>
      </c>
      <c r="E54" s="831">
        <v>261441404</v>
      </c>
      <c r="F54" s="831">
        <v>157954181</v>
      </c>
      <c r="G54" s="831">
        <v>1086540</v>
      </c>
      <c r="H54" s="831">
        <v>506765</v>
      </c>
      <c r="I54" s="19"/>
    </row>
    <row r="55" spans="1:9" s="827" customFormat="1">
      <c r="A55" s="825">
        <f t="shared" ref="A55:A66" si="2">A54+1</f>
        <v>31</v>
      </c>
      <c r="B55" s="830" t="s">
        <v>147</v>
      </c>
      <c r="C55" s="831">
        <v>7196224</v>
      </c>
      <c r="D55" s="831">
        <v>2868344</v>
      </c>
      <c r="E55" s="831">
        <v>261441404</v>
      </c>
      <c r="F55" s="831">
        <v>159043520</v>
      </c>
      <c r="G55" s="831">
        <v>1086540</v>
      </c>
      <c r="H55" s="831">
        <v>512872</v>
      </c>
      <c r="I55" s="19"/>
    </row>
    <row r="56" spans="1:9" s="827" customFormat="1">
      <c r="A56" s="825">
        <f t="shared" si="2"/>
        <v>32</v>
      </c>
      <c r="B56" s="830" t="s">
        <v>261</v>
      </c>
      <c r="C56" s="831">
        <v>7196224</v>
      </c>
      <c r="D56" s="831">
        <v>2894662</v>
      </c>
      <c r="E56" s="831">
        <v>261441404</v>
      </c>
      <c r="F56" s="831">
        <v>160132859</v>
      </c>
      <c r="G56" s="831">
        <v>1086540</v>
      </c>
      <c r="H56" s="831">
        <v>518518</v>
      </c>
      <c r="I56" s="19"/>
    </row>
    <row r="57" spans="1:9" s="827" customFormat="1">
      <c r="A57" s="825">
        <f t="shared" si="2"/>
        <v>33</v>
      </c>
      <c r="B57" s="830" t="s">
        <v>148</v>
      </c>
      <c r="C57" s="831">
        <v>7196224</v>
      </c>
      <c r="D57" s="831">
        <v>2920980</v>
      </c>
      <c r="E57" s="831">
        <v>261441404</v>
      </c>
      <c r="F57" s="831">
        <v>161222198</v>
      </c>
      <c r="G57" s="831">
        <v>1086540</v>
      </c>
      <c r="H57" s="831">
        <v>524661</v>
      </c>
      <c r="I57" s="19"/>
    </row>
    <row r="58" spans="1:9" s="827" customFormat="1">
      <c r="A58" s="825">
        <f t="shared" si="2"/>
        <v>34</v>
      </c>
      <c r="B58" s="830" t="s">
        <v>149</v>
      </c>
      <c r="C58" s="831">
        <v>7196224</v>
      </c>
      <c r="D58" s="831">
        <v>2947298</v>
      </c>
      <c r="E58" s="831">
        <v>261441404</v>
      </c>
      <c r="F58" s="831">
        <v>162311538</v>
      </c>
      <c r="G58" s="831">
        <v>1077631</v>
      </c>
      <c r="H58" s="831">
        <v>531320</v>
      </c>
      <c r="I58" s="19"/>
    </row>
    <row r="59" spans="1:9" s="827" customFormat="1">
      <c r="A59" s="825">
        <f t="shared" si="2"/>
        <v>35</v>
      </c>
      <c r="B59" s="830" t="s">
        <v>150</v>
      </c>
      <c r="C59" s="831">
        <v>7196224</v>
      </c>
      <c r="D59" s="831">
        <v>2973616</v>
      </c>
      <c r="E59" s="831">
        <v>261441404</v>
      </c>
      <c r="F59" s="831">
        <v>163400877</v>
      </c>
      <c r="G59" s="831">
        <v>914169</v>
      </c>
      <c r="H59" s="831">
        <v>421229</v>
      </c>
      <c r="I59" s="19"/>
    </row>
    <row r="60" spans="1:9" s="827" customFormat="1">
      <c r="A60" s="825">
        <f t="shared" si="2"/>
        <v>36</v>
      </c>
      <c r="B60" s="830" t="s">
        <v>151</v>
      </c>
      <c r="C60" s="831">
        <v>7196224</v>
      </c>
      <c r="D60" s="831">
        <v>2999934</v>
      </c>
      <c r="E60" s="831">
        <v>261441404</v>
      </c>
      <c r="F60" s="831">
        <v>164490216</v>
      </c>
      <c r="G60" s="831">
        <v>939680</v>
      </c>
      <c r="H60" s="831">
        <v>435895</v>
      </c>
      <c r="I60" s="19"/>
    </row>
    <row r="61" spans="1:9" s="827" customFormat="1">
      <c r="A61" s="825">
        <f t="shared" si="2"/>
        <v>37</v>
      </c>
      <c r="B61" s="830" t="s">
        <v>262</v>
      </c>
      <c r="C61" s="831">
        <v>7196224</v>
      </c>
      <c r="D61" s="831">
        <v>3026252</v>
      </c>
      <c r="E61" s="831">
        <v>261441404</v>
      </c>
      <c r="F61" s="831">
        <v>165579555</v>
      </c>
      <c r="G61" s="831">
        <v>939680</v>
      </c>
      <c r="H61" s="831">
        <v>443261</v>
      </c>
      <c r="I61" s="19"/>
    </row>
    <row r="62" spans="1:9" s="827" customFormat="1">
      <c r="A62" s="825">
        <f t="shared" si="2"/>
        <v>38</v>
      </c>
      <c r="B62" s="830" t="s">
        <v>152</v>
      </c>
      <c r="C62" s="831">
        <v>7196224</v>
      </c>
      <c r="D62" s="831">
        <v>3052570</v>
      </c>
      <c r="E62" s="831">
        <v>261441404</v>
      </c>
      <c r="F62" s="831">
        <v>166668894</v>
      </c>
      <c r="G62" s="831">
        <v>939680</v>
      </c>
      <c r="H62" s="831">
        <v>448150</v>
      </c>
      <c r="I62" s="19"/>
    </row>
    <row r="63" spans="1:9" s="827" customFormat="1">
      <c r="A63" s="825">
        <f t="shared" si="2"/>
        <v>39</v>
      </c>
      <c r="B63" s="830" t="s">
        <v>153</v>
      </c>
      <c r="C63" s="831">
        <v>7196224</v>
      </c>
      <c r="D63" s="831">
        <v>3078888</v>
      </c>
      <c r="E63" s="831">
        <v>261441404</v>
      </c>
      <c r="F63" s="831">
        <v>167758233</v>
      </c>
      <c r="G63" s="831">
        <v>939680</v>
      </c>
      <c r="H63" s="831">
        <v>453054</v>
      </c>
      <c r="I63" s="19"/>
    </row>
    <row r="64" spans="1:9" s="827" customFormat="1">
      <c r="A64" s="825">
        <f t="shared" si="2"/>
        <v>40</v>
      </c>
      <c r="B64" s="830" t="s">
        <v>154</v>
      </c>
      <c r="C64" s="831">
        <v>7196224</v>
      </c>
      <c r="D64" s="831">
        <v>3105206</v>
      </c>
      <c r="E64" s="831">
        <v>261441404</v>
      </c>
      <c r="F64" s="831">
        <v>168847573</v>
      </c>
      <c r="G64" s="831">
        <v>939680</v>
      </c>
      <c r="H64" s="831">
        <v>457973</v>
      </c>
      <c r="I64" s="19"/>
    </row>
    <row r="65" spans="1:12" s="827" customFormat="1">
      <c r="A65" s="825">
        <f t="shared" si="2"/>
        <v>41</v>
      </c>
      <c r="B65" s="830" t="s">
        <v>263</v>
      </c>
      <c r="C65" s="831">
        <v>7196224</v>
      </c>
      <c r="D65" s="831">
        <v>3131524</v>
      </c>
      <c r="E65" s="831">
        <v>261441404</v>
      </c>
      <c r="F65" s="831">
        <v>169936912</v>
      </c>
      <c r="G65" s="831">
        <v>939680</v>
      </c>
      <c r="H65" s="831">
        <v>460506</v>
      </c>
      <c r="I65" s="19"/>
    </row>
    <row r="66" spans="1:12" s="827" customFormat="1" ht="13.8" thickBot="1">
      <c r="A66" s="825">
        <f t="shared" si="2"/>
        <v>42</v>
      </c>
      <c r="B66" s="830" t="s">
        <v>264</v>
      </c>
      <c r="C66" s="832">
        <f>SUM(C53:C65)/13</f>
        <v>7196224</v>
      </c>
      <c r="D66" s="832">
        <f t="shared" ref="D66:I66" si="3">SUM(D53:D65)/13</f>
        <v>2973616</v>
      </c>
      <c r="E66" s="832">
        <f t="shared" si="3"/>
        <v>261441404</v>
      </c>
      <c r="F66" s="832">
        <f t="shared" si="3"/>
        <v>163400876.76923078</v>
      </c>
      <c r="G66" s="832">
        <f t="shared" si="3"/>
        <v>1004813.8461538461</v>
      </c>
      <c r="H66" s="832">
        <f t="shared" si="3"/>
        <v>478067.69230769231</v>
      </c>
      <c r="I66" s="832">
        <f t="shared" si="3"/>
        <v>0</v>
      </c>
    </row>
    <row r="67" spans="1:12" ht="13.8" thickTop="1">
      <c r="A67" s="5"/>
      <c r="B67" s="3"/>
      <c r="C67" s="22"/>
      <c r="D67" s="23"/>
      <c r="E67" s="23"/>
      <c r="F67" s="23"/>
      <c r="G67" s="22"/>
      <c r="H67" s="22"/>
      <c r="I67" s="22"/>
    </row>
    <row r="68" spans="1:12">
      <c r="C68" s="3"/>
      <c r="E68" s="413" t="str">
        <f>E1</f>
        <v>Worksheet A4</v>
      </c>
      <c r="F68" s="3"/>
      <c r="H68" s="3"/>
      <c r="I68" s="3"/>
      <c r="J68" s="3"/>
    </row>
    <row r="69" spans="1:12">
      <c r="A69" s="5"/>
      <c r="C69" s="3"/>
      <c r="D69" s="3"/>
      <c r="E69" s="13" t="str">
        <f>E2</f>
        <v>Rate Base Worksheet</v>
      </c>
      <c r="F69" s="3"/>
      <c r="H69" s="3"/>
      <c r="I69" s="3"/>
      <c r="J69" s="3"/>
      <c r="L69" s="6"/>
    </row>
    <row r="70" spans="1:12">
      <c r="A70" s="5"/>
      <c r="C70" s="3"/>
      <c r="E70" s="214" t="str">
        <f>E3</f>
        <v>Black Hills Colorado Electric, LLC</v>
      </c>
      <c r="F70" s="3"/>
      <c r="H70" s="3"/>
      <c r="I70" s="174" t="s">
        <v>721</v>
      </c>
      <c r="J70" s="3"/>
    </row>
    <row r="71" spans="1:12">
      <c r="A71" s="5"/>
      <c r="B71" s="3"/>
      <c r="C71" s="22"/>
      <c r="D71" s="23"/>
      <c r="E71" s="23"/>
      <c r="F71" s="23"/>
      <c r="G71" s="22"/>
      <c r="H71" s="22"/>
      <c r="I71" s="22"/>
    </row>
    <row r="72" spans="1:12">
      <c r="A72" s="5"/>
      <c r="B72" s="24"/>
      <c r="C72" s="947" t="s">
        <v>699</v>
      </c>
      <c r="D72" s="948"/>
      <c r="E72" s="948"/>
      <c r="F72" s="948"/>
      <c r="G72" s="948"/>
      <c r="H72" s="948"/>
      <c r="I72" s="949"/>
    </row>
    <row r="73" spans="1:12" ht="102" customHeight="1">
      <c r="A73" s="5" t="s">
        <v>252</v>
      </c>
      <c r="B73" s="13" t="s">
        <v>219</v>
      </c>
      <c r="C73" s="14" t="s">
        <v>265</v>
      </c>
      <c r="D73" s="14" t="s">
        <v>266</v>
      </c>
      <c r="E73" s="14" t="s">
        <v>267</v>
      </c>
      <c r="F73" s="14" t="s">
        <v>268</v>
      </c>
      <c r="G73" s="14" t="s">
        <v>269</v>
      </c>
      <c r="H73" s="14" t="s">
        <v>270</v>
      </c>
      <c r="I73" s="14" t="s">
        <v>793</v>
      </c>
    </row>
    <row r="74" spans="1:12" s="16" customFormat="1">
      <c r="A74" s="5"/>
      <c r="B74" s="13" t="s">
        <v>138</v>
      </c>
      <c r="C74" s="14" t="s">
        <v>139</v>
      </c>
      <c r="D74" s="14" t="s">
        <v>140</v>
      </c>
      <c r="E74" s="14" t="s">
        <v>141</v>
      </c>
      <c r="F74" s="14" t="s">
        <v>142</v>
      </c>
      <c r="G74" s="14" t="s">
        <v>143</v>
      </c>
      <c r="H74" s="14" t="s">
        <v>144</v>
      </c>
      <c r="I74" s="14" t="s">
        <v>145</v>
      </c>
    </row>
    <row r="75" spans="1:12" s="16" customFormat="1" ht="57" customHeight="1">
      <c r="A75" s="5"/>
      <c r="B75" s="17" t="s">
        <v>259</v>
      </c>
      <c r="C75" s="10" t="s">
        <v>271</v>
      </c>
      <c r="D75" s="14" t="s">
        <v>747</v>
      </c>
      <c r="E75" s="14" t="s">
        <v>796</v>
      </c>
      <c r="F75" s="14" t="s">
        <v>796</v>
      </c>
      <c r="G75" s="14" t="s">
        <v>796</v>
      </c>
      <c r="H75" s="14" t="s">
        <v>796</v>
      </c>
      <c r="I75" s="14">
        <v>111.57</v>
      </c>
    </row>
    <row r="76" spans="1:12">
      <c r="A76" s="5">
        <v>1</v>
      </c>
      <c r="B76" s="18" t="s">
        <v>260</v>
      </c>
      <c r="C76" s="19">
        <v>0</v>
      </c>
      <c r="D76" s="19">
        <v>0</v>
      </c>
      <c r="E76" s="160">
        <f>'A3-ADIT'!D12</f>
        <v>0</v>
      </c>
      <c r="F76" s="160">
        <f>'A3-ADIT'!D13</f>
        <v>-137999967</v>
      </c>
      <c r="G76" s="160">
        <f>'A3-ADIT'!D14</f>
        <v>-61775900</v>
      </c>
      <c r="H76" s="160">
        <f>'A3-ADIT'!D15</f>
        <v>75736193</v>
      </c>
      <c r="I76" s="19">
        <v>1201186</v>
      </c>
    </row>
    <row r="77" spans="1:12">
      <c r="A77" s="5">
        <v>2</v>
      </c>
      <c r="B77" s="18" t="s">
        <v>146</v>
      </c>
      <c r="C77" s="19">
        <v>0</v>
      </c>
      <c r="D77" s="19">
        <v>0</v>
      </c>
      <c r="E77" s="25"/>
      <c r="F77" s="25"/>
      <c r="G77" s="25"/>
      <c r="H77" s="25"/>
      <c r="I77" s="19">
        <v>1662687</v>
      </c>
    </row>
    <row r="78" spans="1:12">
      <c r="A78" s="5">
        <v>3</v>
      </c>
      <c r="B78" s="3" t="s">
        <v>147</v>
      </c>
      <c r="C78" s="19">
        <v>0</v>
      </c>
      <c r="D78" s="19">
        <v>0</v>
      </c>
      <c r="E78" s="25"/>
      <c r="F78" s="25"/>
      <c r="G78" s="25"/>
      <c r="H78" s="25"/>
      <c r="I78" s="19">
        <v>1405404</v>
      </c>
    </row>
    <row r="79" spans="1:12">
      <c r="A79" s="5">
        <v>4</v>
      </c>
      <c r="B79" s="3" t="s">
        <v>261</v>
      </c>
      <c r="C79" s="19">
        <v>0</v>
      </c>
      <c r="D79" s="19">
        <v>0</v>
      </c>
      <c r="E79" s="25"/>
      <c r="F79" s="25"/>
      <c r="G79" s="25"/>
      <c r="H79" s="25"/>
      <c r="I79" s="19">
        <v>1496323</v>
      </c>
    </row>
    <row r="80" spans="1:12">
      <c r="A80" s="5">
        <v>5</v>
      </c>
      <c r="B80" s="3" t="s">
        <v>148</v>
      </c>
      <c r="C80" s="19">
        <v>0</v>
      </c>
      <c r="D80" s="19">
        <v>0</v>
      </c>
      <c r="E80" s="25"/>
      <c r="F80" s="25"/>
      <c r="G80" s="25"/>
      <c r="H80" s="25"/>
      <c r="I80" s="19">
        <v>1622755</v>
      </c>
    </row>
    <row r="81" spans="1:12">
      <c r="A81" s="5">
        <v>6</v>
      </c>
      <c r="B81" s="3" t="s">
        <v>149</v>
      </c>
      <c r="C81" s="19">
        <v>0</v>
      </c>
      <c r="D81" s="19">
        <v>0</v>
      </c>
      <c r="E81" s="25"/>
      <c r="F81" s="25"/>
      <c r="G81" s="25"/>
      <c r="H81" s="25"/>
      <c r="I81" s="19">
        <v>1385050</v>
      </c>
    </row>
    <row r="82" spans="1:12">
      <c r="A82" s="5">
        <v>7</v>
      </c>
      <c r="B82" s="3" t="s">
        <v>150</v>
      </c>
      <c r="C82" s="19">
        <v>0</v>
      </c>
      <c r="D82" s="19">
        <v>0</v>
      </c>
      <c r="E82" s="25"/>
      <c r="F82" s="25"/>
      <c r="G82" s="25"/>
      <c r="H82" s="25"/>
      <c r="I82" s="19">
        <v>658454</v>
      </c>
    </row>
    <row r="83" spans="1:12">
      <c r="A83" s="5">
        <v>8</v>
      </c>
      <c r="B83" s="3" t="s">
        <v>151</v>
      </c>
      <c r="C83" s="19">
        <v>0</v>
      </c>
      <c r="D83" s="19">
        <v>0</v>
      </c>
      <c r="E83" s="25"/>
      <c r="F83" s="25"/>
      <c r="G83" s="25"/>
      <c r="H83" s="25"/>
      <c r="I83" s="19">
        <v>1129114</v>
      </c>
    </row>
    <row r="84" spans="1:12">
      <c r="A84" s="5">
        <v>9</v>
      </c>
      <c r="B84" s="3" t="s">
        <v>262</v>
      </c>
      <c r="C84" s="19">
        <v>0</v>
      </c>
      <c r="D84" s="19">
        <v>0</v>
      </c>
      <c r="E84" s="25"/>
      <c r="F84" s="25"/>
      <c r="G84" s="25"/>
      <c r="H84" s="25"/>
      <c r="I84" s="19">
        <v>927647</v>
      </c>
    </row>
    <row r="85" spans="1:12">
      <c r="A85" s="5">
        <v>10</v>
      </c>
      <c r="B85" s="3" t="s">
        <v>152</v>
      </c>
      <c r="C85" s="19">
        <v>0</v>
      </c>
      <c r="D85" s="19">
        <v>0</v>
      </c>
      <c r="E85" s="25"/>
      <c r="F85" s="25"/>
      <c r="G85" s="25"/>
      <c r="H85" s="25"/>
      <c r="I85" s="19">
        <v>741593</v>
      </c>
    </row>
    <row r="86" spans="1:12">
      <c r="A86" s="5">
        <v>11</v>
      </c>
      <c r="B86" s="3" t="s">
        <v>153</v>
      </c>
      <c r="C86" s="19">
        <v>0</v>
      </c>
      <c r="D86" s="19">
        <v>0</v>
      </c>
      <c r="E86" s="25"/>
      <c r="F86" s="25"/>
      <c r="G86" s="25"/>
      <c r="H86" s="25"/>
      <c r="I86" s="19">
        <v>1739325</v>
      </c>
    </row>
    <row r="87" spans="1:12">
      <c r="A87" s="5">
        <v>12</v>
      </c>
      <c r="B87" s="3" t="s">
        <v>154</v>
      </c>
      <c r="C87" s="19">
        <v>0</v>
      </c>
      <c r="D87" s="19">
        <v>0</v>
      </c>
      <c r="E87" s="25"/>
      <c r="F87" s="25"/>
      <c r="G87" s="25"/>
      <c r="H87" s="25"/>
      <c r="I87" s="19">
        <v>1636387</v>
      </c>
    </row>
    <row r="88" spans="1:12">
      <c r="A88" s="5">
        <v>13</v>
      </c>
      <c r="B88" s="3" t="s">
        <v>263</v>
      </c>
      <c r="C88" s="19">
        <v>0</v>
      </c>
      <c r="D88" s="19">
        <v>0</v>
      </c>
      <c r="E88" s="160">
        <f>'A3-ADIT'!E12</f>
        <v>0</v>
      </c>
      <c r="F88" s="160">
        <f>'A3-ADIT'!E13</f>
        <v>-142243027</v>
      </c>
      <c r="G88" s="160">
        <f>'A3-ADIT'!E14</f>
        <v>-59213144</v>
      </c>
      <c r="H88" s="160">
        <f>'A3-ADIT'!E15</f>
        <v>76686825</v>
      </c>
      <c r="I88" s="19">
        <v>1693885</v>
      </c>
    </row>
    <row r="89" spans="1:12" ht="13.8" thickBot="1">
      <c r="A89" s="5">
        <v>14</v>
      </c>
      <c r="B89" s="17" t="s">
        <v>272</v>
      </c>
      <c r="C89" s="21">
        <f>SUM(C76:C88)/13</f>
        <v>0</v>
      </c>
      <c r="D89" s="26">
        <f>SUM(D76:D88)/13</f>
        <v>0</v>
      </c>
      <c r="E89" s="401">
        <f>'A3-ADIT'!F12</f>
        <v>0</v>
      </c>
      <c r="F89" s="401">
        <f>'A3-ADIT'!F13</f>
        <v>-140121497</v>
      </c>
      <c r="G89" s="401">
        <f>'A3-ADIT'!F14</f>
        <v>-60494522</v>
      </c>
      <c r="H89" s="401">
        <f>'A3-ADIT'!F15</f>
        <v>76211509</v>
      </c>
      <c r="I89" s="616">
        <f t="shared" ref="I89" si="4">SUM(I76:I88)/13</f>
        <v>1330754.6153846155</v>
      </c>
    </row>
    <row r="90" spans="1:12" ht="13.8" thickTop="1">
      <c r="A90" s="5">
        <v>15</v>
      </c>
      <c r="B90" s="3" t="s">
        <v>780</v>
      </c>
      <c r="E90" s="27"/>
      <c r="F90" s="27"/>
      <c r="G90" s="27"/>
      <c r="H90" s="27"/>
      <c r="I90" s="23"/>
    </row>
    <row r="91" spans="1:12" s="16" customFormat="1">
      <c r="A91" s="5"/>
      <c r="B91" s="28"/>
      <c r="C91" s="29"/>
      <c r="D91" s="29"/>
      <c r="E91" s="29"/>
      <c r="F91" s="29"/>
      <c r="G91" s="29"/>
      <c r="H91" s="2"/>
      <c r="I91" s="2"/>
      <c r="J91" s="2"/>
    </row>
    <row r="92" spans="1:12" s="16" customFormat="1">
      <c r="A92" s="5"/>
      <c r="B92" s="28"/>
      <c r="C92" s="29"/>
      <c r="D92" s="29"/>
      <c r="E92" s="29"/>
      <c r="F92" s="29"/>
      <c r="G92" s="29"/>
      <c r="H92" s="2"/>
      <c r="I92" s="2"/>
      <c r="J92" s="2"/>
      <c r="K92" s="2"/>
      <c r="L92" s="2"/>
    </row>
    <row r="93" spans="1:12" s="16" customFormat="1">
      <c r="A93" s="5"/>
      <c r="B93" s="172" t="s">
        <v>273</v>
      </c>
      <c r="C93" s="29"/>
      <c r="D93" s="29"/>
      <c r="E93" s="29"/>
      <c r="F93" s="29"/>
      <c r="G93" s="29"/>
      <c r="H93" s="2"/>
      <c r="I93" s="2"/>
      <c r="J93" s="2"/>
      <c r="L93" s="2"/>
    </row>
    <row r="94" spans="1:12" s="16" customFormat="1" ht="39.6" customHeight="1">
      <c r="A94" s="5">
        <f>+A89+1</f>
        <v>15</v>
      </c>
      <c r="B94" s="30" t="s">
        <v>274</v>
      </c>
      <c r="C94" s="31"/>
      <c r="D94" s="32" t="s">
        <v>1139</v>
      </c>
      <c r="E94" s="33" t="s">
        <v>1140</v>
      </c>
      <c r="F94" s="33" t="s">
        <v>1141</v>
      </c>
      <c r="G94" s="30"/>
      <c r="H94" s="30"/>
      <c r="I94" s="30"/>
    </row>
    <row r="95" spans="1:12" s="16" customFormat="1">
      <c r="A95" s="5">
        <v>16</v>
      </c>
      <c r="B95" s="30" t="s">
        <v>1130</v>
      </c>
      <c r="C95" s="30"/>
      <c r="D95" s="19">
        <v>-501722</v>
      </c>
      <c r="E95" s="887">
        <f>'Act Att-H'!G48</f>
        <v>0.1248254792149225</v>
      </c>
      <c r="F95" s="34">
        <f>D95*E95</f>
        <v>-62627.689082669349</v>
      </c>
      <c r="G95" s="2"/>
      <c r="H95" s="2"/>
      <c r="I95" s="2"/>
    </row>
    <row r="96" spans="1:12" s="16" customFormat="1">
      <c r="A96" s="5">
        <v>17</v>
      </c>
      <c r="B96" s="30" t="s">
        <v>1131</v>
      </c>
      <c r="C96" s="30"/>
      <c r="D96" s="19">
        <v>-146341.07692307694</v>
      </c>
      <c r="E96" s="887">
        <f>E95</f>
        <v>0.1248254792149225</v>
      </c>
      <c r="F96" s="34">
        <f t="shared" ref="F96:F103" si="5">D96*E96</f>
        <v>-18267.095055750913</v>
      </c>
      <c r="G96" s="2"/>
      <c r="H96" s="2"/>
      <c r="I96" s="2"/>
    </row>
    <row r="97" spans="1:12" s="16" customFormat="1">
      <c r="A97" s="5">
        <v>18</v>
      </c>
      <c r="B97" s="30" t="s">
        <v>1132</v>
      </c>
      <c r="C97" s="30"/>
      <c r="D97" s="19">
        <v>-2077845.1538461538</v>
      </c>
      <c r="E97" s="887">
        <f t="shared" ref="E97:E103" si="6">E96</f>
        <v>0.1248254792149225</v>
      </c>
      <c r="F97" s="34">
        <f t="shared" si="5"/>
        <v>-259368.0170632505</v>
      </c>
      <c r="G97" s="2"/>
      <c r="H97" s="2"/>
      <c r="I97" s="2"/>
    </row>
    <row r="98" spans="1:12" s="16" customFormat="1">
      <c r="A98" s="5">
        <v>19</v>
      </c>
      <c r="B98" s="30" t="s">
        <v>1133</v>
      </c>
      <c r="C98" s="30"/>
      <c r="D98" s="19">
        <v>-2859817.230769231</v>
      </c>
      <c r="E98" s="887">
        <f t="shared" si="6"/>
        <v>0.1248254792149225</v>
      </c>
      <c r="F98" s="34">
        <f t="shared" si="5"/>
        <v>-356978.05629786185</v>
      </c>
      <c r="G98" s="2"/>
      <c r="H98" s="2"/>
      <c r="I98" s="2"/>
    </row>
    <row r="99" spans="1:12" s="16" customFormat="1">
      <c r="A99" s="5">
        <v>20</v>
      </c>
      <c r="B99" s="30" t="s">
        <v>1134</v>
      </c>
      <c r="C99" s="30"/>
      <c r="D99" s="19">
        <v>-618134.84615384613</v>
      </c>
      <c r="E99" s="887">
        <f t="shared" si="6"/>
        <v>0.1248254792149225</v>
      </c>
      <c r="F99" s="34">
        <f t="shared" si="5"/>
        <v>-77158.978390596239</v>
      </c>
      <c r="G99" s="2"/>
      <c r="H99" s="2"/>
      <c r="I99" s="2"/>
    </row>
    <row r="100" spans="1:12" s="16" customFormat="1">
      <c r="A100" s="5">
        <v>21</v>
      </c>
      <c r="B100" s="30" t="s">
        <v>1135</v>
      </c>
      <c r="C100" s="30"/>
      <c r="D100" s="19">
        <v>-286692.30769230769</v>
      </c>
      <c r="E100" s="887">
        <f t="shared" si="6"/>
        <v>0.1248254792149225</v>
      </c>
      <c r="F100" s="34">
        <f t="shared" si="5"/>
        <v>-35786.504694924319</v>
      </c>
      <c r="G100" s="2"/>
      <c r="H100" s="2"/>
      <c r="I100" s="2"/>
    </row>
    <row r="101" spans="1:12" s="16" customFormat="1">
      <c r="A101" s="5">
        <v>22</v>
      </c>
      <c r="B101" s="30" t="s">
        <v>1136</v>
      </c>
      <c r="C101" s="30"/>
      <c r="D101" s="19">
        <v>256</v>
      </c>
      <c r="E101" s="887">
        <f t="shared" si="6"/>
        <v>0.1248254792149225</v>
      </c>
      <c r="F101" s="34">
        <f t="shared" si="5"/>
        <v>31.95532267902016</v>
      </c>
      <c r="G101" s="2"/>
      <c r="H101" s="2"/>
      <c r="I101" s="2"/>
    </row>
    <row r="102" spans="1:12" s="16" customFormat="1">
      <c r="A102" s="5">
        <v>23</v>
      </c>
      <c r="B102" s="30" t="s">
        <v>1137</v>
      </c>
      <c r="C102" s="30"/>
      <c r="D102" s="19">
        <v>-576570.4615384615</v>
      </c>
      <c r="E102" s="887">
        <f t="shared" si="6"/>
        <v>0.1248254792149225</v>
      </c>
      <c r="F102" s="34">
        <f t="shared" si="5"/>
        <v>-71970.684162707505</v>
      </c>
      <c r="G102" s="2"/>
      <c r="H102" s="2"/>
      <c r="I102" s="2"/>
    </row>
    <row r="103" spans="1:12" s="16" customFormat="1">
      <c r="A103" s="5">
        <v>24</v>
      </c>
      <c r="B103" s="30" t="s">
        <v>1138</v>
      </c>
      <c r="C103" s="30"/>
      <c r="D103" s="19">
        <v>0</v>
      </c>
      <c r="E103" s="887">
        <f t="shared" si="6"/>
        <v>0.1248254792149225</v>
      </c>
      <c r="F103" s="34">
        <f t="shared" si="5"/>
        <v>0</v>
      </c>
      <c r="G103" s="2"/>
      <c r="H103" s="2"/>
      <c r="I103" s="2"/>
    </row>
    <row r="104" spans="1:12" s="16" customFormat="1">
      <c r="A104" s="5">
        <v>25</v>
      </c>
      <c r="B104" s="427"/>
      <c r="C104" s="857" t="s">
        <v>9</v>
      </c>
      <c r="D104" s="208">
        <f>SUM(D95:D103)</f>
        <v>-7066867.0769230779</v>
      </c>
      <c r="E104" s="208">
        <f>SUM(E95:E103)</f>
        <v>1.1234293129343025</v>
      </c>
      <c r="F104" s="858">
        <f>SUM(F95:F103)</f>
        <v>-882125.06942508172</v>
      </c>
      <c r="G104" s="2"/>
      <c r="H104" s="2"/>
    </row>
    <row r="105" spans="1:12">
      <c r="C105" s="3"/>
      <c r="E105" s="413" t="str">
        <f>E1</f>
        <v>Worksheet A4</v>
      </c>
      <c r="F105" s="3"/>
      <c r="H105" s="3"/>
      <c r="I105" s="3"/>
      <c r="J105" s="3"/>
    </row>
    <row r="106" spans="1:12">
      <c r="A106" s="5"/>
      <c r="C106" s="3"/>
      <c r="D106" s="3"/>
      <c r="E106" s="413" t="str">
        <f>E2</f>
        <v>Rate Base Worksheet</v>
      </c>
      <c r="F106" s="3"/>
      <c r="H106" s="3"/>
      <c r="I106" s="3"/>
      <c r="J106" s="3"/>
      <c r="L106" s="6"/>
    </row>
    <row r="107" spans="1:12" ht="15">
      <c r="A107" s="5"/>
      <c r="C107" s="3"/>
      <c r="E107" s="413" t="str">
        <f>E3</f>
        <v>Black Hills Colorado Electric, LLC</v>
      </c>
      <c r="F107" s="3"/>
      <c r="H107"/>
      <c r="I107" s="174" t="s">
        <v>710</v>
      </c>
      <c r="J107" s="3"/>
    </row>
    <row r="108" spans="1:12" ht="15">
      <c r="A108" s="5"/>
      <c r="B108" s="3"/>
      <c r="C108" s="22"/>
      <c r="D108" s="23"/>
      <c r="E108" s="23"/>
      <c r="F108" s="23"/>
      <c r="H108"/>
      <c r="I108" s="22"/>
    </row>
    <row r="109" spans="1:12" ht="15">
      <c r="A109" s="5"/>
      <c r="B109" s="24"/>
      <c r="C109" s="947" t="s">
        <v>711</v>
      </c>
      <c r="D109" s="948"/>
      <c r="E109" s="948"/>
      <c r="F109" s="948"/>
      <c r="H109"/>
      <c r="I109" s="22"/>
    </row>
    <row r="110" spans="1:12" ht="58.5" customHeight="1">
      <c r="A110" s="5" t="s">
        <v>252</v>
      </c>
      <c r="B110" s="13" t="s">
        <v>219</v>
      </c>
      <c r="C110" s="14" t="s">
        <v>713</v>
      </c>
      <c r="D110" s="14" t="s">
        <v>714</v>
      </c>
      <c r="E110" s="14" t="s">
        <v>715</v>
      </c>
      <c r="F110" s="14" t="s">
        <v>258</v>
      </c>
      <c r="H110"/>
      <c r="I110" s="562"/>
    </row>
    <row r="111" spans="1:12" s="16" customFormat="1" ht="15">
      <c r="A111" s="5"/>
      <c r="B111" s="13" t="s">
        <v>138</v>
      </c>
      <c r="C111" s="14" t="s">
        <v>139</v>
      </c>
      <c r="D111" s="14" t="s">
        <v>140</v>
      </c>
      <c r="E111" s="14" t="s">
        <v>141</v>
      </c>
      <c r="F111" s="14" t="s">
        <v>142</v>
      </c>
      <c r="G111" s="2"/>
      <c r="H111"/>
      <c r="I111" s="316"/>
    </row>
    <row r="112" spans="1:12" s="16" customFormat="1" ht="30.75" customHeight="1">
      <c r="A112" s="5"/>
      <c r="B112" s="17" t="s">
        <v>259</v>
      </c>
      <c r="C112" s="13" t="s">
        <v>716</v>
      </c>
      <c r="D112" s="13" t="s">
        <v>717</v>
      </c>
      <c r="E112" s="13" t="s">
        <v>718</v>
      </c>
      <c r="F112" s="13" t="s">
        <v>719</v>
      </c>
      <c r="G112" s="2"/>
      <c r="H112"/>
      <c r="I112" s="10"/>
    </row>
    <row r="113" spans="1:9" ht="15">
      <c r="A113" s="5">
        <v>1</v>
      </c>
      <c r="B113" s="18" t="s">
        <v>260</v>
      </c>
      <c r="C113" s="19">
        <v>12155</v>
      </c>
      <c r="D113" s="19">
        <v>980698.62</v>
      </c>
      <c r="E113" s="19">
        <v>6051996</v>
      </c>
      <c r="F113" s="559">
        <f>SUM(C113:E113)</f>
        <v>7044849.6200000001</v>
      </c>
      <c r="G113" s="14"/>
      <c r="H113"/>
      <c r="I113" s="10"/>
    </row>
    <row r="114" spans="1:9" ht="15">
      <c r="A114" s="5">
        <v>2</v>
      </c>
      <c r="B114" s="18" t="s">
        <v>146</v>
      </c>
      <c r="C114" s="19">
        <v>507.052266876521</v>
      </c>
      <c r="D114" s="19">
        <v>812957</v>
      </c>
      <c r="E114" s="19">
        <v>5935280.5107393628</v>
      </c>
      <c r="F114" s="559">
        <f t="shared" ref="F114:F125" si="7">SUM(C114:E114)</f>
        <v>6748744.563006239</v>
      </c>
      <c r="G114" s="14"/>
      <c r="H114"/>
      <c r="I114" s="10"/>
    </row>
    <row r="115" spans="1:9" ht="15">
      <c r="A115" s="5">
        <v>3</v>
      </c>
      <c r="B115" s="3" t="s">
        <v>147</v>
      </c>
      <c r="C115" s="19">
        <v>497.60272741437461</v>
      </c>
      <c r="D115" s="19">
        <v>570234</v>
      </c>
      <c r="E115" s="19">
        <v>5824669.2955472246</v>
      </c>
      <c r="F115" s="559">
        <f t="shared" si="7"/>
        <v>6395400.8982746387</v>
      </c>
      <c r="G115" s="14"/>
      <c r="H115"/>
      <c r="I115" s="10"/>
    </row>
    <row r="116" spans="1:9" ht="15">
      <c r="A116" s="5">
        <v>4</v>
      </c>
      <c r="B116" s="3" t="s">
        <v>261</v>
      </c>
      <c r="C116" s="19">
        <v>492.5074868718055</v>
      </c>
      <c r="D116" s="19">
        <v>370273</v>
      </c>
      <c r="E116" s="19">
        <v>5765027.1563331932</v>
      </c>
      <c r="F116" s="559">
        <f t="shared" si="7"/>
        <v>6135792.6638200646</v>
      </c>
      <c r="G116" s="14"/>
      <c r="H116"/>
      <c r="I116" s="10"/>
    </row>
    <row r="117" spans="1:9" ht="15">
      <c r="A117" s="5">
        <v>5</v>
      </c>
      <c r="B117" s="3" t="s">
        <v>148</v>
      </c>
      <c r="C117" s="19">
        <v>485.66671597282829</v>
      </c>
      <c r="D117" s="19">
        <v>497867</v>
      </c>
      <c r="E117" s="19">
        <v>5684952.7796910321</v>
      </c>
      <c r="F117" s="559">
        <f t="shared" si="7"/>
        <v>6183305.4464070052</v>
      </c>
      <c r="G117" s="14"/>
      <c r="H117"/>
      <c r="I117" s="10"/>
    </row>
    <row r="118" spans="1:9" ht="15">
      <c r="A118" s="5">
        <v>6</v>
      </c>
      <c r="B118" s="3" t="s">
        <v>149</v>
      </c>
      <c r="C118" s="19">
        <v>519.27395232700485</v>
      </c>
      <c r="D118" s="19">
        <v>515790</v>
      </c>
      <c r="E118" s="19">
        <v>6078340.9725522837</v>
      </c>
      <c r="F118" s="559">
        <f t="shared" si="7"/>
        <v>6594650.2465046104</v>
      </c>
      <c r="G118" s="14"/>
      <c r="H118"/>
      <c r="I118" s="10"/>
    </row>
    <row r="119" spans="1:9" ht="15">
      <c r="A119" s="5">
        <v>7</v>
      </c>
      <c r="B119" s="3" t="s">
        <v>150</v>
      </c>
      <c r="C119" s="19">
        <v>513.71105685526675</v>
      </c>
      <c r="D119" s="19">
        <v>555869</v>
      </c>
      <c r="E119" s="19">
        <v>6013224.7168256762</v>
      </c>
      <c r="F119" s="559">
        <f t="shared" si="7"/>
        <v>6569607.4278825317</v>
      </c>
      <c r="G119" s="14"/>
      <c r="H119"/>
      <c r="I119" s="10"/>
    </row>
    <row r="120" spans="1:9" ht="15">
      <c r="A120" s="5">
        <v>8</v>
      </c>
      <c r="B120" s="3" t="s">
        <v>151</v>
      </c>
      <c r="C120" s="19">
        <v>517.80819511306152</v>
      </c>
      <c r="D120" s="19">
        <v>635178</v>
      </c>
      <c r="E120" s="19">
        <v>6061183.6087187994</v>
      </c>
      <c r="F120" s="559">
        <f t="shared" si="7"/>
        <v>6696879.4169139126</v>
      </c>
      <c r="G120" s="14"/>
      <c r="H120"/>
      <c r="I120" s="10"/>
    </row>
    <row r="121" spans="1:9" ht="15">
      <c r="A121" s="5">
        <v>9</v>
      </c>
      <c r="B121" s="3" t="s">
        <v>262</v>
      </c>
      <c r="C121" s="19">
        <v>529.33871342492387</v>
      </c>
      <c r="D121" s="19">
        <v>723937</v>
      </c>
      <c r="E121" s="19">
        <v>6196153.6405790169</v>
      </c>
      <c r="F121" s="559">
        <f t="shared" si="7"/>
        <v>6920619.9792924421</v>
      </c>
      <c r="G121" s="14"/>
      <c r="H121"/>
      <c r="I121" s="10"/>
    </row>
    <row r="122" spans="1:9" ht="15">
      <c r="A122" s="5">
        <v>10</v>
      </c>
      <c r="B122" s="3" t="s">
        <v>152</v>
      </c>
      <c r="C122" s="19">
        <v>531.8381132568253</v>
      </c>
      <c r="D122" s="19">
        <v>810732</v>
      </c>
      <c r="E122" s="19">
        <v>6225410.267715727</v>
      </c>
      <c r="F122" s="559">
        <f t="shared" si="7"/>
        <v>7036674.1058289837</v>
      </c>
      <c r="G122" s="14"/>
      <c r="H122"/>
      <c r="I122" s="10"/>
    </row>
    <row r="123" spans="1:9" ht="15">
      <c r="A123" s="5">
        <v>11</v>
      </c>
      <c r="B123" s="3" t="s">
        <v>153</v>
      </c>
      <c r="C123" s="19">
        <v>519.85246246525548</v>
      </c>
      <c r="D123" s="19">
        <v>910964</v>
      </c>
      <c r="E123" s="19">
        <v>6085112.7003861321</v>
      </c>
      <c r="F123" s="559">
        <f t="shared" si="7"/>
        <v>6996596.5528485971</v>
      </c>
      <c r="G123" s="14"/>
      <c r="H123"/>
      <c r="I123" s="10"/>
    </row>
    <row r="124" spans="1:9" ht="15">
      <c r="A124" s="5">
        <v>12</v>
      </c>
      <c r="B124" s="3" t="s">
        <v>154</v>
      </c>
      <c r="C124" s="19">
        <v>543.78178231135166</v>
      </c>
      <c r="D124" s="19">
        <v>972725</v>
      </c>
      <c r="E124" s="660">
        <v>6365216.4194616452</v>
      </c>
      <c r="F124" s="559">
        <f t="shared" si="7"/>
        <v>7338485.2012439566</v>
      </c>
      <c r="G124" s="14"/>
      <c r="H124"/>
      <c r="I124" s="10"/>
    </row>
    <row r="125" spans="1:9" ht="15">
      <c r="A125" s="5">
        <v>13</v>
      </c>
      <c r="B125" s="3" t="s">
        <v>263</v>
      </c>
      <c r="C125" s="19">
        <v>525</v>
      </c>
      <c r="D125" s="19">
        <v>713582</v>
      </c>
      <c r="E125" s="19">
        <v>6145367</v>
      </c>
      <c r="F125" s="559">
        <f t="shared" si="7"/>
        <v>6859474</v>
      </c>
      <c r="G125" s="14"/>
      <c r="H125"/>
      <c r="I125" s="10"/>
    </row>
    <row r="126" spans="1:9" ht="15">
      <c r="A126" s="5">
        <v>14</v>
      </c>
      <c r="B126" s="17" t="s">
        <v>272</v>
      </c>
      <c r="C126" s="558">
        <f>SUM(C113:C125)/13</f>
        <v>1410.648728683786</v>
      </c>
      <c r="D126" s="558">
        <f t="shared" ref="D126:E126" si="8">SUM(D113:D125)/13</f>
        <v>697754.35538461548</v>
      </c>
      <c r="E126" s="558">
        <f t="shared" si="8"/>
        <v>6033225.7745038532</v>
      </c>
      <c r="F126" s="558">
        <f>SUM(F113:F125)/13</f>
        <v>6732390.778617152</v>
      </c>
      <c r="G126" s="14"/>
      <c r="H126"/>
      <c r="I126"/>
    </row>
    <row r="127" spans="1:9" ht="15">
      <c r="A127" s="5">
        <v>15</v>
      </c>
      <c r="B127" s="17" t="s">
        <v>10</v>
      </c>
      <c r="C127" s="556" t="s">
        <v>11</v>
      </c>
      <c r="D127" s="556" t="s">
        <v>31</v>
      </c>
      <c r="E127" s="556" t="s">
        <v>27</v>
      </c>
      <c r="F127" s="555"/>
      <c r="G127" s="14"/>
      <c r="H127"/>
      <c r="I127" s="10"/>
    </row>
    <row r="128" spans="1:9" ht="15">
      <c r="A128" s="5">
        <v>16</v>
      </c>
      <c r="B128" s="17" t="s">
        <v>909</v>
      </c>
      <c r="C128" s="557">
        <f>'Act Att-H'!I175</f>
        <v>0.93495713255492408</v>
      </c>
      <c r="D128" s="557">
        <f>'Act Att-H'!I192</f>
        <v>0.1248254792149225</v>
      </c>
      <c r="E128" s="557">
        <v>0</v>
      </c>
      <c r="F128" s="555"/>
      <c r="G128" s="14"/>
      <c r="H128"/>
      <c r="I128" s="10"/>
    </row>
    <row r="129" spans="1:14" ht="15.6" thickBot="1">
      <c r="A129" s="5">
        <v>17</v>
      </c>
      <c r="B129" s="17" t="s">
        <v>712</v>
      </c>
      <c r="C129" s="21">
        <f>C128*C126</f>
        <v>1318.8960904124417</v>
      </c>
      <c r="D129" s="21">
        <f t="shared" ref="D129:E129" si="9">D128*D126</f>
        <v>87097.52178518397</v>
      </c>
      <c r="E129" s="21">
        <f t="shared" si="9"/>
        <v>0</v>
      </c>
      <c r="F129" s="21">
        <f>C129+D129+E129</f>
        <v>88416.417875596409</v>
      </c>
      <c r="G129" s="14"/>
      <c r="H129"/>
      <c r="I129" s="10"/>
    </row>
    <row r="130" spans="1:14" s="16" customFormat="1" ht="15.6" thickTop="1">
      <c r="A130" s="5">
        <v>18</v>
      </c>
      <c r="B130" s="28"/>
      <c r="C130" s="29"/>
      <c r="D130" s="29"/>
      <c r="E130" s="29"/>
      <c r="F130" s="29"/>
      <c r="G130" s="37"/>
      <c r="H130"/>
      <c r="I130" s="2"/>
      <c r="J130" s="2"/>
      <c r="K130" s="2"/>
    </row>
    <row r="131" spans="1:14" s="16" customFormat="1" ht="15">
      <c r="A131" s="5"/>
      <c r="B131" s="28"/>
      <c r="C131" s="29"/>
      <c r="D131" s="29"/>
      <c r="E131" s="29"/>
      <c r="F131" s="29"/>
      <c r="H131"/>
      <c r="I131" s="2"/>
      <c r="J131" s="2"/>
      <c r="K131" s="2"/>
    </row>
    <row r="132" spans="1:14">
      <c r="A132" s="173" t="s">
        <v>172</v>
      </c>
    </row>
    <row r="133" spans="1:14" ht="15" customHeight="1">
      <c r="A133" s="40" t="s">
        <v>76</v>
      </c>
      <c r="B133" s="904" t="s">
        <v>1123</v>
      </c>
      <c r="C133" s="904"/>
      <c r="D133" s="904"/>
      <c r="E133" s="904"/>
      <c r="F133" s="904"/>
      <c r="G133" s="904"/>
      <c r="H133" s="904"/>
      <c r="I133" s="904"/>
      <c r="J133" s="279"/>
      <c r="K133" s="279"/>
    </row>
    <row r="134" spans="1:14" ht="30" customHeight="1">
      <c r="A134" s="40" t="s">
        <v>77</v>
      </c>
      <c r="B134" s="904" t="s">
        <v>1118</v>
      </c>
      <c r="C134" s="904"/>
      <c r="D134" s="904"/>
      <c r="E134" s="904"/>
      <c r="F134" s="904"/>
      <c r="G134" s="904"/>
      <c r="H134" s="904"/>
      <c r="I134" s="904"/>
      <c r="J134" s="279"/>
      <c r="K134" s="279"/>
      <c r="L134" s="6"/>
    </row>
    <row r="135" spans="1:14" ht="58.5" customHeight="1">
      <c r="A135" s="40" t="s">
        <v>78</v>
      </c>
      <c r="B135" s="904" t="s">
        <v>975</v>
      </c>
      <c r="C135" s="904"/>
      <c r="D135" s="904"/>
      <c r="E135" s="904"/>
      <c r="F135" s="904"/>
      <c r="G135" s="904"/>
      <c r="H135" s="904"/>
      <c r="I135" s="904"/>
      <c r="J135" s="38"/>
      <c r="K135" s="38"/>
    </row>
    <row r="136" spans="1:14">
      <c r="A136" s="40" t="s">
        <v>79</v>
      </c>
      <c r="B136" s="904" t="s">
        <v>795</v>
      </c>
      <c r="C136" s="904"/>
      <c r="D136" s="904"/>
      <c r="E136" s="904"/>
      <c r="F136" s="904"/>
      <c r="G136" s="904"/>
      <c r="H136" s="904"/>
      <c r="I136" s="904"/>
    </row>
    <row r="137" spans="1:14" ht="18.75" customHeight="1">
      <c r="A137" s="40" t="s">
        <v>80</v>
      </c>
      <c r="B137" s="943" t="s">
        <v>1123</v>
      </c>
      <c r="C137" s="943"/>
      <c r="D137" s="943"/>
      <c r="E137" s="943"/>
      <c r="F137" s="943"/>
      <c r="G137" s="943"/>
      <c r="H137" s="943"/>
      <c r="I137" s="943"/>
      <c r="J137" s="280"/>
      <c r="K137" s="280"/>
      <c r="L137" s="280"/>
      <c r="M137" s="280"/>
      <c r="N137" s="280"/>
    </row>
    <row r="138" spans="1:14" ht="51.6" customHeight="1">
      <c r="A138" s="40" t="s">
        <v>81</v>
      </c>
      <c r="B138" s="904" t="s">
        <v>1235</v>
      </c>
      <c r="C138" s="904"/>
      <c r="D138" s="904"/>
      <c r="E138" s="904"/>
      <c r="F138" s="904"/>
      <c r="G138" s="904"/>
      <c r="H138" s="904"/>
      <c r="I138" s="904"/>
      <c r="J138" s="280"/>
      <c r="K138" s="280"/>
    </row>
    <row r="139" spans="1:14" ht="33.6" customHeight="1">
      <c r="A139" s="40" t="s">
        <v>82</v>
      </c>
      <c r="B139" s="943" t="s">
        <v>1240</v>
      </c>
      <c r="C139" s="943"/>
      <c r="D139" s="943"/>
      <c r="E139" s="943"/>
      <c r="F139" s="943"/>
      <c r="G139" s="943"/>
      <c r="H139" s="943"/>
      <c r="I139" s="943"/>
      <c r="J139" s="280"/>
      <c r="K139" s="280"/>
      <c r="L139" s="280"/>
      <c r="M139" s="280"/>
      <c r="N139" s="280"/>
    </row>
    <row r="140" spans="1:14" ht="27" customHeight="1">
      <c r="A140" s="40" t="s">
        <v>343</v>
      </c>
      <c r="B140" s="904" t="s">
        <v>990</v>
      </c>
      <c r="C140" s="904"/>
      <c r="D140" s="904"/>
      <c r="E140" s="904"/>
      <c r="F140" s="904"/>
      <c r="G140" s="904"/>
      <c r="H140" s="904"/>
      <c r="I140" s="904"/>
      <c r="J140" s="41"/>
      <c r="K140" s="41"/>
    </row>
    <row r="141" spans="1:14" ht="13.2" customHeight="1">
      <c r="A141" s="40" t="s">
        <v>83</v>
      </c>
      <c r="B141" s="943" t="s">
        <v>1147</v>
      </c>
      <c r="C141" s="943"/>
      <c r="D141" s="943"/>
      <c r="E141" s="943"/>
      <c r="F141" s="943"/>
      <c r="G141" s="943"/>
      <c r="H141" s="943"/>
      <c r="I141" s="943"/>
    </row>
    <row r="142" spans="1:14">
      <c r="A142" s="825" t="s">
        <v>84</v>
      </c>
      <c r="B142" s="826" t="s">
        <v>1004</v>
      </c>
    </row>
    <row r="143" spans="1:14">
      <c r="A143" s="825" t="s">
        <v>85</v>
      </c>
      <c r="B143" s="826" t="s">
        <v>1038</v>
      </c>
    </row>
  </sheetData>
  <mergeCells count="13">
    <mergeCell ref="B141:I141"/>
    <mergeCell ref="C5:G5"/>
    <mergeCell ref="E28:I28"/>
    <mergeCell ref="C72:I72"/>
    <mergeCell ref="B133:I133"/>
    <mergeCell ref="B134:I134"/>
    <mergeCell ref="B138:I138"/>
    <mergeCell ref="B135:I135"/>
    <mergeCell ref="B136:I136"/>
    <mergeCell ref="B137:I137"/>
    <mergeCell ref="C109:F109"/>
    <mergeCell ref="B140:I140"/>
    <mergeCell ref="B139:I139"/>
  </mergeCells>
  <pageMargins left="0.5" right="0.25" top="1" bottom="1" header="0.5" footer="0.5"/>
  <pageSetup scale="58" fitToHeight="4" orientation="portrait" r:id="rId1"/>
  <headerFooter alignWithMargins="0">
    <oddHeader xml:space="preserve">&amp;C&amp;"Times New Roman,Regular"&amp;KFF0000CUI//PRIV&amp;K000000
FOR SETTLEMENT PURPOSES ONLY 
SUBJECT TO RULES 602 AND 606
</oddHeader>
  </headerFooter>
  <rowBreaks count="2" manualBreakCount="2">
    <brk id="67" max="16383" man="1"/>
    <brk id="104" max="16383" man="1"/>
  </rowBreaks>
  <ignoredErrors>
    <ignoredError sqref="I46" formulaRange="1"/>
    <ignoredError sqref="E68 E105:E10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H74"/>
  <sheetViews>
    <sheetView topLeftCell="A2" zoomScale="80" zoomScaleNormal="80" workbookViewId="0">
      <selection activeCell="G41" sqref="G41"/>
    </sheetView>
  </sheetViews>
  <sheetFormatPr defaultColWidth="7.08984375" defaultRowHeight="13.2"/>
  <cols>
    <col min="1" max="1" width="2.08984375" style="190" customWidth="1"/>
    <col min="2" max="2" width="3.54296875" style="190" customWidth="1"/>
    <col min="3" max="4" width="1.6328125" style="190" customWidth="1"/>
    <col min="5" max="5" width="6.453125" style="190" customWidth="1"/>
    <col min="6" max="6" width="52.54296875" style="190" customWidth="1"/>
    <col min="7" max="7" width="1.6328125" style="190" customWidth="1"/>
    <col min="8" max="8" width="8.1796875" style="281"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8" ht="14.25" customHeight="1">
      <c r="A1" s="925" t="s">
        <v>415</v>
      </c>
      <c r="B1" s="925"/>
      <c r="C1" s="925"/>
      <c r="D1" s="925"/>
      <c r="E1" s="925"/>
      <c r="F1" s="925"/>
      <c r="G1" s="925"/>
      <c r="H1" s="925"/>
    </row>
    <row r="2" spans="1:8">
      <c r="A2" s="925" t="s">
        <v>135</v>
      </c>
      <c r="B2" s="925"/>
      <c r="C2" s="925"/>
      <c r="D2" s="925"/>
      <c r="E2" s="925"/>
      <c r="F2" s="925"/>
      <c r="G2" s="925"/>
      <c r="H2" s="925"/>
    </row>
    <row r="3" spans="1:8">
      <c r="A3" s="926" t="str">
        <f>'Act Att-H'!C7</f>
        <v>Black Hills Colorado Electric, LLC</v>
      </c>
      <c r="B3" s="926"/>
      <c r="C3" s="926"/>
      <c r="D3" s="926"/>
      <c r="E3" s="926"/>
      <c r="F3" s="926"/>
      <c r="G3" s="926"/>
      <c r="H3" s="926"/>
    </row>
    <row r="4" spans="1:8">
      <c r="F4" s="2"/>
      <c r="H4" s="281" t="s">
        <v>515</v>
      </c>
    </row>
    <row r="5" spans="1:8">
      <c r="A5" s="925"/>
      <c r="B5" s="925"/>
      <c r="C5" s="925"/>
      <c r="D5" s="925"/>
      <c r="E5" s="925"/>
      <c r="F5" s="925"/>
      <c r="G5" s="925"/>
      <c r="H5" s="925"/>
    </row>
    <row r="6" spans="1:8">
      <c r="B6" s="193" t="s">
        <v>4</v>
      </c>
      <c r="H6" s="190"/>
    </row>
    <row r="7" spans="1:8">
      <c r="B7" s="196" t="s">
        <v>6</v>
      </c>
      <c r="D7" s="215" t="s">
        <v>125</v>
      </c>
      <c r="E7" s="215"/>
      <c r="F7" s="215"/>
      <c r="H7" s="650" t="s">
        <v>136</v>
      </c>
    </row>
    <row r="8" spans="1:8">
      <c r="B8" s="193">
        <v>1</v>
      </c>
    </row>
    <row r="9" spans="1:8">
      <c r="B9" s="193">
        <f>B8+1</f>
        <v>2</v>
      </c>
      <c r="D9" s="206" t="s">
        <v>765</v>
      </c>
      <c r="E9" s="206"/>
    </row>
    <row r="10" spans="1:8">
      <c r="B10" s="193">
        <f t="shared" ref="B10:B57" si="0">B9+1</f>
        <v>3</v>
      </c>
      <c r="E10" s="651">
        <v>352</v>
      </c>
      <c r="F10" s="217" t="s">
        <v>519</v>
      </c>
      <c r="H10" s="282">
        <v>1.43E-2</v>
      </c>
    </row>
    <row r="11" spans="1:8">
      <c r="B11" s="193">
        <f t="shared" si="0"/>
        <v>4</v>
      </c>
      <c r="E11" s="651">
        <v>352.59</v>
      </c>
      <c r="F11" s="190" t="s">
        <v>919</v>
      </c>
      <c r="H11" s="282">
        <v>1.17E-2</v>
      </c>
    </row>
    <row r="12" spans="1:8">
      <c r="B12" s="193">
        <f t="shared" si="0"/>
        <v>5</v>
      </c>
      <c r="E12" s="651">
        <v>353</v>
      </c>
      <c r="F12" s="190" t="s">
        <v>520</v>
      </c>
      <c r="H12" s="282">
        <v>1.4500000000000001E-2</v>
      </c>
    </row>
    <row r="13" spans="1:8">
      <c r="B13" s="193">
        <f t="shared" si="0"/>
        <v>6</v>
      </c>
      <c r="E13" s="651">
        <v>353.59</v>
      </c>
      <c r="F13" s="190" t="s">
        <v>920</v>
      </c>
      <c r="H13" s="282">
        <v>1.17E-2</v>
      </c>
    </row>
    <row r="14" spans="1:8">
      <c r="B14" s="193">
        <f t="shared" si="0"/>
        <v>7</v>
      </c>
      <c r="E14" s="651">
        <v>355</v>
      </c>
      <c r="F14" s="190" t="s">
        <v>521</v>
      </c>
      <c r="H14" s="282">
        <v>2.0799999999999999E-2</v>
      </c>
    </row>
    <row r="15" spans="1:8">
      <c r="B15" s="193">
        <f t="shared" si="0"/>
        <v>8</v>
      </c>
      <c r="E15" s="651">
        <v>356</v>
      </c>
      <c r="F15" s="217" t="s">
        <v>522</v>
      </c>
      <c r="H15" s="282">
        <v>2.0299999999999999E-2</v>
      </c>
    </row>
    <row r="16" spans="1:8">
      <c r="B16" s="193">
        <f t="shared" si="0"/>
        <v>9</v>
      </c>
      <c r="E16" s="651">
        <v>357</v>
      </c>
      <c r="F16" s="217" t="s">
        <v>921</v>
      </c>
      <c r="H16" s="282">
        <v>2.2200000000000001E-2</v>
      </c>
    </row>
    <row r="17" spans="2:8">
      <c r="B17" s="193">
        <f t="shared" si="0"/>
        <v>10</v>
      </c>
      <c r="E17" s="651">
        <v>358</v>
      </c>
      <c r="F17" s="715" t="s">
        <v>922</v>
      </c>
      <c r="H17" s="716">
        <v>2.1700000000000001E-2</v>
      </c>
    </row>
    <row r="18" spans="2:8">
      <c r="B18" s="193">
        <f t="shared" si="0"/>
        <v>11</v>
      </c>
      <c r="F18" s="190" t="s">
        <v>523</v>
      </c>
      <c r="H18" s="622">
        <v>1.6500000000000001E-2</v>
      </c>
    </row>
    <row r="19" spans="2:8">
      <c r="B19" s="193">
        <f t="shared" si="0"/>
        <v>12</v>
      </c>
      <c r="H19" s="622"/>
    </row>
    <row r="20" spans="2:8">
      <c r="B20" s="193">
        <f t="shared" si="0"/>
        <v>13</v>
      </c>
      <c r="D20" s="206" t="s">
        <v>917</v>
      </c>
      <c r="H20" s="283"/>
    </row>
    <row r="21" spans="2:8">
      <c r="B21" s="193">
        <f t="shared" si="0"/>
        <v>14</v>
      </c>
      <c r="E21" s="651">
        <v>390.01</v>
      </c>
      <c r="F21" s="217" t="s">
        <v>923</v>
      </c>
      <c r="H21" s="282">
        <v>3.1199999999999999E-2</v>
      </c>
    </row>
    <row r="22" spans="2:8">
      <c r="B22" s="193">
        <f t="shared" si="0"/>
        <v>15</v>
      </c>
      <c r="E22" s="651">
        <v>391.01</v>
      </c>
      <c r="F22" s="190" t="s">
        <v>800</v>
      </c>
      <c r="H22" s="282">
        <v>6.9800000000000001E-2</v>
      </c>
    </row>
    <row r="23" spans="2:8">
      <c r="B23" s="193">
        <f t="shared" si="0"/>
        <v>16</v>
      </c>
      <c r="E23" s="651">
        <v>391.03</v>
      </c>
      <c r="F23" s="190" t="s">
        <v>801</v>
      </c>
      <c r="H23" s="282">
        <v>0.36280000000000001</v>
      </c>
    </row>
    <row r="24" spans="2:8">
      <c r="B24" s="193">
        <f t="shared" si="0"/>
        <v>17</v>
      </c>
      <c r="E24" s="651">
        <v>391.04</v>
      </c>
      <c r="F24" s="190" t="s">
        <v>924</v>
      </c>
      <c r="H24" s="282">
        <v>0.18429999999999999</v>
      </c>
    </row>
    <row r="25" spans="2:8">
      <c r="B25" s="193">
        <f t="shared" si="0"/>
        <v>18</v>
      </c>
      <c r="E25" s="652">
        <v>391.05</v>
      </c>
      <c r="F25" s="190" t="s">
        <v>822</v>
      </c>
      <c r="H25" s="282">
        <v>0.13719999999999999</v>
      </c>
    </row>
    <row r="26" spans="2:8">
      <c r="B26" s="193">
        <f t="shared" si="0"/>
        <v>19</v>
      </c>
      <c r="E26" s="651">
        <v>392</v>
      </c>
      <c r="F26" s="190" t="s">
        <v>802</v>
      </c>
      <c r="H26" s="282">
        <v>9.0200000000000002E-2</v>
      </c>
    </row>
    <row r="27" spans="2:8">
      <c r="B27" s="193">
        <f t="shared" si="0"/>
        <v>20</v>
      </c>
      <c r="E27" s="651">
        <v>393</v>
      </c>
      <c r="F27" s="190" t="s">
        <v>803</v>
      </c>
      <c r="H27" s="282">
        <v>6.0900000000000003E-2</v>
      </c>
    </row>
    <row r="28" spans="2:8">
      <c r="B28" s="193">
        <f t="shared" si="0"/>
        <v>21</v>
      </c>
      <c r="E28" s="651">
        <v>394</v>
      </c>
      <c r="F28" s="190" t="s">
        <v>804</v>
      </c>
      <c r="H28" s="282">
        <v>2.1000000000000001E-2</v>
      </c>
    </row>
    <row r="29" spans="2:8">
      <c r="B29" s="193">
        <f t="shared" si="0"/>
        <v>22</v>
      </c>
      <c r="E29" s="651">
        <v>395</v>
      </c>
      <c r="F29" s="190" t="s">
        <v>805</v>
      </c>
      <c r="H29" s="282">
        <v>1.26E-2</v>
      </c>
    </row>
    <row r="30" spans="2:8">
      <c r="B30" s="193">
        <f t="shared" si="0"/>
        <v>23</v>
      </c>
      <c r="E30" s="651">
        <v>396</v>
      </c>
      <c r="F30" s="190" t="s">
        <v>925</v>
      </c>
      <c r="H30" s="282">
        <v>5.6300000000000003E-2</v>
      </c>
    </row>
    <row r="31" spans="2:8">
      <c r="B31" s="193">
        <f t="shared" si="0"/>
        <v>24</v>
      </c>
      <c r="E31" s="651">
        <v>397</v>
      </c>
      <c r="F31" s="190" t="s">
        <v>926</v>
      </c>
      <c r="H31" s="282">
        <v>8.6300000000000002E-2</v>
      </c>
    </row>
    <row r="32" spans="2:8">
      <c r="B32" s="193">
        <f t="shared" si="0"/>
        <v>25</v>
      </c>
      <c r="E32" s="651">
        <v>398</v>
      </c>
      <c r="F32" s="190" t="s">
        <v>927</v>
      </c>
      <c r="H32" s="282">
        <v>5.8400000000000001E-2</v>
      </c>
    </row>
    <row r="33" spans="2:8">
      <c r="B33" s="193">
        <f t="shared" si="0"/>
        <v>26</v>
      </c>
      <c r="F33" s="284" t="s">
        <v>806</v>
      </c>
      <c r="H33" s="653">
        <v>8.3199999999999996E-2</v>
      </c>
    </row>
    <row r="34" spans="2:8">
      <c r="B34" s="193">
        <f t="shared" si="0"/>
        <v>27</v>
      </c>
      <c r="H34" s="622"/>
    </row>
    <row r="35" spans="2:8">
      <c r="B35" s="193">
        <f t="shared" si="0"/>
        <v>28</v>
      </c>
      <c r="D35" s="206" t="s">
        <v>807</v>
      </c>
      <c r="H35" s="622"/>
    </row>
    <row r="36" spans="2:8">
      <c r="B36" s="193">
        <f t="shared" si="0"/>
        <v>29</v>
      </c>
      <c r="E36" s="651">
        <v>301</v>
      </c>
      <c r="F36" s="217" t="s">
        <v>808</v>
      </c>
      <c r="H36" s="622">
        <v>0</v>
      </c>
    </row>
    <row r="37" spans="2:8">
      <c r="B37" s="193">
        <f t="shared" si="0"/>
        <v>30</v>
      </c>
      <c r="E37" s="651">
        <v>303</v>
      </c>
      <c r="F37" s="217" t="s">
        <v>928</v>
      </c>
      <c r="H37" s="622">
        <v>0</v>
      </c>
    </row>
    <row r="38" spans="2:8">
      <c r="B38" s="193">
        <f t="shared" si="0"/>
        <v>31</v>
      </c>
      <c r="F38" s="284" t="s">
        <v>809</v>
      </c>
      <c r="H38" s="285">
        <v>0</v>
      </c>
    </row>
    <row r="39" spans="2:8">
      <c r="B39" s="193">
        <f t="shared" si="0"/>
        <v>32</v>
      </c>
      <c r="H39" s="622"/>
    </row>
    <row r="40" spans="2:8">
      <c r="B40" s="193">
        <f t="shared" si="0"/>
        <v>33</v>
      </c>
      <c r="D40" s="206" t="s">
        <v>816</v>
      </c>
      <c r="H40" s="622"/>
    </row>
    <row r="41" spans="2:8">
      <c r="B41" s="193">
        <f t="shared" si="0"/>
        <v>34</v>
      </c>
      <c r="E41" s="206" t="s">
        <v>812</v>
      </c>
      <c r="H41" s="622"/>
    </row>
    <row r="42" spans="2:8">
      <c r="B42" s="193">
        <f t="shared" si="0"/>
        <v>35</v>
      </c>
      <c r="E42" s="651">
        <v>390.01</v>
      </c>
      <c r="F42" s="217" t="s">
        <v>799</v>
      </c>
      <c r="H42" s="622">
        <v>1.9900000000000001E-2</v>
      </c>
    </row>
    <row r="43" spans="2:8">
      <c r="B43" s="193">
        <f t="shared" si="0"/>
        <v>36</v>
      </c>
      <c r="E43" s="651">
        <v>391</v>
      </c>
      <c r="F43" s="190" t="s">
        <v>800</v>
      </c>
      <c r="H43" s="622">
        <v>0.1245</v>
      </c>
    </row>
    <row r="44" spans="2:8">
      <c r="B44" s="193">
        <f t="shared" si="0"/>
        <v>37</v>
      </c>
      <c r="E44" s="652">
        <v>392</v>
      </c>
      <c r="F44" s="190" t="s">
        <v>802</v>
      </c>
      <c r="H44" s="622">
        <v>8.6400000000000005E-2</v>
      </c>
    </row>
    <row r="45" spans="2:8">
      <c r="B45" s="193">
        <f t="shared" si="0"/>
        <v>38</v>
      </c>
      <c r="E45" s="651">
        <v>395</v>
      </c>
      <c r="F45" s="190" t="s">
        <v>805</v>
      </c>
      <c r="H45" s="622">
        <v>0.05</v>
      </c>
    </row>
    <row r="46" spans="2:8">
      <c r="B46" s="193">
        <f t="shared" si="0"/>
        <v>39</v>
      </c>
      <c r="E46" s="651">
        <v>397</v>
      </c>
      <c r="F46" s="190" t="s">
        <v>810</v>
      </c>
      <c r="H46" s="622">
        <v>6.6699999999999995E-2</v>
      </c>
    </row>
    <row r="47" spans="2:8">
      <c r="B47" s="193">
        <f t="shared" si="0"/>
        <v>40</v>
      </c>
      <c r="E47" s="651">
        <v>397.1</v>
      </c>
      <c r="F47" s="190" t="s">
        <v>811</v>
      </c>
      <c r="H47" s="622">
        <v>0.04</v>
      </c>
    </row>
    <row r="48" spans="2:8">
      <c r="B48" s="193">
        <f t="shared" si="0"/>
        <v>41</v>
      </c>
      <c r="F48" s="284" t="s">
        <v>806</v>
      </c>
      <c r="H48" s="653">
        <v>0.1206</v>
      </c>
    </row>
    <row r="49" spans="2:8">
      <c r="B49" s="193">
        <f t="shared" si="0"/>
        <v>42</v>
      </c>
      <c r="H49" s="654"/>
    </row>
    <row r="50" spans="2:8">
      <c r="B50" s="193">
        <f t="shared" si="0"/>
        <v>43</v>
      </c>
      <c r="E50" s="206" t="s">
        <v>813</v>
      </c>
      <c r="H50" s="654"/>
    </row>
    <row r="51" spans="2:8">
      <c r="B51" s="193">
        <f t="shared" si="0"/>
        <v>44</v>
      </c>
      <c r="E51" s="651">
        <v>390.01</v>
      </c>
      <c r="F51" s="217" t="s">
        <v>824</v>
      </c>
      <c r="H51" s="654">
        <v>2.2499999999999999E-2</v>
      </c>
    </row>
    <row r="52" spans="2:8">
      <c r="B52" s="193">
        <f t="shared" si="0"/>
        <v>45</v>
      </c>
      <c r="E52" s="651">
        <v>391</v>
      </c>
      <c r="F52" s="190" t="s">
        <v>800</v>
      </c>
      <c r="H52" s="654">
        <v>8.1100000000000005E-2</v>
      </c>
    </row>
    <row r="53" spans="2:8">
      <c r="B53" s="193">
        <f t="shared" si="0"/>
        <v>46</v>
      </c>
      <c r="E53" s="651">
        <v>392</v>
      </c>
      <c r="F53" s="190" t="s">
        <v>823</v>
      </c>
      <c r="H53" s="654">
        <v>9.8299999999999998E-2</v>
      </c>
    </row>
    <row r="54" spans="2:8">
      <c r="B54" s="193">
        <f t="shared" si="0"/>
        <v>47</v>
      </c>
      <c r="E54" s="651">
        <v>394</v>
      </c>
      <c r="F54" s="190" t="s">
        <v>804</v>
      </c>
      <c r="H54" s="654">
        <v>0.04</v>
      </c>
    </row>
    <row r="55" spans="2:8">
      <c r="B55" s="193">
        <f t="shared" si="0"/>
        <v>48</v>
      </c>
      <c r="E55" s="651">
        <v>397</v>
      </c>
      <c r="F55" s="190" t="s">
        <v>815</v>
      </c>
      <c r="H55" s="654">
        <v>6.6699999999999995E-2</v>
      </c>
    </row>
    <row r="56" spans="2:8">
      <c r="B56" s="193">
        <f t="shared" si="0"/>
        <v>49</v>
      </c>
      <c r="E56" s="651">
        <v>398</v>
      </c>
      <c r="F56" s="190" t="s">
        <v>814</v>
      </c>
      <c r="H56" s="654">
        <v>0.05</v>
      </c>
    </row>
    <row r="57" spans="2:8">
      <c r="B57" s="193">
        <f t="shared" si="0"/>
        <v>50</v>
      </c>
      <c r="F57" s="284" t="s">
        <v>806</v>
      </c>
      <c r="H57" s="653">
        <v>7.9399999999999998E-2</v>
      </c>
    </row>
    <row r="58" spans="2:8">
      <c r="B58" s="193"/>
      <c r="H58" s="622"/>
    </row>
    <row r="59" spans="2:8" ht="16.350000000000001" customHeight="1">
      <c r="B59" s="353" t="s">
        <v>155</v>
      </c>
      <c r="D59" s="206"/>
      <c r="H59" s="283"/>
    </row>
    <row r="60" spans="2:8" ht="27.75" customHeight="1">
      <c r="B60" s="393" t="s">
        <v>76</v>
      </c>
      <c r="C60" s="950" t="s">
        <v>918</v>
      </c>
      <c r="D60" s="950"/>
      <c r="E60" s="950"/>
      <c r="F60" s="950"/>
      <c r="G60" s="950"/>
      <c r="H60" s="950"/>
    </row>
    <row r="61" spans="2:8" ht="32.4" customHeight="1">
      <c r="B61" s="393" t="s">
        <v>77</v>
      </c>
      <c r="C61" s="950" t="s">
        <v>1146</v>
      </c>
      <c r="D61" s="950"/>
      <c r="E61" s="950"/>
      <c r="F61" s="950"/>
      <c r="G61" s="950"/>
      <c r="H61" s="950"/>
    </row>
    <row r="62" spans="2:8" ht="16.350000000000001" customHeight="1">
      <c r="B62" s="193"/>
      <c r="D62" s="206"/>
      <c r="H62" s="283"/>
    </row>
    <row r="63" spans="2:8" ht="16.350000000000001" customHeight="1">
      <c r="B63" s="193"/>
      <c r="D63" s="206"/>
      <c r="H63" s="283"/>
    </row>
    <row r="64" spans="2:8" ht="16.350000000000001" customHeight="1">
      <c r="B64" s="193"/>
      <c r="D64" s="206"/>
      <c r="H64" s="283"/>
    </row>
    <row r="65" spans="2:8" ht="16.350000000000001" customHeight="1">
      <c r="B65" s="193"/>
      <c r="D65" s="206"/>
      <c r="H65" s="283"/>
    </row>
    <row r="66" spans="2:8" ht="16.350000000000001" customHeight="1">
      <c r="B66" s="193"/>
      <c r="D66" s="206"/>
      <c r="H66" s="283"/>
    </row>
    <row r="67" spans="2:8" ht="16.350000000000001" customHeight="1">
      <c r="B67" s="193"/>
      <c r="D67" s="206"/>
      <c r="H67" s="283"/>
    </row>
    <row r="68" spans="2:8" ht="16.350000000000001" customHeight="1">
      <c r="B68" s="193"/>
      <c r="D68" s="206"/>
      <c r="H68" s="283"/>
    </row>
    <row r="69" spans="2:8" ht="16.350000000000001" customHeight="1">
      <c r="B69" s="193"/>
      <c r="D69" s="206"/>
      <c r="H69" s="283"/>
    </row>
    <row r="70" spans="2:8" ht="16.350000000000001" customHeight="1">
      <c r="B70" s="193"/>
      <c r="D70" s="206"/>
      <c r="H70" s="283"/>
    </row>
    <row r="71" spans="2:8" ht="16.350000000000001" customHeight="1"/>
    <row r="72" spans="2:8" ht="16.350000000000001" customHeight="1"/>
    <row r="73" spans="2:8" ht="16.350000000000001" customHeight="1"/>
    <row r="74" spans="2:8" ht="16.350000000000001" customHeight="1"/>
  </sheetData>
  <mergeCells count="6">
    <mergeCell ref="C61:H61"/>
    <mergeCell ref="C60:H60"/>
    <mergeCell ref="A5:H5"/>
    <mergeCell ref="A1:H1"/>
    <mergeCell ref="A2:H2"/>
    <mergeCell ref="A3:H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9AD7FEC932BB429C3D617724E48DD0" ma:contentTypeVersion="3" ma:contentTypeDescription="Create a new document." ma:contentTypeScope="" ma:versionID="9a0973e1b1f459fe58f9962c647ef585">
  <xsd:schema xmlns:xsd="http://www.w3.org/2001/XMLSchema" xmlns:xs="http://www.w3.org/2001/XMLSchema" xmlns:p="http://schemas.microsoft.com/office/2006/metadata/properties" xmlns:ns2="9404ddf2-432b-40b2-8a27-ff5874de40bb" targetNamespace="http://schemas.microsoft.com/office/2006/metadata/properties" ma:root="true" ma:fieldsID="5c0dd085117678c283ba97b6eccaf552" ns2:_="">
    <xsd:import namespace="9404ddf2-432b-40b2-8a27-ff5874de40bb"/>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04ddf2-432b-40b2-8a27-ff5874de40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EC30B5-1624-4AF3-9936-D11BAFE34F0B}">
  <ds:schemaRefs>
    <ds:schemaRef ds:uri="http://schemas.microsoft.com/office/2006/documentManagement/types"/>
    <ds:schemaRef ds:uri="http://purl.org/dc/dcmitype/"/>
    <ds:schemaRef ds:uri="http://purl.org/dc/terms/"/>
    <ds:schemaRef ds:uri="http://schemas.microsoft.com/office/2006/metadata/properties"/>
    <ds:schemaRef ds:uri="c9471a47-d8e6-4bf9-a71a-08db01a4736c"/>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E6C2802A-3C31-4A0E-96C8-6406029E0EAF}"/>
</file>

<file path=customXml/itemProps3.xml><?xml version="1.0" encoding="utf-8"?>
<ds:datastoreItem xmlns:ds="http://schemas.openxmlformats.org/officeDocument/2006/customXml" ds:itemID="{700D6CF8-E809-4BF9-91B7-C9F8DAA3E9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Table of Contents</vt:lpstr>
      <vt:lpstr>Act Att-H</vt:lpstr>
      <vt:lpstr>A1-RevCred</vt:lpstr>
      <vt:lpstr>A2-A&amp;G</vt:lpstr>
      <vt:lpstr>A3-ADIT</vt:lpstr>
      <vt:lpstr>A3.1-EDIT-DDIT</vt:lpstr>
      <vt:lpstr>A3.2-EDIT-DDIT.dtl</vt:lpstr>
      <vt:lpstr>A4-Rate Base</vt:lpstr>
      <vt:lpstr>A5-Depr</vt:lpstr>
      <vt:lpstr>A6-Divisor</vt:lpstr>
      <vt:lpstr>A7-IncentPlant</vt:lpstr>
      <vt:lpstr>A8-Prepmts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Lever, Henry</cp:lastModifiedBy>
  <cp:lastPrinted>2023-07-07T21:17:25Z</cp:lastPrinted>
  <dcterms:created xsi:type="dcterms:W3CDTF">2008-03-20T17:17:47Z</dcterms:created>
  <dcterms:modified xsi:type="dcterms:W3CDTF">2025-05-21T19:06:04Z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0x010100939AD7FEC932BB429C3D617724E48DD0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