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N:\BHSC\BHC\Rates\BHE CLFP\FERC\TransmissionFormula Rate\CLFP Trans Form Rates 2024\True-Up\Files for OASIS\"/>
    </mc:Choice>
  </mc:AlternateContent>
  <xr:revisionPtr revIDLastSave="0" documentId="13_ncr:1_{695E08F8-AE6F-47C5-943B-28DED68B4B58}" xr6:coauthVersionLast="47" xr6:coauthVersionMax="47" xr10:uidLastSave="{00000000-0000-0000-0000-000000000000}"/>
  <bookViews>
    <workbookView xWindow="-16035" yWindow="-16320" windowWidth="29040" windowHeight="15720" tabRatio="911" xr2:uid="{00000000-000D-0000-FFFF-FFFF00000000}"/>
  </bookViews>
  <sheets>
    <sheet name="Table of Contents" sheetId="22" r:id="rId1"/>
    <sheet name="Act Att-H" sheetId="9" r:id="rId2"/>
    <sheet name="A1-RevCred" sheetId="4" r:id="rId3"/>
    <sheet name="A2-A&amp;G" sheetId="16" r:id="rId4"/>
    <sheet name="A3-ADIT" sheetId="15" r:id="rId5"/>
    <sheet name="A3.1-EDIT-DDIT" sheetId="41" r:id="rId6"/>
    <sheet name="A3.2 EDIT-DDIT.dtl" sheetId="42" r:id="rId7"/>
    <sheet name="A4-Rate Base" sheetId="23" r:id="rId8"/>
    <sheet name="A5-Depr" sheetId="3" r:id="rId9"/>
    <sheet name="A6-Divisor" sheetId="20" r:id="rId10"/>
    <sheet name="A7-IncentPlant" sheetId="29" r:id="rId11"/>
    <sheet name="A8-Prepmts" sheetId="39" r:id="rId12"/>
    <sheet name="A9-PermDiffs" sheetId="40" r:id="rId13"/>
    <sheet name="TU-TrueUp" sheetId="21" r:id="rId14"/>
    <sheet name="Proj Att-H" sheetId="25" r:id="rId15"/>
    <sheet name="P1-Trans Plant" sheetId="26" r:id="rId16"/>
    <sheet name="P2-Exp. &amp; Rev. Credits" sheetId="27" r:id="rId17"/>
    <sheet name="P3-Divisor" sheetId="28" r:id="rId18"/>
    <sheet name="P4-IncentPlant" sheetId="30" r:id="rId19"/>
    <sheet name="P5-ADIT" sheetId="37" r:id="rId20"/>
    <sheet name="Schedule 1" sheetId="31" r:id="rId21"/>
  </sheets>
  <definedNames>
    <definedName name="__123Graph_A" localSheetId="5" hidden="1">#REF!</definedName>
    <definedName name="__123Graph_A" localSheetId="6" hidden="1">#REF!</definedName>
    <definedName name="__123Graph_A" localSheetId="11" hidden="1">#REF!</definedName>
    <definedName name="__123Graph_A" localSheetId="12" hidden="1">#REF!</definedName>
    <definedName name="__123Graph_A" localSheetId="19" hidden="1">#REF!</definedName>
    <definedName name="__123Graph_A" hidden="1">#REF!</definedName>
    <definedName name="__123Graph_A1991" localSheetId="5" hidden="1">#REF!</definedName>
    <definedName name="__123Graph_A1991" localSheetId="6" hidden="1">#REF!</definedName>
    <definedName name="__123Graph_A1991" localSheetId="11" hidden="1">#REF!</definedName>
    <definedName name="__123Graph_A1991" localSheetId="12" hidden="1">#REF!</definedName>
    <definedName name="__123Graph_A1991" localSheetId="19" hidden="1">#REF!</definedName>
    <definedName name="__123Graph_A1991" hidden="1">#REF!</definedName>
    <definedName name="__123Graph_A1992" localSheetId="5" hidden="1">#REF!</definedName>
    <definedName name="__123Graph_A1992" localSheetId="6" hidden="1">#REF!</definedName>
    <definedName name="__123Graph_A1992" localSheetId="11" hidden="1">#REF!</definedName>
    <definedName name="__123Graph_A1992" localSheetId="12" hidden="1">#REF!</definedName>
    <definedName name="__123Graph_A1992" localSheetId="19" hidden="1">#REF!</definedName>
    <definedName name="__123Graph_A1992" hidden="1">#REF!</definedName>
    <definedName name="__123Graph_A1993" localSheetId="5" hidden="1">#REF!</definedName>
    <definedName name="__123Graph_A1993" localSheetId="6" hidden="1">#REF!</definedName>
    <definedName name="__123Graph_A1993" localSheetId="11" hidden="1">#REF!</definedName>
    <definedName name="__123Graph_A1993" localSheetId="12" hidden="1">#REF!</definedName>
    <definedName name="__123Graph_A1993" localSheetId="19" hidden="1">#REF!</definedName>
    <definedName name="__123Graph_A1993" hidden="1">#REF!</definedName>
    <definedName name="__123Graph_A1994" localSheetId="5" hidden="1">#REF!</definedName>
    <definedName name="__123Graph_A1994" localSheetId="6" hidden="1">#REF!</definedName>
    <definedName name="__123Graph_A1994" localSheetId="11" hidden="1">#REF!</definedName>
    <definedName name="__123Graph_A1994" localSheetId="12" hidden="1">#REF!</definedName>
    <definedName name="__123Graph_A1994" localSheetId="19" hidden="1">#REF!</definedName>
    <definedName name="__123Graph_A1994" hidden="1">#REF!</definedName>
    <definedName name="__123Graph_A1995" localSheetId="5" hidden="1">#REF!</definedName>
    <definedName name="__123Graph_A1995" localSheetId="6" hidden="1">#REF!</definedName>
    <definedName name="__123Graph_A1995" localSheetId="11" hidden="1">#REF!</definedName>
    <definedName name="__123Graph_A1995" localSheetId="12" hidden="1">#REF!</definedName>
    <definedName name="__123Graph_A1995" localSheetId="19" hidden="1">#REF!</definedName>
    <definedName name="__123Graph_A1995" hidden="1">#REF!</definedName>
    <definedName name="__123Graph_A1996" localSheetId="5" hidden="1">#REF!</definedName>
    <definedName name="__123Graph_A1996" localSheetId="6" hidden="1">#REF!</definedName>
    <definedName name="__123Graph_A1996" localSheetId="11" hidden="1">#REF!</definedName>
    <definedName name="__123Graph_A1996" localSheetId="12" hidden="1">#REF!</definedName>
    <definedName name="__123Graph_A1996" localSheetId="19" hidden="1">#REF!</definedName>
    <definedName name="__123Graph_A1996" hidden="1">#REF!</definedName>
    <definedName name="__123Graph_ABAR" localSheetId="5" hidden="1">#REF!</definedName>
    <definedName name="__123Graph_ABAR" localSheetId="6" hidden="1">#REF!</definedName>
    <definedName name="__123Graph_ABAR" localSheetId="11" hidden="1">#REF!</definedName>
    <definedName name="__123Graph_ABAR" localSheetId="12" hidden="1">#REF!</definedName>
    <definedName name="__123Graph_ABAR" localSheetId="19" hidden="1">#REF!</definedName>
    <definedName name="__123Graph_ABAR" hidden="1">#REF!</definedName>
    <definedName name="__123Graph_B" localSheetId="5" hidden="1">#REF!</definedName>
    <definedName name="__123Graph_B" localSheetId="6" hidden="1">#REF!</definedName>
    <definedName name="__123Graph_B" localSheetId="11" hidden="1">#REF!</definedName>
    <definedName name="__123Graph_B" localSheetId="12" hidden="1">#REF!</definedName>
    <definedName name="__123Graph_B" localSheetId="19" hidden="1">#REF!</definedName>
    <definedName name="__123Graph_B" hidden="1">#REF!</definedName>
    <definedName name="__123Graph_B1991" localSheetId="5" hidden="1">#REF!</definedName>
    <definedName name="__123Graph_B1991" localSheetId="6" hidden="1">#REF!</definedName>
    <definedName name="__123Graph_B1991" localSheetId="11" hidden="1">#REF!</definedName>
    <definedName name="__123Graph_B1991" localSheetId="12" hidden="1">#REF!</definedName>
    <definedName name="__123Graph_B1991" localSheetId="19" hidden="1">#REF!</definedName>
    <definedName name="__123Graph_B1991" hidden="1">#REF!</definedName>
    <definedName name="__123Graph_B1992" localSheetId="5" hidden="1">#REF!</definedName>
    <definedName name="__123Graph_B1992" localSheetId="6" hidden="1">#REF!</definedName>
    <definedName name="__123Graph_B1992" localSheetId="11" hidden="1">#REF!</definedName>
    <definedName name="__123Graph_B1992" localSheetId="12" hidden="1">#REF!</definedName>
    <definedName name="__123Graph_B1992" localSheetId="19" hidden="1">#REF!</definedName>
    <definedName name="__123Graph_B1992" hidden="1">#REF!</definedName>
    <definedName name="__123Graph_B1993" localSheetId="5" hidden="1">#REF!</definedName>
    <definedName name="__123Graph_B1993" localSheetId="6" hidden="1">#REF!</definedName>
    <definedName name="__123Graph_B1993" localSheetId="11" hidden="1">#REF!</definedName>
    <definedName name="__123Graph_B1993" localSheetId="12" hidden="1">#REF!</definedName>
    <definedName name="__123Graph_B1993" localSheetId="19" hidden="1">#REF!</definedName>
    <definedName name="__123Graph_B1993" hidden="1">#REF!</definedName>
    <definedName name="__123Graph_B1994" localSheetId="5" hidden="1">#REF!</definedName>
    <definedName name="__123Graph_B1994" localSheetId="6" hidden="1">#REF!</definedName>
    <definedName name="__123Graph_B1994" localSheetId="11" hidden="1">#REF!</definedName>
    <definedName name="__123Graph_B1994" localSheetId="12" hidden="1">#REF!</definedName>
    <definedName name="__123Graph_B1994" localSheetId="19" hidden="1">#REF!</definedName>
    <definedName name="__123Graph_B1994" hidden="1">#REF!</definedName>
    <definedName name="__123Graph_B1995" localSheetId="5" hidden="1">#REF!</definedName>
    <definedName name="__123Graph_B1995" localSheetId="6" hidden="1">#REF!</definedName>
    <definedName name="__123Graph_B1995" localSheetId="11" hidden="1">#REF!</definedName>
    <definedName name="__123Graph_B1995" localSheetId="12" hidden="1">#REF!</definedName>
    <definedName name="__123Graph_B1995" localSheetId="19" hidden="1">#REF!</definedName>
    <definedName name="__123Graph_B1995" hidden="1">#REF!</definedName>
    <definedName name="__123Graph_B1996" localSheetId="5" hidden="1">#REF!</definedName>
    <definedName name="__123Graph_B1996" localSheetId="6" hidden="1">#REF!</definedName>
    <definedName name="__123Graph_B1996" localSheetId="11" hidden="1">#REF!</definedName>
    <definedName name="__123Graph_B1996" localSheetId="12" hidden="1">#REF!</definedName>
    <definedName name="__123Graph_B1996" localSheetId="19" hidden="1">#REF!</definedName>
    <definedName name="__123Graph_B1996" hidden="1">#REF!</definedName>
    <definedName name="__123Graph_BBAR" localSheetId="5" hidden="1">#REF!</definedName>
    <definedName name="__123Graph_BBAR" localSheetId="6" hidden="1">#REF!</definedName>
    <definedName name="__123Graph_BBAR" localSheetId="11" hidden="1">#REF!</definedName>
    <definedName name="__123Graph_BBAR" localSheetId="12" hidden="1">#REF!</definedName>
    <definedName name="__123Graph_BBAR" localSheetId="19" hidden="1">#REF!</definedName>
    <definedName name="__123Graph_BBAR" hidden="1">#REF!</definedName>
    <definedName name="__123Graph_CBAR" localSheetId="5" hidden="1">#REF!</definedName>
    <definedName name="__123Graph_CBAR" localSheetId="6" hidden="1">#REF!</definedName>
    <definedName name="__123Graph_CBAR" localSheetId="11" hidden="1">#REF!</definedName>
    <definedName name="__123Graph_CBAR" localSheetId="12" hidden="1">#REF!</definedName>
    <definedName name="__123Graph_CBAR" localSheetId="19" hidden="1">#REF!</definedName>
    <definedName name="__123Graph_CBAR" hidden="1">#REF!</definedName>
    <definedName name="__123Graph_DBAR" localSheetId="5" hidden="1">#REF!</definedName>
    <definedName name="__123Graph_DBAR" localSheetId="6" hidden="1">#REF!</definedName>
    <definedName name="__123Graph_DBAR" localSheetId="11" hidden="1">#REF!</definedName>
    <definedName name="__123Graph_DBAR" localSheetId="12" hidden="1">#REF!</definedName>
    <definedName name="__123Graph_DBAR" localSheetId="19" hidden="1">#REF!</definedName>
    <definedName name="__123Graph_DBAR" hidden="1">#REF!</definedName>
    <definedName name="__123Graph_EBAR" localSheetId="5" hidden="1">#REF!</definedName>
    <definedName name="__123Graph_EBAR" localSheetId="6" hidden="1">#REF!</definedName>
    <definedName name="__123Graph_EBAR" localSheetId="11" hidden="1">#REF!</definedName>
    <definedName name="__123Graph_EBAR" localSheetId="12" hidden="1">#REF!</definedName>
    <definedName name="__123Graph_EBAR" localSheetId="19" hidden="1">#REF!</definedName>
    <definedName name="__123Graph_EBAR" hidden="1">#REF!</definedName>
    <definedName name="__123Graph_FBAR" localSheetId="5" hidden="1">#REF!</definedName>
    <definedName name="__123Graph_FBAR" localSheetId="6" hidden="1">#REF!</definedName>
    <definedName name="__123Graph_FBAR" localSheetId="11" hidden="1">#REF!</definedName>
    <definedName name="__123Graph_FBAR" localSheetId="12" hidden="1">#REF!</definedName>
    <definedName name="__123Graph_FBAR" localSheetId="19" hidden="1">#REF!</definedName>
    <definedName name="__123Graph_FBAR" hidden="1">#REF!</definedName>
    <definedName name="__123Graph_X" localSheetId="5" hidden="1">#REF!</definedName>
    <definedName name="__123Graph_X" localSheetId="6" hidden="1">#REF!</definedName>
    <definedName name="__123Graph_X" localSheetId="11" hidden="1">#REF!</definedName>
    <definedName name="__123Graph_X" localSheetId="12" hidden="1">#REF!</definedName>
    <definedName name="__123Graph_X" localSheetId="19" hidden="1">#REF!</definedName>
    <definedName name="__123Graph_X" hidden="1">#REF!</definedName>
    <definedName name="__123Graph_X1991" localSheetId="5" hidden="1">#REF!</definedName>
    <definedName name="__123Graph_X1991" localSheetId="6" hidden="1">#REF!</definedName>
    <definedName name="__123Graph_X1991" localSheetId="11" hidden="1">#REF!</definedName>
    <definedName name="__123Graph_X1991" localSheetId="12" hidden="1">#REF!</definedName>
    <definedName name="__123Graph_X1991" localSheetId="19" hidden="1">#REF!</definedName>
    <definedName name="__123Graph_X1991" hidden="1">#REF!</definedName>
    <definedName name="__123Graph_X1992" localSheetId="5" hidden="1">#REF!</definedName>
    <definedName name="__123Graph_X1992" localSheetId="6" hidden="1">#REF!</definedName>
    <definedName name="__123Graph_X1992" localSheetId="11" hidden="1">#REF!</definedName>
    <definedName name="__123Graph_X1992" localSheetId="12" hidden="1">#REF!</definedName>
    <definedName name="__123Graph_X1992" localSheetId="19" hidden="1">#REF!</definedName>
    <definedName name="__123Graph_X1992" hidden="1">#REF!</definedName>
    <definedName name="__123Graph_X1993" localSheetId="5" hidden="1">#REF!</definedName>
    <definedName name="__123Graph_X1993" localSheetId="6" hidden="1">#REF!</definedName>
    <definedName name="__123Graph_X1993" localSheetId="11" hidden="1">#REF!</definedName>
    <definedName name="__123Graph_X1993" localSheetId="12" hidden="1">#REF!</definedName>
    <definedName name="__123Graph_X1993" localSheetId="19" hidden="1">#REF!</definedName>
    <definedName name="__123Graph_X1993" hidden="1">#REF!</definedName>
    <definedName name="__123Graph_X1994" localSheetId="5" hidden="1">#REF!</definedName>
    <definedName name="__123Graph_X1994" localSheetId="6" hidden="1">#REF!</definedName>
    <definedName name="__123Graph_X1994" localSheetId="11" hidden="1">#REF!</definedName>
    <definedName name="__123Graph_X1994" localSheetId="12" hidden="1">#REF!</definedName>
    <definedName name="__123Graph_X1994" localSheetId="19" hidden="1">#REF!</definedName>
    <definedName name="__123Graph_X1994" hidden="1">#REF!</definedName>
    <definedName name="__123Graph_X1995" localSheetId="5" hidden="1">#REF!</definedName>
    <definedName name="__123Graph_X1995" localSheetId="6" hidden="1">#REF!</definedName>
    <definedName name="__123Graph_X1995" localSheetId="11" hidden="1">#REF!</definedName>
    <definedName name="__123Graph_X1995" localSheetId="12" hidden="1">#REF!</definedName>
    <definedName name="__123Graph_X1995" localSheetId="19" hidden="1">#REF!</definedName>
    <definedName name="__123Graph_X1995" hidden="1">#REF!</definedName>
    <definedName name="__123Graph_X1996" localSheetId="5" hidden="1">#REF!</definedName>
    <definedName name="__123Graph_X1996" localSheetId="6" hidden="1">#REF!</definedName>
    <definedName name="__123Graph_X1996" localSheetId="11" hidden="1">#REF!</definedName>
    <definedName name="__123Graph_X1996" localSheetId="12" hidden="1">#REF!</definedName>
    <definedName name="__123Graph_X1996" localSheetId="19" hidden="1">#REF!</definedName>
    <definedName name="__123Graph_X1996" hidden="1">#REF!</definedName>
    <definedName name="__tet12" localSheetId="5" hidden="1">{"assumptions",#N/A,FALSE,"Scenario 1";"valuation",#N/A,FALSE,"Scenario 1"}</definedName>
    <definedName name="__tet12" localSheetId="6" hidden="1">{"assumptions",#N/A,FALSE,"Scenario 1";"valuation",#N/A,FALSE,"Scenario 1"}</definedName>
    <definedName name="__tet12" localSheetId="19" hidden="1">{"assumptions",#N/A,FALSE,"Scenario 1";"valuation",#N/A,FALSE,"Scenario 1"}</definedName>
    <definedName name="__tet12" hidden="1">{"assumptions",#N/A,FALSE,"Scenario 1";"valuation",#N/A,FALSE,"Scenario 1"}</definedName>
    <definedName name="__tet5" localSheetId="5" hidden="1">{"assumptions",#N/A,FALSE,"Scenario 1";"valuation",#N/A,FALSE,"Scenario 1"}</definedName>
    <definedName name="__tet5" localSheetId="6" hidden="1">{"assumptions",#N/A,FALSE,"Scenario 1";"valuation",#N/A,FALSE,"Scenario 1"}</definedName>
    <definedName name="__tet5" localSheetId="19" hidden="1">{"assumptions",#N/A,FALSE,"Scenario 1";"valuation",#N/A,FALSE,"Scenario 1"}</definedName>
    <definedName name="__tet5" hidden="1">{"assumptions",#N/A,FALSE,"Scenario 1";"valuation",#N/A,FALSE,"Scenario 1"}</definedName>
    <definedName name="_FEB01" localSheetId="5" hidden="1">{#N/A,#N/A,FALSE,"EMPPAY"}</definedName>
    <definedName name="_FEB01" localSheetId="6" hidden="1">{#N/A,#N/A,FALSE,"EMPPAY"}</definedName>
    <definedName name="_FEB01" localSheetId="19" hidden="1">{#N/A,#N/A,FALSE,"EMPPAY"}</definedName>
    <definedName name="_FEB01" hidden="1">{#N/A,#N/A,FALSE,"EMPPAY"}</definedName>
    <definedName name="_Fill" localSheetId="5" hidden="1">#REF!</definedName>
    <definedName name="_Fill" localSheetId="6" hidden="1">#REF!</definedName>
    <definedName name="_Fill" localSheetId="11" hidden="1">#REF!</definedName>
    <definedName name="_Fill" localSheetId="12" hidden="1">#REF!</definedName>
    <definedName name="_Fill" hidden="1">#REF!</definedName>
    <definedName name="_JAN01" localSheetId="5" hidden="1">{#N/A,#N/A,FALSE,"EMPPAY"}</definedName>
    <definedName name="_JAN01" localSheetId="6" hidden="1">{#N/A,#N/A,FALSE,"EMPPAY"}</definedName>
    <definedName name="_JAN01" localSheetId="19" hidden="1">{#N/A,#N/A,FALSE,"EMPPAY"}</definedName>
    <definedName name="_JAN01" hidden="1">{#N/A,#N/A,FALSE,"EMPPAY"}</definedName>
    <definedName name="_JAN2001" localSheetId="5" hidden="1">{#N/A,#N/A,FALSE,"EMPPAY"}</definedName>
    <definedName name="_JAN2001" localSheetId="6" hidden="1">{#N/A,#N/A,FALSE,"EMPPAY"}</definedName>
    <definedName name="_JAN2001" localSheetId="19" hidden="1">{#N/A,#N/A,FALSE,"EMPPAY"}</definedName>
    <definedName name="_JAN2001" hidden="1">{#N/A,#N/A,FALSE,"EMPPAY"}</definedName>
    <definedName name="_Key1" localSheetId="5" hidden="1">#REF!</definedName>
    <definedName name="_Key1" localSheetId="6" hidden="1">#REF!</definedName>
    <definedName name="_Key1" localSheetId="11" hidden="1">#REF!</definedName>
    <definedName name="_Key1" localSheetId="12" hidden="1">#REF!</definedName>
    <definedName name="_Key1" hidden="1">#REF!</definedName>
    <definedName name="_Order1" hidden="1">255</definedName>
    <definedName name="_Order2" hidden="1">255</definedName>
    <definedName name="_Sort" localSheetId="5" hidden="1">#REF!</definedName>
    <definedName name="_Sort" localSheetId="6"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8" hidden="1">#REF!</definedName>
    <definedName name="_Sort" localSheetId="19" hidden="1">#REF!</definedName>
    <definedName name="_Sort" localSheetId="14" hidden="1">#REF!</definedName>
    <definedName name="_Sort" hidden="1">#REF!</definedName>
    <definedName name="_sort2" localSheetId="5" hidden="1">#REF!</definedName>
    <definedName name="_sort2" localSheetId="6" hidden="1">#REF!</definedName>
    <definedName name="_sort2" localSheetId="9" hidden="1">#REF!</definedName>
    <definedName name="_sort2" localSheetId="10" hidden="1">#REF!</definedName>
    <definedName name="_sort2" localSheetId="11" hidden="1">#REF!</definedName>
    <definedName name="_sort2" localSheetId="12" hidden="1">#REF!</definedName>
    <definedName name="_sort2" localSheetId="18" hidden="1">#REF!</definedName>
    <definedName name="_sort2" localSheetId="19" hidden="1">#REF!</definedName>
    <definedName name="_sort2" localSheetId="14" hidden="1">#REF!</definedName>
    <definedName name="_sort2" hidden="1">#REF!</definedName>
    <definedName name="_tet12" localSheetId="5" hidden="1">{"assumptions",#N/A,FALSE,"Scenario 1";"valuation",#N/A,FALSE,"Scenario 1"}</definedName>
    <definedName name="_tet12" localSheetId="6" hidden="1">{"assumptions",#N/A,FALSE,"Scenario 1";"valuation",#N/A,FALSE,"Scenario 1"}</definedName>
    <definedName name="_tet12" localSheetId="19" hidden="1">{"assumptions",#N/A,FALSE,"Scenario 1";"valuation",#N/A,FALSE,"Scenario 1"}</definedName>
    <definedName name="_tet12" hidden="1">{"assumptions",#N/A,FALSE,"Scenario 1";"valuation",#N/A,FALSE,"Scenario 1"}</definedName>
    <definedName name="_tet5" localSheetId="5" hidden="1">{"assumptions",#N/A,FALSE,"Scenario 1";"valuation",#N/A,FALSE,"Scenario 1"}</definedName>
    <definedName name="_tet5" localSheetId="6" hidden="1">{"assumptions",#N/A,FALSE,"Scenario 1";"valuation",#N/A,FALSE,"Scenario 1"}</definedName>
    <definedName name="_tet5" localSheetId="19" hidden="1">{"assumptions",#N/A,FALSE,"Scenario 1";"valuation",#N/A,FALSE,"Scenario 1"}</definedName>
    <definedName name="_tet5" hidden="1">{"assumptions",#N/A,FALSE,"Scenario 1";"valuation",#N/A,FALSE,"Scenario 1"}</definedName>
    <definedName name="a" localSheetId="5" hidden="1">{"LBO Summary",#N/A,FALSE,"Summary"}</definedName>
    <definedName name="a" localSheetId="6" hidden="1">{"LBO Summary",#N/A,FALSE,"Summary"}</definedName>
    <definedName name="a" localSheetId="19"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5" hidden="1">{#N/A,#N/A,FALSE,"ARREC"}</definedName>
    <definedName name="DEC00" localSheetId="6" hidden="1">{#N/A,#N/A,FALSE,"ARREC"}</definedName>
    <definedName name="DEC00" localSheetId="19" hidden="1">{#N/A,#N/A,FALSE,"ARREC"}</definedName>
    <definedName name="DEC00" hidden="1">{#N/A,#N/A,FALSE,"ARREC"}</definedName>
    <definedName name="DocumentName" hidden="1">"b1"</definedName>
    <definedName name="DocumentNum" hidden="1">"a1"</definedName>
    <definedName name="FEB00" localSheetId="5" hidden="1">{#N/A,#N/A,FALSE,"ARREC"}</definedName>
    <definedName name="FEB00" localSheetId="6" hidden="1">{#N/A,#N/A,FALSE,"ARREC"}</definedName>
    <definedName name="FEB00" localSheetId="19" hidden="1">{#N/A,#N/A,FALSE,"ARREC"}</definedName>
    <definedName name="FEB00" hidden="1">{#N/A,#N/A,FALSE,"ARREC"}</definedName>
    <definedName name="GP">'Act Att-H'!$G$50</definedName>
    <definedName name="Library" hidden="1">"a1"</definedName>
    <definedName name="MAY" localSheetId="5" hidden="1">{#N/A,#N/A,FALSE,"EMPPAY"}</definedName>
    <definedName name="MAY" localSheetId="6" hidden="1">{#N/A,#N/A,FALSE,"EMPPAY"}</definedName>
    <definedName name="MAY" localSheetId="19" hidden="1">{#N/A,#N/A,FALSE,"EMPPAY"}</definedName>
    <definedName name="MAY" hidden="1">{#N/A,#N/A,FALSE,"EMPPAY"}</definedName>
    <definedName name="NA">0</definedName>
    <definedName name="NP">'Act Att-H'!$G$66</definedName>
    <definedName name="_xlnm.Print_Area" localSheetId="3">'A2-A&amp;G'!$A$1:$D$38</definedName>
    <definedName name="_xlnm.Print_Area" localSheetId="5">'A3.1-EDIT-DDIT'!$A$1:$R$57</definedName>
    <definedName name="_xlnm.Print_Area" localSheetId="6">'A3.2 EDIT-DDIT.dtl'!$A$1:$I$58</definedName>
    <definedName name="_xlnm.Print_Area" localSheetId="4">'A3-ADIT'!$A$1:$F$33</definedName>
    <definedName name="_xlnm.Print_Area" localSheetId="10">'A7-IncentPlant'!$A$1:$O$48</definedName>
    <definedName name="_xlnm.Print_Area" localSheetId="1">'Act Att-H'!$A$1:$K$262</definedName>
    <definedName name="_xlnm.Print_Area" localSheetId="15">'P1-Trans Plant'!$A$1:$AA$49</definedName>
    <definedName name="_xlnm.Print_Area" localSheetId="19">'P5-ADIT'!$A$1:$J$175</definedName>
    <definedName name="_xlnm.Print_Area" localSheetId="14">'Proj Att-H'!$A$1:$K$257</definedName>
    <definedName name="_xlnm.Print_Area" localSheetId="13">'TU-TrueUp'!$A$1:$I$66</definedName>
    <definedName name="_xlnm.Print_Titles" localSheetId="15">'P1-Trans Plant'!$A:$F</definedName>
    <definedName name="TE">'Act Att-H'!$I$183</definedName>
    <definedName name="test" localSheetId="5" hidden="1">{"LBO Summary",#N/A,FALSE,"Summary"}</definedName>
    <definedName name="test" localSheetId="6" hidden="1">{"LBO Summary",#N/A,FALSE,"Summary"}</definedName>
    <definedName name="test" localSheetId="19" hidden="1">{"LBO Summary",#N/A,FALSE,"Summary"}</definedName>
    <definedName name="test" hidden="1">{"LBO Summary",#N/A,FALSE,"Summary"}</definedName>
    <definedName name="test1" localSheetId="5" hidden="1">{"LBO Summary",#N/A,FALSE,"Summary";"Income Statement",#N/A,FALSE,"Model";"Cash Flow",#N/A,FALSE,"Model";"Balance Sheet",#N/A,FALSE,"Model";"Working Capital",#N/A,FALSE,"Model";"Pro Forma Balance Sheets",#N/A,FALSE,"PFBS";"Debt Balances",#N/A,FALSE,"Model";"Fee Schedules",#N/A,FALSE,"Model"}</definedName>
    <definedName name="test1" localSheetId="6" hidden="1">{"LBO Summary",#N/A,FALSE,"Summary";"Income Statement",#N/A,FALSE,"Model";"Cash Flow",#N/A,FALSE,"Model";"Balance Sheet",#N/A,FALSE,"Model";"Working Capital",#N/A,FALSE,"Model";"Pro Forma Balance Sheets",#N/A,FALSE,"PFBS";"Debt Balances",#N/A,FALSE,"Model";"Fee Schedules",#N/A,FALSE,"Model"}</definedName>
    <definedName name="test1" localSheetId="19"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5" hidden="1">{"LBO Summary",#N/A,FALSE,"Summary";"Income Statement",#N/A,FALSE,"Model";"Cash Flow",#N/A,FALSE,"Model";"Balance Sheet",#N/A,FALSE,"Model";"Working Capital",#N/A,FALSE,"Model";"Pro Forma Balance Sheets",#N/A,FALSE,"PFBS";"Debt Balances",#N/A,FALSE,"Model";"Fee Schedules",#N/A,FALSE,"Model"}</definedName>
    <definedName name="test10" localSheetId="6" hidden="1">{"LBO Summary",#N/A,FALSE,"Summary";"Income Statement",#N/A,FALSE,"Model";"Cash Flow",#N/A,FALSE,"Model";"Balance Sheet",#N/A,FALSE,"Model";"Working Capital",#N/A,FALSE,"Model";"Pro Forma Balance Sheets",#N/A,FALSE,"PFBS";"Debt Balances",#N/A,FALSE,"Model";"Fee Schedules",#N/A,FALSE,"Model"}</definedName>
    <definedName name="test10" localSheetId="19"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5" hidden="1">{"LBO Summary",#N/A,FALSE,"Summary"}</definedName>
    <definedName name="test11" localSheetId="6" hidden="1">{"LBO Summary",#N/A,FALSE,"Summary"}</definedName>
    <definedName name="test11" localSheetId="19" hidden="1">{"LBO Summary",#N/A,FALSE,"Summary"}</definedName>
    <definedName name="test11" hidden="1">{"LBO Summary",#N/A,FALSE,"Summary"}</definedName>
    <definedName name="test12" localSheetId="5" hidden="1">{"assumptions",#N/A,FALSE,"Scenario 1";"valuation",#N/A,FALSE,"Scenario 1"}</definedName>
    <definedName name="test12" localSheetId="6" hidden="1">{"assumptions",#N/A,FALSE,"Scenario 1";"valuation",#N/A,FALSE,"Scenario 1"}</definedName>
    <definedName name="test12" localSheetId="19" hidden="1">{"assumptions",#N/A,FALSE,"Scenario 1";"valuation",#N/A,FALSE,"Scenario 1"}</definedName>
    <definedName name="test12" hidden="1">{"assumptions",#N/A,FALSE,"Scenario 1";"valuation",#N/A,FALSE,"Scenario 1"}</definedName>
    <definedName name="test13" localSheetId="5" hidden="1">{"LBO Summary",#N/A,FALSE,"Summary"}</definedName>
    <definedName name="test13" localSheetId="6" hidden="1">{"LBO Summary",#N/A,FALSE,"Summary"}</definedName>
    <definedName name="test13" localSheetId="19" hidden="1">{"LBO Summary",#N/A,FALSE,"Summary"}</definedName>
    <definedName name="test13" hidden="1">{"LBO Summary",#N/A,FALSE,"Summary"}</definedName>
    <definedName name="test14" localSheetId="5" hidden="1">{"LBO Summary",#N/A,FALSE,"Summary";"Income Statement",#N/A,FALSE,"Model";"Cash Flow",#N/A,FALSE,"Model";"Balance Sheet",#N/A,FALSE,"Model";"Working Capital",#N/A,FALSE,"Model";"Pro Forma Balance Sheets",#N/A,FALSE,"PFBS";"Debt Balances",#N/A,FALSE,"Model";"Fee Schedules",#N/A,FALSE,"Model"}</definedName>
    <definedName name="test14" localSheetId="6" hidden="1">{"LBO Summary",#N/A,FALSE,"Summary";"Income Statement",#N/A,FALSE,"Model";"Cash Flow",#N/A,FALSE,"Model";"Balance Sheet",#N/A,FALSE,"Model";"Working Capital",#N/A,FALSE,"Model";"Pro Forma Balance Sheets",#N/A,FALSE,"PFBS";"Debt Balances",#N/A,FALSE,"Model";"Fee Schedules",#N/A,FALSE,"Model"}</definedName>
    <definedName name="test14" localSheetId="19"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5" hidden="1">{"LBO Summary",#N/A,FALSE,"Summary";"Income Statement",#N/A,FALSE,"Model";"Cash Flow",#N/A,FALSE,"Model";"Balance Sheet",#N/A,FALSE,"Model";"Working Capital",#N/A,FALSE,"Model";"Pro Forma Balance Sheets",#N/A,FALSE,"PFBS";"Debt Balances",#N/A,FALSE,"Model";"Fee Schedules",#N/A,FALSE,"Model"}</definedName>
    <definedName name="test15" localSheetId="6" hidden="1">{"LBO Summary",#N/A,FALSE,"Summary";"Income Statement",#N/A,FALSE,"Model";"Cash Flow",#N/A,FALSE,"Model";"Balance Sheet",#N/A,FALSE,"Model";"Working Capital",#N/A,FALSE,"Model";"Pro Forma Balance Sheets",#N/A,FALSE,"PFBS";"Debt Balances",#N/A,FALSE,"Model";"Fee Schedules",#N/A,FALSE,"Model"}</definedName>
    <definedName name="test15" localSheetId="19"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5" hidden="1">{"LBO Summary",#N/A,FALSE,"Summary";"Income Statement",#N/A,FALSE,"Model";"Cash Flow",#N/A,FALSE,"Model";"Balance Sheet",#N/A,FALSE,"Model";"Working Capital",#N/A,FALSE,"Model";"Pro Forma Balance Sheets",#N/A,FALSE,"PFBS";"Debt Balances",#N/A,FALSE,"Model";"Fee Schedules",#N/A,FALSE,"Model"}</definedName>
    <definedName name="test16" localSheetId="6" hidden="1">{"LBO Summary",#N/A,FALSE,"Summary";"Income Statement",#N/A,FALSE,"Model";"Cash Flow",#N/A,FALSE,"Model";"Balance Sheet",#N/A,FALSE,"Model";"Working Capital",#N/A,FALSE,"Model";"Pro Forma Balance Sheets",#N/A,FALSE,"PFBS";"Debt Balances",#N/A,FALSE,"Model";"Fee Schedules",#N/A,FALSE,"Model"}</definedName>
    <definedName name="test16" localSheetId="19"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5" hidden="1">{"LBO Summary",#N/A,FALSE,"Summary"}</definedName>
    <definedName name="test2" localSheetId="6" hidden="1">{"LBO Summary",#N/A,FALSE,"Summary"}</definedName>
    <definedName name="test2" localSheetId="19" hidden="1">{"LBO Summary",#N/A,FALSE,"Summary"}</definedName>
    <definedName name="test2" hidden="1">{"LBO Summary",#N/A,FALSE,"Summary"}</definedName>
    <definedName name="test4" localSheetId="5" hidden="1">{"assumptions",#N/A,FALSE,"Scenario 1";"valuation",#N/A,FALSE,"Scenario 1"}</definedName>
    <definedName name="test4" localSheetId="6" hidden="1">{"assumptions",#N/A,FALSE,"Scenario 1";"valuation",#N/A,FALSE,"Scenario 1"}</definedName>
    <definedName name="test4" localSheetId="19" hidden="1">{"assumptions",#N/A,FALSE,"Scenario 1";"valuation",#N/A,FALSE,"Scenario 1"}</definedName>
    <definedName name="test4" hidden="1">{"assumptions",#N/A,FALSE,"Scenario 1";"valuation",#N/A,FALSE,"Scenario 1"}</definedName>
    <definedName name="test6" localSheetId="5" hidden="1">{"LBO Summary",#N/A,FALSE,"Summary"}</definedName>
    <definedName name="test6" localSheetId="6" hidden="1">{"LBO Summary",#N/A,FALSE,"Summary"}</definedName>
    <definedName name="test6" localSheetId="19" hidden="1">{"LBO Summary",#N/A,FALSE,"Summary"}</definedName>
    <definedName name="test6" hidden="1">{"LBO Summary",#N/A,FALSE,"Summary"}</definedName>
    <definedName name="TextRefCopyRangeCount" hidden="1">1</definedName>
    <definedName name="Time" hidden="1">"b1"</definedName>
    <definedName name="TP">'Act Att-H'!$I$174</definedName>
    <definedName name="Typist" hidden="1">"b1"</definedName>
    <definedName name="Value" localSheetId="5" hidden="1">{"assumptions",#N/A,FALSE,"Scenario 1";"valuation",#N/A,FALSE,"Scenario 1"}</definedName>
    <definedName name="Value" localSheetId="6" hidden="1">{"assumptions",#N/A,FALSE,"Scenario 1";"valuation",#N/A,FALSE,"Scenario 1"}</definedName>
    <definedName name="Value" localSheetId="19" hidden="1">{"assumptions",#N/A,FALSE,"Scenario 1";"valuation",#N/A,FALSE,"Scenario 1"}</definedName>
    <definedName name="Value" hidden="1">{"assumptions",#N/A,FALSE,"Scenario 1";"valuation",#N/A,FALSE,"Scenario 1"}</definedName>
    <definedName name="Version" hidden="1">"a1"</definedName>
    <definedName name="WCLTD">'Act Att-H'!$I$212</definedName>
    <definedName name="wrn.ARREC." localSheetId="5" hidden="1">{#N/A,#N/A,FALSE,"ARREC"}</definedName>
    <definedName name="wrn.ARREC." localSheetId="6" hidden="1">{#N/A,#N/A,FALSE,"ARREC"}</definedName>
    <definedName name="wrn.ARREC." localSheetId="19" hidden="1">{#N/A,#N/A,FALSE,"ARREC"}</definedName>
    <definedName name="wrn.ARREC." hidden="1">{#N/A,#N/A,FALSE,"ARREC"}</definedName>
    <definedName name="wrn.CP._.Demand." localSheetId="5" hidden="1">{"Retail CP pg1",#N/A,FALSE,"FACTOR3";"Retail CP pg2",#N/A,FALSE,"FACTOR3";"Retail CP pg3",#N/A,FALSE,"FACTOR3"}</definedName>
    <definedName name="wrn.CP._.Demand." localSheetId="6" hidden="1">{"Retail CP pg1",#N/A,FALSE,"FACTOR3";"Retail CP pg2",#N/A,FALSE,"FACTOR3";"Retail CP pg3",#N/A,FALSE,"FACTOR3"}</definedName>
    <definedName name="wrn.CP._.Demand." localSheetId="19" hidden="1">{"Retail CP pg1",#N/A,FALSE,"FACTOR3";"Retail CP pg2",#N/A,FALSE,"FACTOR3";"Retail CP pg3",#N/A,FALSE,"FACTOR3"}</definedName>
    <definedName name="wrn.CP._.Demand." hidden="1">{"Retail CP pg1",#N/A,FALSE,"FACTOR3";"Retail CP pg2",#N/A,FALSE,"FACTOR3";"Retail CP pg3",#N/A,FALSE,"FACTOR3"}</definedName>
    <definedName name="wrn.CP._.Demand2." localSheetId="5" hidden="1">{"Retail CP pg1",#N/A,FALSE,"FACTOR3";"Retail CP pg2",#N/A,FALSE,"FACTOR3";"Retail CP pg3",#N/A,FALSE,"FACTOR3"}</definedName>
    <definedName name="wrn.CP._.Demand2." localSheetId="6" hidden="1">{"Retail CP pg1",#N/A,FALSE,"FACTOR3";"Retail CP pg2",#N/A,FALSE,"FACTOR3";"Retail CP pg3",#N/A,FALSE,"FACTOR3"}</definedName>
    <definedName name="wrn.CP._.Demand2." localSheetId="19" hidden="1">{"Retail CP pg1",#N/A,FALSE,"FACTOR3";"Retail CP pg2",#N/A,FALSE,"FACTOR3";"Retail CP pg3",#N/A,FALSE,"FACTOR3"}</definedName>
    <definedName name="wrn.CP._.Demand2." hidden="1">{"Retail CP pg1",#N/A,FALSE,"FACTOR3";"Retail CP pg2",#N/A,FALSE,"FACTOR3";"Retail CP pg3",#N/A,FALSE,"FACTOR3"}</definedName>
    <definedName name="wrn.EMPPAY." localSheetId="5" hidden="1">{#N/A,#N/A,FALSE,"EMPPAY"}</definedName>
    <definedName name="wrn.EMPPAY." localSheetId="6" hidden="1">{#N/A,#N/A,FALSE,"EMPPAY"}</definedName>
    <definedName name="wrn.EMPPAY." localSheetId="19" hidden="1">{#N/A,#N/A,FALSE,"EMPPAY"}</definedName>
    <definedName name="wrn.EMPPAY." hidden="1">{#N/A,#N/A,FALSE,"EMPPAY"}</definedName>
    <definedName name="wrn.IPO._.Valuation." localSheetId="5" hidden="1">{"assumptions",#N/A,FALSE,"Scenario 1";"valuation",#N/A,FALSE,"Scenario 1"}</definedName>
    <definedName name="wrn.IPO._.Valuation." localSheetId="6" hidden="1">{"assumptions",#N/A,FALSE,"Scenario 1";"valuation",#N/A,FALSE,"Scenario 1"}</definedName>
    <definedName name="wrn.IPO._.Valuation." localSheetId="19" hidden="1">{"assumptions",#N/A,FALSE,"Scenario 1";"valuation",#N/A,FALSE,"Scenario 1"}</definedName>
    <definedName name="wrn.IPO._.Valuation." hidden="1">{"assumptions",#N/A,FALSE,"Scenario 1";"valuation",#N/A,FALSE,"Scenario 1"}</definedName>
    <definedName name="wrn.LBO._.Summary." localSheetId="5" hidden="1">{"LBO Summary",#N/A,FALSE,"Summary"}</definedName>
    <definedName name="wrn.LBO._.Summary." localSheetId="6" hidden="1">{"LBO Summary",#N/A,FALSE,"Summary"}</definedName>
    <definedName name="wrn.LBO._.Summary." localSheetId="19" hidden="1">{"LBO Summary",#N/A,FALSE,"Summary"}</definedName>
    <definedName name="wrn.LBO._.Summary." hidden="1">{"LBO Summary",#N/A,FALSE,"Summary"}</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19"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Att-H'!$I$191</definedName>
    <definedName name="xx" localSheetId="5" hidden="1">{#N/A,#N/A,FALSE,"EMPPAY"}</definedName>
    <definedName name="xx" localSheetId="6" hidden="1">{#N/A,#N/A,FALSE,"EMPPAY"}</definedName>
    <definedName name="xx" localSheetId="19" hidden="1">{#N/A,#N/A,FALSE,"EMPPAY"}</definedName>
    <definedName name="xx" hidden="1">{#N/A,#N/A,FALSE,"EMPPAY"}</definedName>
    <definedName name="Z_5C332329_7D4E_4C16_8567_CAD656F9D2F1_.wvu.PrintArea" localSheetId="13" hidden="1">'TU-TrueUp'!$A$2:$I$65</definedName>
    <definedName name="Z_5C332329_7D4E_4C16_8567_CAD656F9D2F1_.wvu.PrintTitles" localSheetId="13" hidden="1">'TU-TrueUp'!$2:$4</definedName>
    <definedName name="Z_F04A2B9A_C6FE_4FEB_AD1E_2CF9AC309BE4_.wvu.PrintArea" localSheetId="7" hidden="1">'A4-Rate Base'!$A$1:$I$115</definedName>
    <definedName name="Z_F04A2B9A_C6FE_4FEB_AD1E_2CF9AC309BE4_.wvu.PrintArea" localSheetId="10" hidden="1">'A7-IncentPlant'!$A$1:$L$129</definedName>
    <definedName name="Z_F04A2B9A_C6FE_4FEB_AD1E_2CF9AC309BE4_.wvu.PrintArea" localSheetId="18" hidden="1">'P4-IncentPlant'!$A$1:$L$135</definedName>
    <definedName name="Z_FAA8FFD9_C96B_4A1B_8B9E_B863FD90DDBA_.wvu.PrintArea" localSheetId="15" hidden="1">'P1-Trans Plant'!$A$1:$AN$46</definedName>
    <definedName name="Z_FAA8FFD9_C96B_4A1B_8B9E_B863FD90DDBA_.wvu.PrintArea" localSheetId="17" hidden="1">'P3-Divisor'!$A$1:$O$30</definedName>
    <definedName name="Z_FAA8FFD9_C96B_4A1B_8B9E_B863FD90DDBA_.wvu.PrintTitles" localSheetId="15"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2" i="9" l="1"/>
  <c r="I200" i="9"/>
  <c r="E24" i="39" l="1"/>
  <c r="E23" i="39"/>
  <c r="E22" i="39"/>
  <c r="E21" i="39"/>
  <c r="E20" i="39"/>
  <c r="E19" i="39"/>
  <c r="E18" i="39"/>
  <c r="E17" i="39"/>
  <c r="E15" i="39"/>
  <c r="E14" i="39"/>
  <c r="E13" i="39"/>
  <c r="E12" i="39"/>
  <c r="E11" i="39"/>
  <c r="E10" i="39"/>
  <c r="E9" i="39"/>
  <c r="I80" i="9" l="1"/>
  <c r="D80" i="9"/>
  <c r="N27" i="4" l="1"/>
  <c r="N28" i="4"/>
  <c r="N29" i="4"/>
  <c r="D9" i="31" l="1"/>
  <c r="I206" i="9" l="1"/>
  <c r="I32" i="41" l="1"/>
  <c r="I31" i="41"/>
  <c r="H32" i="41"/>
  <c r="H31" i="41"/>
  <c r="G32" i="41"/>
  <c r="G31" i="41"/>
  <c r="J135" i="37" l="1"/>
  <c r="F140" i="37"/>
  <c r="J72" i="37"/>
  <c r="F72" i="37"/>
  <c r="E51" i="42"/>
  <c r="E50" i="42"/>
  <c r="D50" i="42"/>
  <c r="G49" i="42"/>
  <c r="F49" i="42"/>
  <c r="F48" i="42"/>
  <c r="G48" i="42" s="1"/>
  <c r="F47" i="42"/>
  <c r="G47" i="42" s="1"/>
  <c r="F46" i="42"/>
  <c r="G46" i="42" s="1"/>
  <c r="F45" i="42"/>
  <c r="G45" i="42" s="1"/>
  <c r="F44" i="42"/>
  <c r="G44" i="42" s="1"/>
  <c r="G43" i="42"/>
  <c r="F43" i="42"/>
  <c r="F42" i="42"/>
  <c r="G42" i="42" s="1"/>
  <c r="F41" i="42"/>
  <c r="G41" i="42" s="1"/>
  <c r="F40" i="42"/>
  <c r="G40" i="42" s="1"/>
  <c r="F39" i="42"/>
  <c r="G39" i="42" s="1"/>
  <c r="F38" i="42"/>
  <c r="G38" i="42" s="1"/>
  <c r="F37" i="42"/>
  <c r="G37" i="42" s="1"/>
  <c r="F36" i="42"/>
  <c r="G36" i="42" s="1"/>
  <c r="F35" i="42"/>
  <c r="F50" i="42" s="1"/>
  <c r="E30" i="42"/>
  <c r="D30" i="42"/>
  <c r="G29" i="42"/>
  <c r="F29" i="42"/>
  <c r="F28" i="42"/>
  <c r="G28" i="42" s="1"/>
  <c r="G27" i="42"/>
  <c r="H27" i="42" s="1"/>
  <c r="I27" i="42" s="1"/>
  <c r="F27" i="42"/>
  <c r="F26" i="42"/>
  <c r="G26" i="42" s="1"/>
  <c r="A26" i="42"/>
  <c r="A27" i="42" s="1"/>
  <c r="A28" i="42" s="1"/>
  <c r="A29" i="42" s="1"/>
  <c r="F25" i="42"/>
  <c r="G25" i="42" s="1"/>
  <c r="F24" i="42"/>
  <c r="G24" i="42" s="1"/>
  <c r="F23" i="42"/>
  <c r="G23" i="42" s="1"/>
  <c r="G22" i="42"/>
  <c r="F22" i="42"/>
  <c r="F30" i="42" s="1"/>
  <c r="E19" i="42"/>
  <c r="E32" i="42" s="1"/>
  <c r="E52" i="42" s="1"/>
  <c r="D19" i="42"/>
  <c r="D32" i="42" s="1"/>
  <c r="D52" i="42" s="1"/>
  <c r="G18" i="42"/>
  <c r="F18" i="42"/>
  <c r="F17" i="42"/>
  <c r="G17" i="42" s="1"/>
  <c r="H17" i="42" s="1"/>
  <c r="I17" i="42" s="1"/>
  <c r="F16" i="42"/>
  <c r="G16" i="42" s="1"/>
  <c r="F15" i="42"/>
  <c r="G15" i="42" s="1"/>
  <c r="G35" i="42" l="1"/>
  <c r="G30" i="42"/>
  <c r="H45" i="42"/>
  <c r="I45" i="42" s="1"/>
  <c r="H28" i="42"/>
  <c r="I28" i="42" s="1"/>
  <c r="H39" i="42"/>
  <c r="I39" i="42" s="1"/>
  <c r="I46" i="42"/>
  <c r="H23" i="42"/>
  <c r="I23" i="42" s="1"/>
  <c r="H48" i="42"/>
  <c r="I48" i="42" s="1"/>
  <c r="H15" i="42"/>
  <c r="G19" i="42"/>
  <c r="G32" i="42" s="1"/>
  <c r="I15" i="42"/>
  <c r="H16" i="42"/>
  <c r="I16" i="42" s="1"/>
  <c r="H42" i="42"/>
  <c r="I42" i="42"/>
  <c r="I25" i="42"/>
  <c r="G50" i="42"/>
  <c r="H36" i="42"/>
  <c r="I36" i="42"/>
  <c r="I43" i="42"/>
  <c r="H26" i="42"/>
  <c r="I26" i="42" s="1"/>
  <c r="I18" i="42"/>
  <c r="F19" i="42"/>
  <c r="F32" i="42" s="1"/>
  <c r="F52" i="42" s="1"/>
  <c r="H25" i="42"/>
  <c r="H35" i="42"/>
  <c r="H41" i="42"/>
  <c r="I41" i="42" s="1"/>
  <c r="H47" i="42"/>
  <c r="I47" i="42" s="1"/>
  <c r="I22" i="42"/>
  <c r="I35" i="42"/>
  <c r="H18" i="42"/>
  <c r="H24" i="42"/>
  <c r="I24" i="42" s="1"/>
  <c r="H29" i="42"/>
  <c r="I29" i="42" s="1"/>
  <c r="H37" i="42"/>
  <c r="I37" i="42" s="1"/>
  <c r="H40" i="42"/>
  <c r="I40" i="42" s="1"/>
  <c r="H43" i="42"/>
  <c r="H46" i="42"/>
  <c r="H49" i="42"/>
  <c r="I49" i="42" s="1"/>
  <c r="H22" i="42"/>
  <c r="H38" i="42"/>
  <c r="I38" i="42" s="1"/>
  <c r="H44" i="42"/>
  <c r="I44" i="42" s="1"/>
  <c r="G52" i="42" l="1"/>
  <c r="I50" i="42"/>
  <c r="I30" i="42"/>
  <c r="H30" i="42"/>
  <c r="H50" i="42"/>
  <c r="I19" i="42"/>
  <c r="I32" i="42" s="1"/>
  <c r="H19" i="42"/>
  <c r="H32" i="42" s="1"/>
  <c r="H52" i="42" s="1"/>
  <c r="I52" i="42" l="1"/>
  <c r="B39" i="41"/>
  <c r="B40" i="41" s="1"/>
  <c r="B41" i="41" s="1"/>
  <c r="B42" i="41" s="1"/>
  <c r="B43" i="41" s="1"/>
  <c r="B44" i="41" s="1"/>
  <c r="B35" i="41"/>
  <c r="B36" i="41" s="1"/>
  <c r="I34" i="41"/>
  <c r="H34" i="41"/>
  <c r="G34" i="41"/>
  <c r="P33" i="41"/>
  <c r="O33" i="41"/>
  <c r="N33" i="41"/>
  <c r="M33" i="41"/>
  <c r="B33" i="41"/>
  <c r="O32" i="41"/>
  <c r="O34" i="41" s="1"/>
  <c r="N32" i="41"/>
  <c r="N34" i="41" s="1"/>
  <c r="M32" i="41"/>
  <c r="J32" i="41"/>
  <c r="P32" i="41" s="1"/>
  <c r="B32" i="41"/>
  <c r="O31" i="41"/>
  <c r="N31" i="41"/>
  <c r="M31" i="41"/>
  <c r="J31" i="41"/>
  <c r="P31" i="41" s="1"/>
  <c r="H29" i="41"/>
  <c r="G29" i="41"/>
  <c r="P28" i="41"/>
  <c r="O28" i="41"/>
  <c r="N28" i="41"/>
  <c r="M28" i="41"/>
  <c r="O27" i="41"/>
  <c r="N27" i="41"/>
  <c r="M27" i="41"/>
  <c r="P27" i="41"/>
  <c r="O26" i="41"/>
  <c r="N26" i="41"/>
  <c r="M26" i="41"/>
  <c r="P26" i="41"/>
  <c r="O25" i="41"/>
  <c r="N25" i="41"/>
  <c r="M25" i="41"/>
  <c r="P25" i="41"/>
  <c r="N24" i="41"/>
  <c r="M24" i="41"/>
  <c r="B24" i="41"/>
  <c r="B25" i="41" s="1"/>
  <c r="B26" i="41" s="1"/>
  <c r="B27" i="41" s="1"/>
  <c r="B28" i="41" s="1"/>
  <c r="I19" i="41"/>
  <c r="I41" i="41" s="1"/>
  <c r="H19" i="41"/>
  <c r="G19" i="41"/>
  <c r="P18" i="41"/>
  <c r="O18" i="41"/>
  <c r="N18" i="41"/>
  <c r="M18" i="41"/>
  <c r="O17" i="41"/>
  <c r="O19" i="41" s="1"/>
  <c r="N17" i="41"/>
  <c r="N19" i="41" s="1"/>
  <c r="M17" i="41"/>
  <c r="M19" i="41" s="1"/>
  <c r="P17" i="41"/>
  <c r="P19" i="41" s="1"/>
  <c r="N15" i="41"/>
  <c r="I15" i="41"/>
  <c r="H15" i="41"/>
  <c r="G15" i="41"/>
  <c r="P14" i="41"/>
  <c r="O14" i="41"/>
  <c r="N14" i="41"/>
  <c r="M14" i="41"/>
  <c r="B14" i="41"/>
  <c r="P13" i="41"/>
  <c r="P15" i="41" s="1"/>
  <c r="O13" i="41"/>
  <c r="O15" i="41" s="1"/>
  <c r="N13" i="41"/>
  <c r="M13" i="41"/>
  <c r="M15" i="41" s="1"/>
  <c r="J15" i="41"/>
  <c r="B13" i="41"/>
  <c r="P7" i="41"/>
  <c r="O7" i="41"/>
  <c r="N7" i="41"/>
  <c r="M7" i="41"/>
  <c r="N26" i="4"/>
  <c r="H36" i="41" l="1"/>
  <c r="H41" i="41"/>
  <c r="H42" i="41" s="1"/>
  <c r="P34" i="41"/>
  <c r="P41" i="41" s="1"/>
  <c r="J34" i="41"/>
  <c r="G36" i="41"/>
  <c r="G41" i="41"/>
  <c r="M34" i="41"/>
  <c r="M41" i="41" s="1"/>
  <c r="N29" i="41"/>
  <c r="N36" i="41" s="1"/>
  <c r="M29" i="41"/>
  <c r="M36" i="41" s="1"/>
  <c r="I21" i="41"/>
  <c r="G21" i="41"/>
  <c r="H21" i="41"/>
  <c r="H40" i="41"/>
  <c r="G40" i="41"/>
  <c r="O21" i="41"/>
  <c r="M21" i="41"/>
  <c r="P21" i="41"/>
  <c r="N41" i="41"/>
  <c r="O41" i="41"/>
  <c r="N21" i="41"/>
  <c r="J19" i="41"/>
  <c r="J41" i="41" s="1"/>
  <c r="M40" i="41" l="1"/>
  <c r="G42" i="41"/>
  <c r="N40" i="41"/>
  <c r="N42" i="41" s="1"/>
  <c r="D143" i="9" s="1"/>
  <c r="H152" i="37"/>
  <c r="J167" i="37"/>
  <c r="M42" i="41"/>
  <c r="J21" i="41"/>
  <c r="F91" i="23"/>
  <c r="F92" i="23"/>
  <c r="F93" i="23"/>
  <c r="F94" i="23"/>
  <c r="F95" i="23"/>
  <c r="F96" i="23"/>
  <c r="F97" i="23"/>
  <c r="F98" i="23"/>
  <c r="F99" i="23"/>
  <c r="F100" i="23"/>
  <c r="F101" i="23"/>
  <c r="F102" i="23"/>
  <c r="F103" i="23"/>
  <c r="F23" i="15" l="1"/>
  <c r="I178" i="9" l="1"/>
  <c r="H82" i="23"/>
  <c r="G82" i="23"/>
  <c r="F82" i="23"/>
  <c r="E82" i="23"/>
  <c r="D82" i="23"/>
  <c r="C46" i="23"/>
  <c r="D23" i="16" l="1"/>
  <c r="D25" i="16" s="1"/>
  <c r="B54" i="25" l="1"/>
  <c r="B55" i="25"/>
  <c r="N25" i="4" l="1"/>
  <c r="D14" i="16" l="1"/>
  <c r="N24" i="4" l="1"/>
  <c r="F110" i="9"/>
  <c r="G213" i="9" l="1"/>
  <c r="E33" i="39" l="1"/>
  <c r="F11" i="40" l="1"/>
  <c r="F9" i="40"/>
  <c r="H13" i="39" l="1"/>
  <c r="H14" i="39"/>
  <c r="H17" i="39"/>
  <c r="J19" i="29" l="1"/>
  <c r="N19" i="29" l="1"/>
  <c r="G18" i="39" l="1"/>
  <c r="G19" i="39"/>
  <c r="G20" i="39"/>
  <c r="G21" i="39"/>
  <c r="G25" i="39"/>
  <c r="G26" i="39"/>
  <c r="G27" i="39"/>
  <c r="G28" i="39"/>
  <c r="G29" i="39"/>
  <c r="G30" i="39"/>
  <c r="G31" i="39"/>
  <c r="G32" i="39"/>
  <c r="I70" i="23" l="1"/>
  <c r="E34" i="39" s="1"/>
  <c r="E35" i="39" s="1"/>
  <c r="D191" i="25"/>
  <c r="D190" i="25"/>
  <c r="H21" i="39" l="1"/>
  <c r="H20" i="39"/>
  <c r="H19" i="39"/>
  <c r="H18" i="39"/>
  <c r="G11" i="40"/>
  <c r="G9" i="40"/>
  <c r="A3" i="40"/>
  <c r="H25" i="39" l="1"/>
  <c r="H26" i="39"/>
  <c r="H27" i="39"/>
  <c r="H28" i="39"/>
  <c r="H29" i="39"/>
  <c r="H30" i="39"/>
  <c r="H31" i="39"/>
  <c r="H32" i="39"/>
  <c r="A3" i="39"/>
  <c r="A44" i="37" l="1"/>
  <c r="J26" i="37" l="1"/>
  <c r="J98" i="37"/>
  <c r="D139" i="25" l="1"/>
  <c r="F21" i="15"/>
  <c r="F20" i="15"/>
  <c r="F19" i="15"/>
  <c r="F22" i="15" l="1"/>
  <c r="F24" i="15" s="1"/>
  <c r="D79" i="9" s="1"/>
  <c r="A19" i="15"/>
  <c r="A20" i="15" s="1"/>
  <c r="A21" i="15" s="1"/>
  <c r="A22" i="15" s="1"/>
  <c r="A23" i="15" s="1"/>
  <c r="A24" i="15" s="1"/>
  <c r="F163" i="37" l="1"/>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H96" i="37"/>
  <c r="I95" i="37"/>
  <c r="J133" i="37"/>
  <c r="A12" i="37"/>
  <c r="A13" i="37" s="1"/>
  <c r="A14" i="37" s="1"/>
  <c r="A15" i="37" s="1"/>
  <c r="A16" i="37" s="1"/>
  <c r="A17" i="37" s="1"/>
  <c r="A18" i="37" s="1"/>
  <c r="A19" i="37" s="1"/>
  <c r="A20" i="37" s="1"/>
  <c r="A21" i="37" s="1"/>
  <c r="A22" i="37" s="1"/>
  <c r="A23" i="37" s="1"/>
  <c r="F13" i="37"/>
  <c r="F51" i="37"/>
  <c r="I51" i="37" s="1"/>
  <c r="F119" i="37"/>
  <c r="I119" i="37" s="1"/>
  <c r="F12" i="37"/>
  <c r="F85" i="37"/>
  <c r="I85" i="37" s="1"/>
  <c r="A109" i="37"/>
  <c r="A75" i="37"/>
  <c r="A41" i="37"/>
  <c r="A143" i="37" s="1"/>
  <c r="F50" i="37"/>
  <c r="I50" i="37" s="1"/>
  <c r="F84" i="37"/>
  <c r="I84" i="37" s="1"/>
  <c r="F118" i="37"/>
  <c r="I118" i="37" s="1"/>
  <c r="J84" i="37" l="1"/>
  <c r="J85" i="37" s="1"/>
  <c r="J118" i="37"/>
  <c r="J119" i="37" s="1"/>
  <c r="F120" i="37"/>
  <c r="I120" i="37" s="1"/>
  <c r="F14" i="37"/>
  <c r="F153" i="37"/>
  <c r="J50" i="37"/>
  <c r="J51" i="37" s="1"/>
  <c r="A24" i="37"/>
  <c r="A26" i="37" s="1"/>
  <c r="F86" i="37"/>
  <c r="I86" i="37" s="1"/>
  <c r="F52" i="37"/>
  <c r="I52" i="37" s="1"/>
  <c r="F15" i="37" l="1"/>
  <c r="F53" i="37"/>
  <c r="I53" i="37" s="1"/>
  <c r="F87" i="37"/>
  <c r="I87" i="37" s="1"/>
  <c r="A27" i="37"/>
  <c r="A28" i="37" s="1"/>
  <c r="F154" i="37"/>
  <c r="J120" i="37"/>
  <c r="F121" i="37"/>
  <c r="I121" i="37" s="1"/>
  <c r="J52" i="37"/>
  <c r="J86" i="37"/>
  <c r="J53" i="37" l="1"/>
  <c r="A29" i="37"/>
  <c r="F54" i="37"/>
  <c r="I54" i="37" s="1"/>
  <c r="F16" i="37"/>
  <c r="F122" i="37"/>
  <c r="I122" i="37" s="1"/>
  <c r="F155" i="37"/>
  <c r="F88" i="37"/>
  <c r="I88" i="37" s="1"/>
  <c r="J121" i="37"/>
  <c r="J87" i="37"/>
  <c r="J54" i="37" l="1"/>
  <c r="F156" i="37"/>
  <c r="J122" i="37"/>
  <c r="F55" i="37"/>
  <c r="I55" i="37" s="1"/>
  <c r="J55" i="37" s="1"/>
  <c r="F123" i="37"/>
  <c r="I123" i="37" s="1"/>
  <c r="J88" i="37"/>
  <c r="A30" i="37"/>
  <c r="A31" i="37" s="1"/>
  <c r="F89" i="37"/>
  <c r="I89" i="37" s="1"/>
  <c r="F17" i="37"/>
  <c r="J89" i="37" l="1"/>
  <c r="F18" i="37"/>
  <c r="F124" i="37"/>
  <c r="I124" i="37" s="1"/>
  <c r="F56" i="37"/>
  <c r="I56" i="37" s="1"/>
  <c r="J56" i="37" s="1"/>
  <c r="F157" i="37"/>
  <c r="F90" i="37"/>
  <c r="I90" i="37" s="1"/>
  <c r="J123" i="37"/>
  <c r="J124" i="37" l="1"/>
  <c r="J90" i="37"/>
  <c r="F91" i="37"/>
  <c r="I91" i="37" s="1"/>
  <c r="F57" i="37"/>
  <c r="I57" i="37" s="1"/>
  <c r="J57" i="37" s="1"/>
  <c r="A45" i="37"/>
  <c r="A47" i="37" s="1"/>
  <c r="A48" i="37" s="1"/>
  <c r="A49" i="37" s="1"/>
  <c r="F158" i="37"/>
  <c r="F125" i="37"/>
  <c r="I125" i="37" s="1"/>
  <c r="J125" i="37" s="1"/>
  <c r="F19" i="37"/>
  <c r="J91" i="37" l="1"/>
  <c r="F58" i="37"/>
  <c r="I58" i="37" s="1"/>
  <c r="J58" i="37" s="1"/>
  <c r="F20" i="37"/>
  <c r="F126" i="37"/>
  <c r="I126" i="37" s="1"/>
  <c r="J126" i="37" s="1"/>
  <c r="F66" i="37"/>
  <c r="A50" i="37"/>
  <c r="A51" i="37" s="1"/>
  <c r="A52" i="37" s="1"/>
  <c r="A53" i="37" s="1"/>
  <c r="A54" i="37" s="1"/>
  <c r="A55" i="37" s="1"/>
  <c r="A56" i="37" s="1"/>
  <c r="A57" i="37" s="1"/>
  <c r="A58" i="37" s="1"/>
  <c r="A59" i="37" s="1"/>
  <c r="A60" i="37" s="1"/>
  <c r="A61" i="37" s="1"/>
  <c r="F92" i="37"/>
  <c r="I92" i="37" s="1"/>
  <c r="F159" i="37"/>
  <c r="J92" i="37" l="1"/>
  <c r="F60" i="37"/>
  <c r="I60" i="37" s="1"/>
  <c r="F59" i="37"/>
  <c r="I59" i="37" s="1"/>
  <c r="J59" i="37" s="1"/>
  <c r="F93" i="37"/>
  <c r="I93" i="37" s="1"/>
  <c r="F94" i="37"/>
  <c r="I94" i="37" s="1"/>
  <c r="F128" i="37"/>
  <c r="I128" i="37" s="1"/>
  <c r="F127" i="37"/>
  <c r="I127" i="37" s="1"/>
  <c r="J127" i="37" s="1"/>
  <c r="F22" i="37"/>
  <c r="F21" i="37"/>
  <c r="F160" i="37"/>
  <c r="F69" i="37"/>
  <c r="A62" i="37"/>
  <c r="A64" i="37" s="1"/>
  <c r="J93" i="37" l="1"/>
  <c r="J94" i="37" s="1"/>
  <c r="J95" i="37" s="1"/>
  <c r="J128" i="37"/>
  <c r="J129" i="37" s="1"/>
  <c r="J137" i="37" s="1"/>
  <c r="I130" i="37"/>
  <c r="I96" i="37"/>
  <c r="A65" i="37"/>
  <c r="A66" i="37" s="1"/>
  <c r="F65" i="37" s="1"/>
  <c r="F162" i="37"/>
  <c r="F161" i="37"/>
  <c r="J60" i="37"/>
  <c r="J61" i="37" s="1"/>
  <c r="J69" i="37" s="1"/>
  <c r="I62" i="37"/>
  <c r="J103" i="37" l="1"/>
  <c r="J68" i="37"/>
  <c r="J70" i="37" s="1"/>
  <c r="D66" i="25" s="1"/>
  <c r="A67" i="37"/>
  <c r="J136" i="37"/>
  <c r="J138" i="37" s="1"/>
  <c r="J140" i="37" l="1"/>
  <c r="D68"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04" i="23" l="1"/>
  <c r="D104" i="23"/>
  <c r="E104" i="23"/>
  <c r="E84" i="23"/>
  <c r="E83" i="23"/>
  <c r="C104" i="23"/>
  <c r="I203" i="25" l="1"/>
  <c r="I209" i="9"/>
  <c r="G10" i="4"/>
  <c r="Q30" i="26"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31" i="21" l="1"/>
  <c r="F51" i="4" l="1"/>
  <c r="F50" i="4"/>
  <c r="F49" i="4"/>
  <c r="F48" i="4"/>
  <c r="D14" i="9" s="1"/>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4" i="31" l="1"/>
  <c r="D79" i="25" l="1"/>
  <c r="D73" i="25"/>
  <c r="D72" i="25"/>
  <c r="D55" i="25"/>
  <c r="D50" i="25"/>
  <c r="H69" i="23" l="1"/>
  <c r="G69" i="23"/>
  <c r="F69" i="23"/>
  <c r="H57" i="23"/>
  <c r="G57" i="23"/>
  <c r="F57" i="23"/>
  <c r="E57" i="23"/>
  <c r="F15" i="15"/>
  <c r="H70" i="23" s="1"/>
  <c r="F14" i="15"/>
  <c r="G70" i="23" s="1"/>
  <c r="F13" i="15"/>
  <c r="F70" i="23" s="1"/>
  <c r="F12" i="15"/>
  <c r="E70"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W30" i="26" s="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50" i="23"/>
  <c r="E49" i="23"/>
  <c r="A3" i="27"/>
  <c r="G210" i="25" l="1"/>
  <c r="D75" i="25"/>
  <c r="I174" i="25"/>
  <c r="I167" i="25"/>
  <c r="I166" i="25"/>
  <c r="D209" i="25"/>
  <c r="D208" i="25"/>
  <c r="I204" i="25"/>
  <c r="I201" i="25"/>
  <c r="I198" i="25"/>
  <c r="I196" i="25"/>
  <c r="D184" i="25"/>
  <c r="D185" i="25"/>
  <c r="D186" i="25"/>
  <c r="D183" i="25"/>
  <c r="D138" i="25"/>
  <c r="D33" i="27"/>
  <c r="D35" i="27"/>
  <c r="D36" i="27"/>
  <c r="D37" i="27"/>
  <c r="D38" i="27"/>
  <c r="D32" i="27"/>
  <c r="D17" i="27"/>
  <c r="D18" i="27"/>
  <c r="D19" i="27"/>
  <c r="D23" i="27"/>
  <c r="F23" i="27" s="1"/>
  <c r="D25" i="27"/>
  <c r="D26" i="27"/>
  <c r="D16" i="27"/>
  <c r="D118" i="25"/>
  <c r="D117" i="25"/>
  <c r="D116"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3" i="9"/>
  <c r="E51" i="23" l="1"/>
  <c r="E85" i="23"/>
  <c r="G23" i="28"/>
  <c r="G24" i="28" s="1"/>
  <c r="A3" i="28"/>
  <c r="I26" i="25" l="1"/>
  <c r="D32" i="31"/>
  <c r="C222" i="25"/>
  <c r="K219" i="25"/>
  <c r="I216" i="25"/>
  <c r="G209" i="25"/>
  <c r="G208" i="25"/>
  <c r="D193" i="25"/>
  <c r="G191" i="25" s="1"/>
  <c r="I189" i="25"/>
  <c r="D187" i="25"/>
  <c r="G186" i="25"/>
  <c r="G185" i="25"/>
  <c r="G183" i="25"/>
  <c r="C160" i="25"/>
  <c r="G157" i="25"/>
  <c r="I154" i="25"/>
  <c r="D133" i="25"/>
  <c r="F124" i="25"/>
  <c r="I118" i="25"/>
  <c r="B117" i="25"/>
  <c r="B115" i="25"/>
  <c r="F109" i="25"/>
  <c r="F107" i="25"/>
  <c r="F106" i="25"/>
  <c r="C95" i="25"/>
  <c r="K92" i="25"/>
  <c r="I89" i="25"/>
  <c r="F55" i="25"/>
  <c r="B60" i="25"/>
  <c r="F54" i="25"/>
  <c r="F79" i="25" s="1"/>
  <c r="B59" i="25"/>
  <c r="C42" i="25"/>
  <c r="K39" i="25"/>
  <c r="I36"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H51" i="21" l="1"/>
  <c r="I122" i="9" l="1"/>
  <c r="D74" i="9"/>
  <c r="D73" i="9"/>
  <c r="D72" i="9"/>
  <c r="A71" i="9"/>
  <c r="A72" i="9" s="1"/>
  <c r="A73" i="9" s="1"/>
  <c r="A74" i="9" s="1"/>
  <c r="A75" i="9" s="1"/>
  <c r="C65" i="9"/>
  <c r="C64" i="9"/>
  <c r="C63" i="9"/>
  <c r="C62" i="9"/>
  <c r="C61" i="9"/>
  <c r="D38" i="9"/>
  <c r="K35" i="9"/>
  <c r="I32" i="9"/>
  <c r="F14" i="9"/>
  <c r="I81" i="23" l="1"/>
  <c r="I80" i="23"/>
  <c r="I79" i="23"/>
  <c r="I78" i="23"/>
  <c r="I77" i="23"/>
  <c r="I76" i="23"/>
  <c r="I82" i="23" s="1"/>
  <c r="A75" i="23"/>
  <c r="D71" i="9"/>
  <c r="D70" i="23"/>
  <c r="D77" i="9" s="1"/>
  <c r="C70" i="23"/>
  <c r="D76" i="9" s="1"/>
  <c r="I46" i="23"/>
  <c r="D57" i="9" s="1"/>
  <c r="H46" i="23"/>
  <c r="D56" i="9" s="1"/>
  <c r="G46" i="23"/>
  <c r="D55" i="9" s="1"/>
  <c r="F46" i="23"/>
  <c r="D54" i="9" s="1"/>
  <c r="E46" i="23"/>
  <c r="D53" i="9" s="1"/>
  <c r="D46" i="23"/>
  <c r="I23" i="23"/>
  <c r="D83" i="9" s="1"/>
  <c r="H23" i="23"/>
  <c r="G23" i="23"/>
  <c r="D49" i="9" s="1"/>
  <c r="F23" i="23"/>
  <c r="D48" i="9" s="1"/>
  <c r="E23" i="23"/>
  <c r="D47" i="9" s="1"/>
  <c r="D23" i="23"/>
  <c r="D46" i="9" s="1"/>
  <c r="C23" i="23"/>
  <c r="D45" i="9" s="1"/>
  <c r="D62" i="9" l="1"/>
  <c r="D64" i="9"/>
  <c r="D58" i="9"/>
  <c r="D229" i="25"/>
  <c r="D50" i="9"/>
  <c r="D231" i="25"/>
  <c r="D63" i="9"/>
  <c r="D233" i="25"/>
  <c r="D65" i="9"/>
  <c r="D78" i="9"/>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2" i="25"/>
  <c r="I12" i="26"/>
  <c r="D63" i="25"/>
  <c r="D68" i="9"/>
  <c r="I68" i="9" s="1"/>
  <c r="H44" i="26" l="1"/>
  <c r="D74" i="25"/>
  <c r="I74" i="25" s="1"/>
  <c r="I78" i="9"/>
  <c r="I18" i="26"/>
  <c r="E18" i="26" s="1"/>
  <c r="S18" i="26" s="1"/>
  <c r="I29" i="26"/>
  <c r="I19" i="26"/>
  <c r="E19" i="26" s="1"/>
  <c r="S19" i="26" s="1"/>
  <c r="I20" i="26"/>
  <c r="E20" i="26" s="1"/>
  <c r="S20" i="26" s="1"/>
  <c r="D20" i="26"/>
  <c r="H44" i="21"/>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A41" i="21" s="1"/>
  <c r="A42" i="21" s="1"/>
  <c r="A43" i="21" s="1"/>
  <c r="A44" i="21" s="1"/>
  <c r="A47" i="21" s="1"/>
  <c r="A48" i="21" s="1"/>
  <c r="A49" i="21" s="1"/>
  <c r="A50" i="21" s="1"/>
  <c r="S42" i="26" l="1"/>
  <c r="J27" i="26"/>
  <c r="F27" i="26" s="1"/>
  <c r="D30" i="26"/>
  <c r="I30" i="26"/>
  <c r="E30" i="26" s="1"/>
  <c r="X30" i="26" s="1"/>
  <c r="A51" i="21"/>
  <c r="A53" i="21" s="1"/>
  <c r="A56" i="21" s="1"/>
  <c r="A57" i="21" s="1"/>
  <c r="A58"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G11" i="4"/>
  <c r="G12" i="4" s="1"/>
  <c r="D31" i="16"/>
  <c r="D113" i="9" s="1"/>
  <c r="D24" i="27" s="1"/>
  <c r="D110" i="9"/>
  <c r="H27" i="21" l="1"/>
  <c r="H29" i="21" s="1"/>
  <c r="H32" i="21" s="1"/>
  <c r="D111" i="9"/>
  <c r="D22" i="27" s="1"/>
  <c r="D19" i="31"/>
  <c r="K52" i="4"/>
  <c r="J28" i="26"/>
  <c r="F28" i="26" s="1"/>
  <c r="D31" i="26"/>
  <c r="I31" i="26"/>
  <c r="E31" i="26" s="1"/>
  <c r="X31" i="26" s="1"/>
  <c r="D21" i="27"/>
  <c r="I22" i="9"/>
  <c r="N45" i="4"/>
  <c r="D14" i="25" s="1"/>
  <c r="I14" i="25" s="1"/>
  <c r="J52" i="4"/>
  <c r="G52" i="4"/>
  <c r="H52" i="4"/>
  <c r="L52" i="4"/>
  <c r="I52" i="4"/>
  <c r="M52" i="4"/>
  <c r="F12" i="4"/>
  <c r="D27" i="27" l="1"/>
  <c r="D116" i="9"/>
  <c r="J29" i="26"/>
  <c r="F29" i="26" s="1"/>
  <c r="D32" i="26"/>
  <c r="I32" i="26"/>
  <c r="E32" i="26" s="1"/>
  <c r="X32" i="26" s="1"/>
  <c r="N52" i="4"/>
  <c r="J30" i="26" l="1"/>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9" i="25"/>
  <c r="D230" i="25" s="1"/>
  <c r="D234" i="25" s="1"/>
  <c r="F113" i="9"/>
  <c r="I220" i="9"/>
  <c r="I158" i="9"/>
  <c r="I93" i="9"/>
  <c r="K223" i="9"/>
  <c r="D226" i="9"/>
  <c r="G161" i="9"/>
  <c r="D164" i="9"/>
  <c r="D99" i="9"/>
  <c r="K96" i="9"/>
  <c r="J40" i="26" l="1"/>
  <c r="F40" i="26" s="1"/>
  <c r="D51" i="25"/>
  <c r="G212" i="9"/>
  <c r="D197" i="9"/>
  <c r="G195" i="9" s="1"/>
  <c r="I193" i="9"/>
  <c r="D191" i="9"/>
  <c r="G190" i="9"/>
  <c r="G189" i="9"/>
  <c r="G187" i="9"/>
  <c r="I177" i="9"/>
  <c r="I169" i="9"/>
  <c r="D137" i="9"/>
  <c r="D134" i="9"/>
  <c r="D39" i="27" s="1"/>
  <c r="C132" i="9"/>
  <c r="F128" i="9"/>
  <c r="C128" i="9"/>
  <c r="B121" i="9"/>
  <c r="B119" i="9"/>
  <c r="D86" i="9"/>
  <c r="I115" i="9"/>
  <c r="F111" i="9"/>
  <c r="D241" i="25"/>
  <c r="D240" i="25"/>
  <c r="D239" i="25"/>
  <c r="D61" i="9"/>
  <c r="F57" i="9"/>
  <c r="B57" i="9"/>
  <c r="B65" i="9" s="1"/>
  <c r="F56" i="9"/>
  <c r="B56" i="9"/>
  <c r="B64" i="9" s="1"/>
  <c r="F55" i="9"/>
  <c r="B55" i="9"/>
  <c r="B63" i="9" s="1"/>
  <c r="F54" i="9"/>
  <c r="F83" i="9" s="1"/>
  <c r="B54" i="9"/>
  <c r="B62" i="9" s="1"/>
  <c r="F53" i="9"/>
  <c r="B53" i="9"/>
  <c r="B61" i="9" s="1"/>
  <c r="D237" i="25" l="1"/>
  <c r="D66" i="9"/>
  <c r="J41" i="26"/>
  <c r="F41" i="26" s="1"/>
  <c r="F44" i="26" s="1"/>
  <c r="D141" i="9"/>
  <c r="D148" i="9" s="1"/>
  <c r="D214" i="9"/>
  <c r="D215" i="9" s="1"/>
  <c r="E213" i="9" s="1"/>
  <c r="I213" i="9" s="1"/>
  <c r="I202" i="25"/>
  <c r="I205" i="25" s="1"/>
  <c r="I165" i="25"/>
  <c r="I179" i="9"/>
  <c r="I181" i="9" s="1"/>
  <c r="I172" i="9"/>
  <c r="I174" i="9" s="1"/>
  <c r="G24" i="39" s="1"/>
  <c r="H24" i="39" s="1"/>
  <c r="I77" i="9" l="1"/>
  <c r="I76" i="9"/>
  <c r="G9" i="39"/>
  <c r="H9" i="39" s="1"/>
  <c r="G8" i="39"/>
  <c r="H8" i="39" s="1"/>
  <c r="I10" i="4"/>
  <c r="J10" i="4" s="1"/>
  <c r="C106" i="23"/>
  <c r="C107" i="23" s="1"/>
  <c r="D147" i="9"/>
  <c r="I182" i="9"/>
  <c r="I183" i="9" s="1"/>
  <c r="E188" i="9"/>
  <c r="G188" i="9" s="1"/>
  <c r="G191" i="9" s="1"/>
  <c r="I191" i="9" s="1"/>
  <c r="G14" i="9"/>
  <c r="J44" i="26"/>
  <c r="D54" i="25" s="1"/>
  <c r="D56" i="25" s="1"/>
  <c r="D210" i="25"/>
  <c r="D211" i="25" s="1"/>
  <c r="E208" i="25" s="1"/>
  <c r="I208" i="25" s="1"/>
  <c r="G46" i="9"/>
  <c r="G119" i="9"/>
  <c r="G83" i="9"/>
  <c r="G13" i="9"/>
  <c r="G54" i="9"/>
  <c r="E214" i="9"/>
  <c r="M11" i="30" s="1"/>
  <c r="O47" i="30" s="1"/>
  <c r="E212" i="9"/>
  <c r="I212" i="9" s="1"/>
  <c r="G22" i="39" l="1"/>
  <c r="H22" i="39" s="1"/>
  <c r="G23" i="39"/>
  <c r="H23" i="39" s="1"/>
  <c r="F16" i="40"/>
  <c r="G16" i="40" s="1"/>
  <c r="F15" i="40"/>
  <c r="G15" i="40" s="1"/>
  <c r="F14" i="40"/>
  <c r="G14" i="40" s="1"/>
  <c r="F12" i="40"/>
  <c r="F8" i="40"/>
  <c r="F10" i="40"/>
  <c r="G12" i="39"/>
  <c r="H12" i="39" s="1"/>
  <c r="G16" i="39"/>
  <c r="H16" i="39" s="1"/>
  <c r="G15" i="39"/>
  <c r="H15" i="39" s="1"/>
  <c r="G11" i="39"/>
  <c r="H11" i="39" s="1"/>
  <c r="G10" i="39"/>
  <c r="H10" i="39" s="1"/>
  <c r="E107" i="23"/>
  <c r="D106" i="23"/>
  <c r="D107" i="23" s="1"/>
  <c r="D59" i="25"/>
  <c r="D61" i="25" s="1"/>
  <c r="E209" i="25"/>
  <c r="I209" i="25" s="1"/>
  <c r="G48" i="9"/>
  <c r="G113" i="9"/>
  <c r="G108" i="9"/>
  <c r="G128" i="9"/>
  <c r="G112" i="9"/>
  <c r="G56" i="9"/>
  <c r="G127" i="9"/>
  <c r="G110" i="9"/>
  <c r="G120" i="9"/>
  <c r="E210" i="25"/>
  <c r="I210" i="25" s="1"/>
  <c r="G107" i="9"/>
  <c r="G106" i="9"/>
  <c r="G105" i="9"/>
  <c r="G111" i="9"/>
  <c r="G87" i="9"/>
  <c r="M11" i="29"/>
  <c r="O20" i="29" s="1"/>
  <c r="I11" i="30"/>
  <c r="K47" i="30" s="1"/>
  <c r="F47" i="30" s="1"/>
  <c r="I214" i="25" s="1"/>
  <c r="I214" i="9"/>
  <c r="I215" i="9" s="1"/>
  <c r="I11" i="29"/>
  <c r="I14" i="9"/>
  <c r="I195" i="9"/>
  <c r="K195" i="9" s="1"/>
  <c r="I11" i="4" s="1"/>
  <c r="J11" i="4" s="1"/>
  <c r="J12" i="4" s="1"/>
  <c r="D13" i="9" s="1"/>
  <c r="D13" i="25" s="1"/>
  <c r="I13" i="25" s="1"/>
  <c r="I17" i="25" s="1"/>
  <c r="I46" i="9"/>
  <c r="K20" i="29" l="1"/>
  <c r="F20" i="29" s="1"/>
  <c r="K19" i="29"/>
  <c r="H33" i="39"/>
  <c r="D88" i="9" s="1"/>
  <c r="I88" i="9" s="1"/>
  <c r="O37" i="29"/>
  <c r="F107" i="23"/>
  <c r="D83" i="25" s="1"/>
  <c r="I83" i="25" s="1"/>
  <c r="I13" i="9"/>
  <c r="I17" i="9" s="1"/>
  <c r="O38" i="29"/>
  <c r="O24" i="29"/>
  <c r="I211" i="25"/>
  <c r="D134" i="25" s="1"/>
  <c r="O31" i="29"/>
  <c r="O34" i="29"/>
  <c r="O29" i="29"/>
  <c r="O42" i="29"/>
  <c r="O33" i="29"/>
  <c r="O21" i="29"/>
  <c r="K34" i="29"/>
  <c r="D238" i="25"/>
  <c r="D242" i="25" s="1"/>
  <c r="K42" i="29"/>
  <c r="K26" i="29"/>
  <c r="O41" i="29"/>
  <c r="O35" i="29"/>
  <c r="O26" i="29"/>
  <c r="O30" i="29"/>
  <c r="O19" i="29"/>
  <c r="O39" i="29"/>
  <c r="O27" i="29"/>
  <c r="O25" i="29"/>
  <c r="O22" i="29"/>
  <c r="D138" i="9"/>
  <c r="K39" i="29"/>
  <c r="K31" i="29"/>
  <c r="K23" i="29"/>
  <c r="O40" i="29"/>
  <c r="O36" i="29"/>
  <c r="O28" i="29"/>
  <c r="O32" i="29"/>
  <c r="O23" i="29"/>
  <c r="K38" i="29"/>
  <c r="K30" i="29"/>
  <c r="K22" i="29"/>
  <c r="F22" i="29" s="1"/>
  <c r="K35" i="29"/>
  <c r="K27" i="29"/>
  <c r="G49" i="9"/>
  <c r="I49" i="9" s="1"/>
  <c r="G114" i="9"/>
  <c r="G57" i="9"/>
  <c r="G121" i="9"/>
  <c r="K41" i="29"/>
  <c r="F41" i="29" s="1"/>
  <c r="K37" i="29"/>
  <c r="F37" i="29" s="1"/>
  <c r="K33" i="29"/>
  <c r="K29" i="29"/>
  <c r="K25" i="29"/>
  <c r="K21" i="29"/>
  <c r="K40" i="29"/>
  <c r="K36" i="29"/>
  <c r="K32" i="29"/>
  <c r="K28" i="29"/>
  <c r="K24" i="29"/>
  <c r="I48" i="9"/>
  <c r="I54" i="9"/>
  <c r="I62" i="9" s="1"/>
  <c r="I105" i="9"/>
  <c r="F27" i="29" l="1"/>
  <c r="F32" i="29"/>
  <c r="F35" i="29"/>
  <c r="D84" i="25"/>
  <c r="I84" i="25" s="1"/>
  <c r="F30" i="29"/>
  <c r="F38" i="29"/>
  <c r="F26" i="29"/>
  <c r="F28" i="29"/>
  <c r="F21" i="29"/>
  <c r="F19" i="29"/>
  <c r="F34" i="29"/>
  <c r="F29" i="29"/>
  <c r="D87" i="9"/>
  <c r="F23" i="29"/>
  <c r="F24" i="29"/>
  <c r="F33" i="29"/>
  <c r="I148" i="9"/>
  <c r="F31" i="29"/>
  <c r="F25" i="29"/>
  <c r="F42" i="29"/>
  <c r="F36" i="29"/>
  <c r="F39" i="29"/>
  <c r="F40" i="29"/>
  <c r="I111" i="9"/>
  <c r="I106" i="9"/>
  <c r="I107" i="9"/>
  <c r="I50" i="9"/>
  <c r="G50" i="9" s="1"/>
  <c r="F13" i="40" s="1"/>
  <c r="I57" i="9"/>
  <c r="I65" i="9" s="1"/>
  <c r="I56" i="9"/>
  <c r="I119" i="9"/>
  <c r="I83" i="9"/>
  <c r="I218" i="9" l="1"/>
  <c r="I64" i="9"/>
  <c r="I66" i="9" s="1"/>
  <c r="G71" i="9"/>
  <c r="G147" i="9"/>
  <c r="G79" i="9"/>
  <c r="G74" i="9"/>
  <c r="G73" i="9"/>
  <c r="G72" i="9"/>
  <c r="D89" i="9"/>
  <c r="I87" i="9"/>
  <c r="G130" i="9"/>
  <c r="I130" i="9" s="1"/>
  <c r="I112" i="9"/>
  <c r="I113" i="9"/>
  <c r="I58" i="9"/>
  <c r="I121" i="9"/>
  <c r="I114" i="9"/>
  <c r="I132" i="9"/>
  <c r="I108" i="9"/>
  <c r="G66" i="9" l="1"/>
  <c r="G8" i="40"/>
  <c r="G10" i="40"/>
  <c r="G13" i="40"/>
  <c r="G12" i="40"/>
  <c r="I71" i="9"/>
  <c r="D12" i="27"/>
  <c r="I120" i="9"/>
  <c r="I123" i="9" s="1"/>
  <c r="I110" i="9"/>
  <c r="I116" i="9" s="1"/>
  <c r="G17" i="40" l="1"/>
  <c r="D144" i="9" s="1"/>
  <c r="I86" i="9"/>
  <c r="I89" i="9" s="1"/>
  <c r="I79" i="9"/>
  <c r="I147" i="9"/>
  <c r="E24" i="27"/>
  <c r="E19" i="27"/>
  <c r="E38" i="27"/>
  <c r="E25" i="27"/>
  <c r="E26" i="27"/>
  <c r="E21" i="27"/>
  <c r="E22" i="27"/>
  <c r="E17" i="27"/>
  <c r="E18" i="27"/>
  <c r="E33" i="27"/>
  <c r="E16" i="27"/>
  <c r="E37" i="27"/>
  <c r="E35" i="27"/>
  <c r="E32" i="27"/>
  <c r="E36" i="27"/>
  <c r="I128" i="9"/>
  <c r="I127" i="9"/>
  <c r="D140" i="25" l="1"/>
  <c r="D145" i="9"/>
  <c r="I72" i="9"/>
  <c r="I75" i="9"/>
  <c r="I74" i="9"/>
  <c r="I73" i="9"/>
  <c r="I134" i="9"/>
  <c r="D141" i="25" l="1"/>
  <c r="D145" i="25" s="1"/>
  <c r="I145" i="25" s="1"/>
  <c r="D149" i="9"/>
  <c r="I149" i="9" l="1"/>
  <c r="I168" i="25" l="1"/>
  <c r="I170" i="25" s="1"/>
  <c r="I73" i="25" l="1"/>
  <c r="I63" i="25"/>
  <c r="I72" i="25"/>
  <c r="G67" i="25"/>
  <c r="G230" i="25"/>
  <c r="I230" i="25" s="1"/>
  <c r="G115" i="25"/>
  <c r="G54" i="25"/>
  <c r="G49" i="25"/>
  <c r="G79" i="25"/>
  <c r="I178" i="25"/>
  <c r="E184" i="25"/>
  <c r="G184" i="25" s="1"/>
  <c r="G187" i="25" s="1"/>
  <c r="I187" i="25" s="1"/>
  <c r="G238" i="25" l="1"/>
  <c r="I238" i="25" s="1"/>
  <c r="G232" i="25"/>
  <c r="I232" i="25" s="1"/>
  <c r="G109" i="25"/>
  <c r="G104" i="25"/>
  <c r="G108" i="25"/>
  <c r="G55" i="25"/>
  <c r="G106" i="25"/>
  <c r="G50" i="25"/>
  <c r="I54" i="25"/>
  <c r="I49" i="25"/>
  <c r="I191" i="25"/>
  <c r="K191" i="25" s="1"/>
  <c r="I115" i="25"/>
  <c r="I79" i="25"/>
  <c r="G240" i="25" l="1"/>
  <c r="I240" i="25" s="1"/>
  <c r="G110" i="25"/>
  <c r="G233" i="25"/>
  <c r="I59" i="25"/>
  <c r="I50" i="25"/>
  <c r="G241" i="25" l="1"/>
  <c r="I233" i="25"/>
  <c r="I234" i="25" s="1"/>
  <c r="G234" i="25" s="1"/>
  <c r="I55" i="25"/>
  <c r="I60" i="25" s="1"/>
  <c r="I51" i="25"/>
  <c r="G143" i="25" l="1"/>
  <c r="G75" i="25"/>
  <c r="G69" i="25"/>
  <c r="G68" i="25"/>
  <c r="G66" i="25"/>
  <c r="I66" i="25" s="1"/>
  <c r="J99" i="37"/>
  <c r="J100" i="37" s="1"/>
  <c r="I241" i="25"/>
  <c r="I242" i="25" s="1"/>
  <c r="G242" i="25" s="1"/>
  <c r="G61" i="25" s="1"/>
  <c r="G126" i="25"/>
  <c r="G51" i="25"/>
  <c r="I61" i="25"/>
  <c r="I56"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Q35" i="26"/>
  <c r="W35" i="26" s="1"/>
  <c r="Y35" i="26" s="1"/>
  <c r="AA35" i="26" s="1"/>
  <c r="Q31" i="26"/>
  <c r="W31" i="26" s="1"/>
  <c r="Y31" i="26" s="1"/>
  <c r="AA31" i="26" s="1"/>
  <c r="Q38" i="26"/>
  <c r="W38" i="26" s="1"/>
  <c r="Y38" i="26" s="1"/>
  <c r="AA38" i="26" s="1"/>
  <c r="Q34" i="26"/>
  <c r="W34" i="26" s="1"/>
  <c r="Y34" i="26" s="1"/>
  <c r="AA34" i="26" s="1"/>
  <c r="Q41" i="26"/>
  <c r="W41" i="26" s="1"/>
  <c r="Y41" i="26" s="1"/>
  <c r="AA41" i="26" s="1"/>
  <c r="Q37" i="26"/>
  <c r="W37" i="26" s="1"/>
  <c r="Y37" i="26" s="1"/>
  <c r="AA37" i="26" s="1"/>
  <c r="Q33" i="26"/>
  <c r="W33" i="26" s="1"/>
  <c r="Y33" i="26" s="1"/>
  <c r="AA33" i="26" s="1"/>
  <c r="Q40" i="26"/>
  <c r="W40" i="26" s="1"/>
  <c r="Y40" i="26" s="1"/>
  <c r="AA40" i="26" s="1"/>
  <c r="Q36" i="26"/>
  <c r="W36" i="26" s="1"/>
  <c r="Y36" i="26" s="1"/>
  <c r="AA36" i="26" s="1"/>
  <c r="Q32" i="26"/>
  <c r="W32" i="26" s="1"/>
  <c r="Y32" i="26" s="1"/>
  <c r="AA32" i="26"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38" i="27"/>
  <c r="F21" i="27"/>
  <c r="D106" i="25" s="1"/>
  <c r="I106" i="25" s="1"/>
  <c r="F22" i="27"/>
  <c r="D107" i="25" s="1"/>
  <c r="I143" i="25"/>
  <c r="G124" i="25"/>
  <c r="F27" i="27" l="1"/>
  <c r="V18" i="26"/>
  <c r="T42" i="26"/>
  <c r="V42" i="26" s="1"/>
  <c r="W42" i="26"/>
  <c r="Y30" i="26"/>
  <c r="R42" i="26"/>
  <c r="P42" i="26"/>
  <c r="Q42" i="26"/>
  <c r="I124" i="25"/>
  <c r="D101" i="25"/>
  <c r="I173" i="25" s="1"/>
  <c r="I175" i="25" s="1"/>
  <c r="I177" i="25" s="1"/>
  <c r="I179" i="25" s="1"/>
  <c r="F39" i="27"/>
  <c r="D130" i="25"/>
  <c r="I123" i="25"/>
  <c r="I71" i="25"/>
  <c r="I68" i="25"/>
  <c r="D112" i="25" l="1"/>
  <c r="D82" i="25" s="1"/>
  <c r="D85" i="25" s="1"/>
  <c r="J101" i="37"/>
  <c r="J102" i="37" s="1"/>
  <c r="J104" i="37" s="1"/>
  <c r="AA30" i="26"/>
  <c r="Y42" i="26"/>
  <c r="I130" i="25"/>
  <c r="G102" i="25"/>
  <c r="G101" i="25"/>
  <c r="G107" i="25"/>
  <c r="G103" i="25"/>
  <c r="J106" i="37" l="1"/>
  <c r="D67" i="25" s="1"/>
  <c r="AA42" i="26"/>
  <c r="I101" i="25"/>
  <c r="I102" i="25" l="1"/>
  <c r="I103" i="25"/>
  <c r="I107" i="25"/>
  <c r="I109" i="25" l="1"/>
  <c r="I108" i="25"/>
  <c r="I112" i="25" l="1"/>
  <c r="I82" i="25" s="1"/>
  <c r="I85" i="25" s="1"/>
  <c r="I67" i="25" l="1"/>
  <c r="D144" i="25" l="1"/>
  <c r="I144" i="25" s="1"/>
  <c r="I152" i="37" l="1"/>
  <c r="J152" i="37" s="1"/>
  <c r="H153" i="37"/>
  <c r="I13" i="37" s="1"/>
  <c r="I153" i="37" l="1"/>
  <c r="J153" i="37" s="1"/>
  <c r="H154" i="37"/>
  <c r="I14" i="37" s="1"/>
  <c r="I12" i="37"/>
  <c r="H155" i="37" l="1"/>
  <c r="I15" i="37" s="1"/>
  <c r="I154" i="37"/>
  <c r="J154" i="37" s="1"/>
  <c r="J12" i="37"/>
  <c r="J13" i="37" s="1"/>
  <c r="J14" i="37" s="1"/>
  <c r="J15" i="37" l="1"/>
  <c r="I155" i="37"/>
  <c r="J155" i="37" s="1"/>
  <c r="H156" i="37"/>
  <c r="I16" i="37" s="1"/>
  <c r="J16" i="37" l="1"/>
  <c r="I156" i="37"/>
  <c r="J156" i="37" s="1"/>
  <c r="H157" i="37"/>
  <c r="I17" i="37" s="1"/>
  <c r="J17" i="37" l="1"/>
  <c r="H158" i="37"/>
  <c r="I18" i="37" s="1"/>
  <c r="I157" i="37"/>
  <c r="J157" i="37" s="1"/>
  <c r="J18" i="37" l="1"/>
  <c r="I158" i="37"/>
  <c r="J158" i="37" s="1"/>
  <c r="H159" i="37"/>
  <c r="I19" i="37" s="1"/>
  <c r="H160" i="37" l="1"/>
  <c r="I20" i="37" s="1"/>
  <c r="J19" i="37"/>
  <c r="I159" i="37"/>
  <c r="J159" i="37" s="1"/>
  <c r="H161" i="37" l="1"/>
  <c r="I21" i="37" s="1"/>
  <c r="I160" i="37"/>
  <c r="J160" i="37" s="1"/>
  <c r="J20" i="37"/>
  <c r="J21" i="37" s="1"/>
  <c r="H162" i="37"/>
  <c r="I22" i="37" s="1"/>
  <c r="I161" i="37"/>
  <c r="J22" i="37" l="1"/>
  <c r="J161" i="37"/>
  <c r="I162" i="37"/>
  <c r="H163" i="37"/>
  <c r="J162" i="37" l="1"/>
  <c r="I23" i="37"/>
  <c r="H24" i="37"/>
  <c r="I163" i="37"/>
  <c r="H164" i="37"/>
  <c r="J163" i="37" l="1"/>
  <c r="J170" i="37" s="1"/>
  <c r="I24" i="37"/>
  <c r="J23" i="37"/>
  <c r="J32" i="37" s="1"/>
  <c r="I164" i="37"/>
  <c r="P24" i="41" l="1"/>
  <c r="P29" i="41" s="1"/>
  <c r="J29" i="41"/>
  <c r="J40" i="41" s="1"/>
  <c r="J42" i="41" s="1"/>
  <c r="J36" i="41"/>
  <c r="I29" i="41"/>
  <c r="I36" i="41" l="1"/>
  <c r="I40" i="41"/>
  <c r="I42" i="41" s="1"/>
  <c r="P36" i="41"/>
  <c r="P40" i="41"/>
  <c r="J43" i="41"/>
  <c r="O24" i="41"/>
  <c r="O29" i="41" s="1"/>
  <c r="J166" i="37"/>
  <c r="O40" i="41" l="1"/>
  <c r="O42" i="41" s="1"/>
  <c r="O36" i="41"/>
  <c r="J27" i="37"/>
  <c r="J168" i="37"/>
  <c r="J169" i="37" s="1"/>
  <c r="J171" i="37" s="1"/>
  <c r="J173" i="37" s="1"/>
  <c r="P43" i="41"/>
  <c r="P42" i="41"/>
  <c r="P44" i="41" s="1"/>
  <c r="J28" i="37" l="1"/>
  <c r="D69" i="25" s="1"/>
  <c r="J29" i="37"/>
  <c r="J31" i="37" s="1"/>
  <c r="J33" i="37" s="1"/>
  <c r="J34" i="37"/>
  <c r="J174" i="37"/>
  <c r="J175" i="37" s="1"/>
  <c r="D76" i="25" s="1"/>
  <c r="I76" i="25" s="1"/>
  <c r="I81" i="9"/>
  <c r="D81" i="9"/>
  <c r="D91" i="9" s="1"/>
  <c r="D153" i="9" s="1"/>
  <c r="D146" i="9" s="1"/>
  <c r="D150" i="9" s="1"/>
  <c r="D155" i="9" s="1"/>
  <c r="I91" i="9" l="1"/>
  <c r="I153" i="9" s="1"/>
  <c r="I146" i="9" s="1"/>
  <c r="I150" i="9" s="1"/>
  <c r="I155" i="9" s="1"/>
  <c r="I10" i="9" s="1"/>
  <c r="I19" i="9" s="1"/>
  <c r="H21" i="21" s="1"/>
  <c r="J35" i="37"/>
  <c r="D70" i="25" s="1"/>
  <c r="I70" i="25" s="1"/>
  <c r="I69" i="25"/>
  <c r="D77" i="25" l="1"/>
  <c r="D87" i="25" s="1"/>
  <c r="D149" i="25" s="1"/>
  <c r="D142" i="25" s="1"/>
  <c r="D146" i="25" s="1"/>
  <c r="D151" i="25" s="1"/>
  <c r="H23" i="21"/>
  <c r="H53" i="21" s="1"/>
  <c r="D25" i="9"/>
  <c r="D26" i="9" s="1"/>
  <c r="I77" i="25"/>
  <c r="I87" i="25" s="1"/>
  <c r="I149" i="25" s="1"/>
  <c r="I142" i="25" s="1"/>
  <c r="I146" i="25" s="1"/>
  <c r="I151" i="25" s="1"/>
  <c r="I10" i="25" s="1"/>
  <c r="H37" i="21" l="1"/>
  <c r="H56" i="21" s="1"/>
  <c r="H57" i="21" s="1"/>
  <c r="H58" i="21" s="1"/>
  <c r="I19" i="25" s="1"/>
  <c r="I21" i="25" s="1"/>
  <c r="D27" i="9"/>
  <c r="D28" i="9" s="1"/>
  <c r="D30" i="9" s="1"/>
  <c r="D25" i="31"/>
  <c r="D26" i="31" s="1"/>
  <c r="D27" i="31" s="1"/>
  <c r="D29" i="31" s="1"/>
  <c r="D35" i="31" s="1"/>
  <c r="D29" i="9" l="1"/>
  <c r="D31" i="9" s="1"/>
  <c r="I23" i="25"/>
  <c r="D29" i="25"/>
  <c r="D36" i="31"/>
  <c r="D37" i="31"/>
  <c r="D38" i="31" l="1"/>
  <c r="D40" i="31" s="1"/>
  <c r="D39" i="31"/>
  <c r="D41" i="31" s="1"/>
  <c r="D31" i="25"/>
  <c r="D30" i="25"/>
  <c r="D33" i="25" l="1"/>
  <c r="D35" i="25" s="1"/>
  <c r="D32" i="25"/>
  <c r="D34" i="25" s="1"/>
</calcChain>
</file>

<file path=xl/sharedStrings.xml><?xml version="1.0" encoding="utf-8"?>
<sst xmlns="http://schemas.openxmlformats.org/spreadsheetml/2006/main" count="2654" uniqueCount="1362">
  <si>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</si>
  <si>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</si>
  <si>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</si>
  <si>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</si>
  <si>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</si>
  <si>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</si>
  <si>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</si>
  <si>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</si>
  <si>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</si>
  <si>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</si>
  <si>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</si>
  <si>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</si>
  <si>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</si>
  <si>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</si>
  <si>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</si>
  <si>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</si>
  <si>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</si>
  <si>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</si>
  <si>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</si>
  <si>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</si>
  <si>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</si>
  <si>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</si>
  <si>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</si>
  <si>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</si>
  <si>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</si>
  <si>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</si>
  <si>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</si>
  <si>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</si>
  <si>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</si>
  <si>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</si>
  <si>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</si>
  <si>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</si>
  <si>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</si>
  <si>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</si>
  <si>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</si>
  <si>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</si>
  <si>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</si>
  <si>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</si>
  <si>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</si>
  <si>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</si>
  <si>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</si>
  <si>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</si>
  <si>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</si>
  <si>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</si>
  <si>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</si>
  <si>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</si>
  <si>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</si>
  <si>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</si>
  <si>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</si>
  <si>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</si>
  <si>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</si>
  <si>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</si>
  <si>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</si>
  <si>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</si>
  <si>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</si>
  <si>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</si>
  <si>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</si>
  <si>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</si>
  <si>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</si>
  <si>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</si>
  <si>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</si>
  <si>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</si>
  <si>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</si>
  <si>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</si>
  <si>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</si>
  <si>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</si>
  <si>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</si>
  <si>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</si>
  <si>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</si>
  <si>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</si>
  <si>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RETURN (R)</t>
  </si>
  <si>
    <t>Common Stock</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</si>
  <si>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</si>
  <si>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</si>
  <si>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</si>
  <si>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</si>
  <si>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</si>
  <si>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</si>
  <si>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</si>
  <si>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</si>
  <si>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</si>
  <si>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</si>
  <si>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</si>
  <si>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</si>
  <si>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</si>
  <si>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</si>
  <si>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</si>
  <si>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</si>
  <si>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</si>
  <si>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</si>
  <si>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</si>
  <si>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</si>
  <si>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</si>
  <si>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</si>
  <si>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</si>
  <si>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</si>
  <si>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</si>
  <si>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</si>
  <si>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</si>
  <si>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</si>
  <si>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</si>
  <si>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</si>
  <si>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</si>
  <si>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219.20-24.c</t>
  </si>
  <si>
    <t>219.25.c</t>
  </si>
  <si>
    <t>219.26.c</t>
  </si>
  <si>
    <t>263.i</t>
  </si>
  <si>
    <t>201.3.d</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</si>
  <si>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</si>
  <si>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</si>
  <si>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</si>
  <si>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</si>
  <si>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</si>
  <si>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</si>
  <si>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</si>
  <si>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</si>
  <si>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</si>
  <si>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</si>
  <si>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</si>
  <si>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</si>
  <si>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</si>
  <si>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</si>
  <si>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</si>
  <si>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</si>
  <si>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</si>
  <si>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</si>
  <si>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</si>
  <si>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</si>
  <si>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</si>
  <si>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</si>
  <si>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</si>
  <si>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</si>
  <si>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</si>
  <si>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</si>
  <si>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</si>
  <si>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</si>
  <si>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</si>
  <si>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</si>
  <si>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</si>
  <si>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</si>
  <si>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</si>
  <si>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</si>
  <si>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</si>
  <si>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</si>
  <si>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</si>
  <si>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</si>
  <si>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</si>
  <si>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</si>
  <si>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</si>
  <si>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5b</t>
  </si>
  <si>
    <t>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</si>
  <si>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</si>
  <si>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</si>
  <si>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</si>
  <si>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</si>
  <si>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</si>
  <si>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</si>
  <si>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</si>
  <si>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</si>
  <si>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</si>
  <si>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</si>
  <si>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</si>
  <si>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</si>
  <si>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</si>
  <si>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</si>
  <si>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</si>
  <si>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</si>
  <si>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</si>
  <si>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</si>
  <si>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</si>
  <si>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</si>
  <si>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</si>
  <si>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</si>
  <si>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</si>
  <si>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</si>
  <si>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</si>
  <si>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</si>
  <si>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</si>
  <si>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</si>
  <si>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</si>
  <si>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</si>
  <si>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</si>
  <si>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</si>
  <si>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</si>
  <si>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</si>
  <si>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</si>
  <si>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</si>
  <si>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</si>
  <si>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</si>
  <si>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</si>
  <si>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</si>
  <si>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</si>
  <si>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</si>
  <si>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</si>
  <si>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</si>
  <si>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</si>
  <si>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</si>
  <si>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</si>
  <si>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</si>
  <si>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</si>
  <si>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</si>
  <si>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</si>
  <si>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</si>
  <si>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</si>
  <si>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</si>
  <si>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</si>
  <si>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</si>
  <si>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</si>
  <si>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</si>
  <si>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</si>
  <si>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</si>
  <si>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</si>
  <si>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</si>
  <si>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</si>
  <si>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</si>
  <si>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</si>
  <si>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</si>
  <si>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</si>
  <si>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</si>
  <si>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</si>
  <si>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</si>
  <si>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</si>
  <si>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</si>
  <si>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</si>
  <si>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</si>
  <si>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</si>
  <si>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</si>
  <si>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</si>
  <si>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</si>
  <si>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</si>
  <si>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</si>
  <si>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</si>
  <si>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</si>
  <si>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</si>
  <si>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</si>
  <si>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</si>
  <si>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</si>
  <si>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</si>
  <si>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</si>
  <si>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</si>
  <si>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</si>
  <si>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Page 1</t>
  </si>
  <si>
    <t>Page 2</t>
  </si>
  <si>
    <t>Page 3</t>
  </si>
  <si>
    <t>Page 4</t>
  </si>
  <si>
    <t>/kW-year</t>
  </si>
  <si>
    <t>/kW-month</t>
  </si>
  <si>
    <t>/kW-week</t>
  </si>
  <si>
    <t>6 days/week</t>
  </si>
  <si>
    <t>/kW-day</t>
  </si>
  <si>
    <t>7 days/week</t>
  </si>
  <si>
    <t>16 hours/day</t>
  </si>
  <si>
    <t>24 hours/day</t>
  </si>
  <si>
    <t>12-CP</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</si>
  <si>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</si>
  <si>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</si>
  <si>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</si>
  <si>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</si>
  <si>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</si>
  <si>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</si>
  <si>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</si>
  <si>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</si>
  <si>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</si>
  <si>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</si>
  <si>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</si>
  <si>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</si>
  <si>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</si>
  <si>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</si>
  <si>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</si>
  <si>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</si>
  <si>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</si>
  <si>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</si>
  <si>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</si>
  <si>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</si>
  <si>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</si>
  <si>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</si>
  <si>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</si>
  <si>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</si>
  <si>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</si>
  <si>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</si>
  <si>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</si>
  <si>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</si>
  <si>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</si>
  <si>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</si>
  <si>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</si>
  <si>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</si>
  <si>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</si>
  <si>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</si>
  <si>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</si>
  <si>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</si>
  <si>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</si>
  <si>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</si>
  <si>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</si>
  <si>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</si>
  <si>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</si>
  <si>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</si>
  <si>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</si>
  <si>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</si>
  <si>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</si>
  <si>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</si>
  <si>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</si>
  <si>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</si>
  <si>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</si>
  <si>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</si>
  <si>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</si>
  <si>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</si>
  <si>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</si>
  <si>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</si>
  <si>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</si>
  <si>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</si>
  <si>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</si>
  <si>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</si>
  <si>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</si>
  <si>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</si>
  <si>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</si>
  <si>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</si>
  <si>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</si>
  <si>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</si>
  <si>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CWIP</t>
  </si>
  <si>
    <t>LHFFU</t>
  </si>
  <si>
    <t>Line No</t>
  </si>
  <si>
    <t>Production</t>
  </si>
  <si>
    <t>Distribution</t>
  </si>
  <si>
    <t>General &amp; Intangible</t>
  </si>
  <si>
    <t>Common</t>
  </si>
  <si>
    <t>CWIP (Note C)</t>
  </si>
  <si>
    <t>Land Held for Future Use</t>
  </si>
  <si>
    <t xml:space="preserve">  Materials &amp; Supplies</t>
  </si>
  <si>
    <t>FN1 Reference for Dec</t>
  </si>
  <si>
    <t>216.x.b</t>
  </si>
  <si>
    <t>214.x.d</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</si>
  <si>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</si>
  <si>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</si>
  <si>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</si>
  <si>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</si>
  <si>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</si>
  <si>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</si>
  <si>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</si>
  <si>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</si>
  <si>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</si>
  <si>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</si>
  <si>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</si>
  <si>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</si>
  <si>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</si>
  <si>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</si>
  <si>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Average of the 13 Monthly Balances -</t>
  </si>
  <si>
    <t>Unfunded Reserves    (Note G)</t>
  </si>
  <si>
    <t>List of all reserves:</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</si>
  <si>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</si>
  <si>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</si>
  <si>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</si>
  <si>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</si>
  <si>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</si>
  <si>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</si>
  <si>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</si>
  <si>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</si>
  <si>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</si>
  <si>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</si>
  <si>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</si>
  <si>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</si>
  <si>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</si>
  <si>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</si>
  <si>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</si>
  <si>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</si>
  <si>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</si>
  <si>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</si>
  <si>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</si>
  <si>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</si>
  <si>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</si>
  <si>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</si>
  <si>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</si>
  <si>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</si>
  <si>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</si>
  <si>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</si>
  <si>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</si>
  <si>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</si>
  <si>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</si>
  <si>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</si>
  <si>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</si>
  <si>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</si>
  <si>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</si>
  <si>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</si>
  <si>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</si>
  <si>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</si>
  <si>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</si>
  <si>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</si>
  <si>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</si>
  <si>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</si>
  <si>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</si>
  <si>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</si>
  <si>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</si>
  <si>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</si>
  <si>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</si>
  <si>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</si>
  <si>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</si>
  <si>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</si>
  <si>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</si>
  <si>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</si>
  <si>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</si>
  <si>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</si>
  <si>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</si>
  <si>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</si>
  <si>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</si>
  <si>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</si>
  <si>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</si>
  <si>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</si>
  <si>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</si>
  <si>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</si>
  <si>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</si>
  <si>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</si>
  <si>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</si>
  <si>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</si>
  <si>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</si>
  <si>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</si>
  <si>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</si>
  <si>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</si>
  <si>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</si>
  <si>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</si>
  <si>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</si>
  <si>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</si>
  <si>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</si>
  <si>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</si>
  <si>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</si>
  <si>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</si>
  <si>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</si>
  <si>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</si>
  <si>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</si>
  <si>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</si>
  <si>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</si>
  <si>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</si>
  <si>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</si>
  <si>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</si>
  <si>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</si>
  <si>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</si>
  <si>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Proprietary Capital</t>
  </si>
  <si>
    <t xml:space="preserve">Less Preferred Stock </t>
  </si>
  <si>
    <t xml:space="preserve">Less Account 216.1 </t>
  </si>
  <si>
    <t xml:space="preserve"> 112, sum of  18.c through 21.c</t>
  </si>
  <si>
    <t>112.3.c</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</si>
  <si>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</si>
  <si>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</si>
  <si>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</si>
  <si>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</si>
  <si>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</si>
  <si>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</si>
  <si>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</si>
  <si>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</si>
  <si>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</si>
  <si>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</si>
  <si>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</si>
  <si>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</si>
  <si>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</si>
  <si>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</si>
  <si>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</si>
  <si>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</si>
  <si>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</si>
  <si>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</si>
  <si>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</si>
  <si>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</si>
  <si>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</si>
  <si>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</si>
  <si>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AFUDC ceases when CWIP is recovered in rate base.  No CWIP will be included in rate base on line 18a absent FERC authorization.</t>
  </si>
  <si>
    <t>(Note S)</t>
  </si>
  <si>
    <t xml:space="preserve">ADJUSTMENTS TO RATE BASE </t>
  </si>
  <si>
    <t xml:space="preserve">     Less EPRI &amp; Reg. Comm. Exp. &amp; Non-safety  Ad.  (Note I)</t>
  </si>
  <si>
    <t>(Note K)</t>
  </si>
  <si>
    <t>(Note L)</t>
  </si>
  <si>
    <t>TAXES OTHER THAN INCOME TAXES  (Note D)</t>
  </si>
  <si>
    <t xml:space="preserve">ROE will be supported in the original filing and no change in ROE may be made absent a filing with FERC.  </t>
  </si>
  <si>
    <t>GROSS PLANT IN SERVICE     (Note A)</t>
  </si>
  <si>
    <t>ACCUMULATED DEPRECIATION   (Note A)</t>
  </si>
  <si>
    <t>(Notes C &amp; O)</t>
  </si>
  <si>
    <t>RATE BASE: (Note A, V)</t>
  </si>
  <si>
    <t>DEPRECIATION AND AMORTIZATION EXPENSE (Note A)</t>
  </si>
  <si>
    <t>ACCOUNT 454 (RENT FROM ELECTRIC PROPERTY)  (Note A)</t>
  </si>
  <si>
    <t>Company Records (Note A)</t>
  </si>
  <si>
    <t>Company Records (Note B)</t>
  </si>
  <si>
    <t>Item</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</si>
  <si>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</si>
  <si>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</si>
  <si>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</si>
  <si>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</si>
  <si>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</si>
  <si>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</si>
  <si>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</si>
  <si>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</si>
  <si>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</si>
  <si>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</si>
  <si>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</si>
  <si>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</si>
  <si>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</si>
  <si>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</si>
  <si>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</si>
  <si>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</si>
  <si>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</si>
  <si>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</si>
  <si>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</si>
  <si>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</si>
  <si>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</si>
  <si>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</si>
  <si>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</si>
  <si>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</si>
  <si>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</si>
  <si>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</si>
  <si>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</si>
  <si>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</si>
  <si>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</si>
  <si>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</si>
  <si>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</si>
  <si>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</si>
  <si>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</si>
  <si>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</si>
  <si>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</si>
  <si>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</si>
  <si>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</si>
  <si>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</si>
  <si>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</si>
  <si>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</si>
  <si>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</si>
  <si>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</si>
  <si>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</si>
  <si>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</si>
  <si>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</si>
  <si>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</si>
  <si>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</si>
  <si>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</si>
  <si>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</si>
  <si>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</si>
  <si>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</si>
  <si>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</si>
  <si>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</si>
  <si>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</si>
  <si>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</si>
  <si>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</si>
  <si>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</si>
  <si>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</si>
  <si>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</si>
  <si>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</si>
  <si>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</si>
  <si>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</si>
  <si>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</si>
  <si>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</si>
  <si>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</si>
  <si>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</si>
  <si>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</si>
  <si>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</si>
  <si>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</si>
  <si>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</si>
  <si>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</si>
  <si>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</si>
  <si>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</si>
  <si>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</si>
  <si>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</si>
  <si>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</si>
  <si>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</si>
  <si>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</si>
  <si>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</si>
  <si>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</si>
  <si>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</si>
  <si>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</si>
  <si>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</si>
  <si>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</si>
  <si>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</si>
  <si>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</si>
  <si>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</si>
  <si>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</si>
  <si>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</si>
  <si>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</si>
  <si>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</si>
  <si>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</si>
  <si>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</si>
  <si>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</si>
  <si>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</si>
  <si>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</si>
  <si>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</si>
  <si>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</si>
  <si>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</si>
  <si>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</si>
  <si>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</si>
  <si>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</si>
  <si>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</si>
  <si>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</si>
  <si>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</si>
  <si>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</si>
  <si>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</si>
  <si>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</si>
  <si>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</si>
  <si>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</si>
  <si>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</si>
  <si>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</si>
  <si>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</si>
  <si>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</si>
  <si>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</si>
  <si>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</si>
  <si>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</si>
  <si>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</si>
  <si>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</si>
  <si>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</si>
  <si>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</si>
  <si>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</si>
  <si>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</si>
  <si>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</si>
  <si>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</si>
  <si>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</si>
  <si>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</si>
  <si>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</si>
  <si>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</si>
  <si>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</si>
  <si>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</si>
  <si>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</si>
  <si>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</si>
  <si>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</si>
  <si>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</si>
  <si>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</si>
  <si>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</si>
  <si>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</si>
  <si>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</si>
  <si>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</si>
  <si>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</si>
  <si>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</si>
  <si>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</si>
  <si>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</si>
  <si>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</si>
  <si>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</si>
  <si>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</si>
  <si>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</si>
  <si>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</si>
  <si>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</si>
  <si>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</si>
  <si>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</si>
  <si>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</si>
  <si>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</si>
  <si>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</si>
  <si>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</si>
  <si>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</si>
  <si>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</si>
  <si>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</si>
  <si>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</si>
  <si>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</si>
  <si>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</si>
  <si>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</si>
  <si>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</si>
  <si>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</si>
  <si>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</si>
  <si>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</si>
  <si>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</si>
  <si>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</si>
  <si>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</si>
  <si>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</si>
  <si>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</si>
  <si>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</si>
  <si>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</si>
  <si>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</si>
  <si>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</si>
  <si>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</si>
  <si>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</si>
  <si>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</si>
  <si>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</si>
  <si>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</si>
  <si>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</si>
  <si>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</si>
  <si>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</si>
  <si>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</si>
  <si>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</si>
  <si>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</si>
  <si>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</si>
  <si>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</si>
  <si>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</si>
  <si>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</si>
  <si>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</si>
  <si>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</si>
  <si>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</si>
  <si>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</si>
  <si>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</si>
  <si>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</si>
  <si>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</si>
  <si>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</si>
  <si>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</si>
  <si>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</si>
  <si>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</si>
  <si>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</si>
  <si>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</si>
  <si>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</si>
  <si>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</si>
  <si>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</si>
  <si>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</si>
  <si>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</si>
  <si>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</si>
  <si>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</si>
  <si>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</si>
  <si>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</si>
  <si>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</si>
  <si>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</si>
  <si>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</si>
  <si>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</si>
  <si>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</si>
  <si>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</si>
  <si>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</si>
  <si>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</si>
  <si>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</si>
  <si>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</si>
  <si>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</si>
  <si>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</si>
  <si>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</si>
  <si>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</si>
  <si>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</si>
  <si>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</si>
  <si>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</si>
  <si>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</si>
  <si>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</si>
  <si>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</si>
  <si>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</si>
  <si>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</si>
  <si>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</si>
  <si>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</si>
  <si>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</si>
  <si>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</si>
  <si>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</si>
  <si>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</si>
  <si>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</si>
  <si>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</si>
  <si>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</si>
  <si>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</si>
  <si>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</si>
  <si>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</si>
  <si>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</si>
  <si>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</si>
  <si>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</si>
  <si>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</si>
  <si>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</si>
  <si>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</si>
  <si>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</si>
  <si>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</si>
  <si>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</si>
  <si>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</si>
  <si>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</si>
  <si>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</si>
  <si>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</si>
  <si>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</si>
  <si>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</si>
  <si>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</si>
  <si>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</si>
  <si>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</si>
  <si>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</si>
  <si>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</si>
  <si>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</si>
  <si>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</si>
  <si>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</si>
  <si>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</si>
  <si>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</si>
  <si>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</si>
  <si>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</si>
  <si>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</si>
  <si>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</si>
  <si>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</si>
  <si>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</si>
  <si>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</si>
  <si>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</si>
  <si>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</si>
  <si>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</si>
  <si>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</si>
  <si>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</si>
  <si>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</si>
  <si>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</si>
  <si>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</si>
  <si>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</si>
  <si>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</si>
  <si>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</si>
  <si>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</si>
  <si>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</si>
  <si>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</si>
  <si>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</si>
  <si>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</si>
  <si>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274.2.b &amp; 275.2.k</t>
  </si>
  <si>
    <t>276.9.b &amp; 277.9.k</t>
  </si>
  <si>
    <t>234.8.b&amp;c</t>
  </si>
  <si>
    <t>272.2.b &amp; 273.2.k</t>
  </si>
  <si>
    <t>Worksheet A4, Page 1, Line 13, Column (e )</t>
  </si>
  <si>
    <t>Worksheet A4, Page 1, Line 27, Column (g )</t>
  </si>
  <si>
    <t xml:space="preserve">Worksheet A4, Page 1, Line 13, Col. (h)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</si>
  <si>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</si>
  <si>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</si>
  <si>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</si>
  <si>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</si>
  <si>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</si>
  <si>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</si>
  <si>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</si>
  <si>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</si>
  <si>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</si>
  <si>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</si>
  <si>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</si>
  <si>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</si>
  <si>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</si>
  <si>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</si>
  <si>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</si>
  <si>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</si>
  <si>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</si>
  <si>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15 - Line 16</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</si>
  <si>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</si>
  <si>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</si>
  <si>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</si>
  <si>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</si>
  <si>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</si>
  <si>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</si>
  <si>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</si>
  <si>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</si>
  <si>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</si>
  <si>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</si>
  <si>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</si>
  <si>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</si>
  <si>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Revenue Adjustment</t>
  </si>
  <si>
    <t>kW</t>
  </si>
  <si>
    <t>Divisor for Actual Rate Year from Step 7</t>
  </si>
  <si>
    <t>(line 14 / line 18)</t>
  </si>
  <si>
    <t>$/kW</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</si>
  <si>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</si>
  <si>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</si>
  <si>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</si>
  <si>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</si>
  <si>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</si>
  <si>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</si>
  <si>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</si>
  <si>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</si>
  <si>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</si>
  <si>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</si>
  <si>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</si>
  <si>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</si>
  <si>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</si>
  <si>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</si>
  <si>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</si>
  <si>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</si>
  <si>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</si>
  <si>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</si>
  <si>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</si>
  <si>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</si>
  <si>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</si>
  <si>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</si>
  <si>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</si>
  <si>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</si>
  <si>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</si>
  <si>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</si>
  <si>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</si>
  <si>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</si>
  <si>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</si>
  <si>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</si>
  <si>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</si>
  <si>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</si>
  <si>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</si>
  <si>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</si>
  <si>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</si>
  <si>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</si>
  <si>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</si>
  <si>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</si>
  <si>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</si>
  <si>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</si>
  <si>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276.b</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</si>
  <si>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</si>
  <si>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</si>
  <si>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</si>
  <si>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</si>
  <si>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</si>
  <si>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</si>
  <si>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</si>
  <si>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</si>
  <si>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</si>
  <si>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</si>
  <si>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</si>
  <si>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</si>
  <si>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</si>
  <si>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</si>
  <si>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</si>
  <si>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</si>
  <si>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</si>
  <si>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</si>
  <si>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g</t>
  </si>
  <si>
    <t>h</t>
  </si>
  <si>
    <t>i</t>
  </si>
  <si>
    <t>j</t>
  </si>
  <si>
    <t>k</t>
  </si>
  <si>
    <t>l</t>
  </si>
  <si>
    <t>m</t>
  </si>
  <si>
    <t>n</t>
  </si>
  <si>
    <t>o</t>
  </si>
  <si>
    <t>p</t>
  </si>
  <si>
    <t>q</t>
  </si>
  <si>
    <t>r</t>
  </si>
  <si>
    <t>s</t>
  </si>
  <si>
    <t>t</t>
  </si>
  <si>
    <t>u</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</si>
  <si>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</si>
  <si>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</si>
  <si>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</si>
  <si>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</si>
  <si>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</si>
  <si>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</si>
  <si>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</si>
  <si>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</si>
  <si>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</si>
  <si>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</si>
  <si>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</si>
  <si>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</si>
  <si>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Worksheet TU, line 37</t>
  </si>
  <si>
    <t>(Sum of Lines 27-29)</t>
  </si>
  <si>
    <t>Rate Year -1</t>
  </si>
  <si>
    <t>Rate Year</t>
  </si>
  <si>
    <t>Balances as of Ending Rate Year -2</t>
  </si>
  <si>
    <t>Worksheet A2 Line 14</t>
  </si>
  <si>
    <t>356</t>
  </si>
  <si>
    <t>FERC annual charges - transmission only</t>
  </si>
  <si>
    <t>Company Records</t>
  </si>
  <si>
    <t xml:space="preserve">  Unfunded Reserves</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</si>
  <si>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and 561.3.</t>
    </r>
  </si>
  <si>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</si>
  <si>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</si>
  <si>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</si>
  <si>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</si>
  <si>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</si>
  <si>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</si>
  <si>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</si>
  <si>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</si>
  <si>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</si>
  <si>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</si>
  <si>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</si>
  <si>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</si>
  <si>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Worksheet A4, Page 2, Line 22, Col. (h)  (Note R)</t>
  </si>
  <si>
    <t xml:space="preserve">Unfunded Reserves are customer contributed capital such as when employee vacation expense is accrued but not yet incurred.  </t>
  </si>
  <si>
    <t xml:space="preserve">Gross Plant In Service </t>
  </si>
  <si>
    <t xml:space="preserve">Accumulated Depreciation </t>
  </si>
  <si>
    <t>Adjustments to Rate Base</t>
  </si>
  <si>
    <t xml:space="preserve">Recovery of any project-specific regulatory assets requires authorization from the Commission.  </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</si>
  <si>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ratebase. </t>
  </si>
  <si>
    <t>Transmission System Peak Load (kW) (Note A)</t>
  </si>
  <si>
    <t>Source: Form 1 page 400.1-15.b</t>
  </si>
  <si>
    <t>Percentage of Avg. Jan -Aug Load (Note B)</t>
  </si>
  <si>
    <t xml:space="preserve">Carried forward for use in Worksheet P3, Column b. </t>
  </si>
  <si>
    <t>Amortized Investment Tax Credit (266.8f)</t>
  </si>
  <si>
    <t>(Sum of Lines 25 and 26b less lines 26, 26a )</t>
  </si>
  <si>
    <t xml:space="preserve">     CIT=(T/(1-T)) * (1-(WCLTD/R)) =</t>
  </si>
  <si>
    <t>Line 17 * Line 18 * 24 / 12</t>
  </si>
  <si>
    <t>Note C</t>
  </si>
  <si>
    <t>(Line 21 times Line 24aa) (Notes T, Y)</t>
  </si>
  <si>
    <t>(Line 5) Weighted ROE Adder times (Line 34) 13 Month Average Net Plant</t>
  </si>
  <si>
    <t xml:space="preserve">112.12.c  </t>
  </si>
  <si>
    <t>Less Account 219</t>
  </si>
  <si>
    <t xml:space="preserve">112.15.c  </t>
  </si>
  <si>
    <t>(Line 23 less lines 24, 25, 26)</t>
  </si>
  <si>
    <t>Line 27</t>
  </si>
  <si>
    <t>(Sum of Lines 28-30)</t>
  </si>
  <si>
    <t>Use the lower of Short Term Interest Rate and FERC Interest Rate if the True-up Amount is greater than or equal to zero. Use FERC Interest Rate if the True-up Amount is less than zero.</t>
  </si>
  <si>
    <t>Difference in Volume</t>
  </si>
  <si>
    <t>True-up Amount including Volume Revenue Adjustment (before interest)</t>
  </si>
  <si>
    <t>Amount from Line 24</t>
  </si>
  <si>
    <t>Total True-up Adjustment</t>
  </si>
  <si>
    <t>GROSS REVENUE REQUIREMENT  (page 3, line 29)</t>
  </si>
  <si>
    <t>Actual Attachment H, Page 4, Line 26</t>
  </si>
  <si>
    <t>(Line 23 less Lines 24, 25, 26)</t>
  </si>
  <si>
    <r>
      <t xml:space="preserve">Column e </t>
    </r>
    <r>
      <rPr>
        <sz val="10"/>
        <rFont val="Times New Roman"/>
        <family val="1"/>
      </rPr>
      <t>contains actual load values from current year FERC Form 3Q page 400.1-10.b.</t>
    </r>
  </si>
  <si>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</si>
  <si>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</si>
  <si>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</si>
  <si>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</si>
  <si>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</si>
  <si>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</si>
  <si>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</si>
  <si>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</si>
  <si>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</si>
  <si>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</si>
  <si>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Deferred Tax Items</t>
  </si>
  <si>
    <t>Page 1 of 3</t>
  </si>
  <si>
    <t>Page 2 of 3</t>
  </si>
  <si>
    <t>Prepayments</t>
  </si>
  <si>
    <t>reserved</t>
  </si>
  <si>
    <t xml:space="preserve">Worksheet A4, Page 3, Line 17, Col. (e ) </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</si>
  <si>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</si>
  <si>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</si>
  <si>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</si>
  <si>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</si>
  <si>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</si>
  <si>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</si>
  <si>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</si>
  <si>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</si>
  <si>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</si>
  <si>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</si>
  <si>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</si>
  <si>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</si>
  <si>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232.1.b &amp; 232.1.f</t>
  </si>
  <si>
    <t>278.1.b &amp; 278.1.f</t>
  </si>
  <si>
    <t>Federal Income Tax Rate</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</si>
  <si>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</si>
  <si>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</si>
  <si>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</si>
  <si>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</si>
  <si>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</si>
  <si>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</si>
  <si>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</si>
  <si>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</si>
  <si>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</si>
  <si>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FAS 109 AFUDC Equity in Plant</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</si>
  <si>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</si>
  <si>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</si>
  <si>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</si>
  <si>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Worksheet A3, Page 1, Line 14</t>
  </si>
  <si>
    <t>Worksheet A4, Page 2, Line 14, Col. (b) (Notes P,Z)</t>
  </si>
  <si>
    <t>Worksheet A4, Page 2, Line 14, Col. (c) (Notes U, N and Z)</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</si>
  <si>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</si>
  <si>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</si>
  <si>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</si>
  <si>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</si>
  <si>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</si>
  <si>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</si>
  <si>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</si>
  <si>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</si>
  <si>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</si>
  <si>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</si>
  <si>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Worksheet A9</t>
  </si>
  <si>
    <t>Permanent Differences</t>
  </si>
  <si>
    <t>A9-PermDiffs</t>
  </si>
  <si>
    <t>A8-Prepmts</t>
  </si>
  <si>
    <t>Annual Cost</t>
  </si>
  <si>
    <t>Allocation Factor</t>
  </si>
  <si>
    <t>Allocated Amount</t>
  </si>
  <si>
    <t>WECC Dues</t>
  </si>
  <si>
    <t>Auto Policy 17/18</t>
  </si>
  <si>
    <t>Terrorism</t>
  </si>
  <si>
    <t>Terrorism-CPGS</t>
  </si>
  <si>
    <t>Property Insurance-CPGS</t>
  </si>
  <si>
    <t>Property Insurance</t>
  </si>
  <si>
    <t>EAM Enterpise Storage</t>
  </si>
  <si>
    <t>Prepaid Coal</t>
  </si>
  <si>
    <t>Insurance Auto policy</t>
  </si>
  <si>
    <t>Insurance Terrorism Policy - General</t>
  </si>
  <si>
    <t>Insurance Terrorism Policy - Specific Asset</t>
  </si>
  <si>
    <t>Property Insurance Policy - Specific Asset</t>
  </si>
  <si>
    <t>Property Insurance Policy - General</t>
  </si>
  <si>
    <t>Data Storage - General</t>
  </si>
  <si>
    <t>Timing of Coal payments vs. received according to contract</t>
  </si>
  <si>
    <t>To Actual Attachment H, page 2, line 30</t>
  </si>
  <si>
    <t>Club Dues-Electric</t>
  </si>
  <si>
    <t>Lobbying-Electric</t>
  </si>
  <si>
    <t>Meals and Entertainment-Electric</t>
  </si>
  <si>
    <t>Penalties-Electric</t>
  </si>
  <si>
    <t>Equity AFUDC Perm-Electric</t>
  </si>
  <si>
    <t>Reg Liability FAS 109 ITC (enter negative)</t>
  </si>
  <si>
    <t>Reg Liability Retiree HC (enter negative)</t>
  </si>
  <si>
    <t>(Sum of Lines 19 - 25)</t>
  </si>
  <si>
    <t>(Sum of Lines 11 - 21)</t>
  </si>
  <si>
    <t>Pension Equity Plan Life Insurance - Electric</t>
  </si>
  <si>
    <t>Unamortized Abandoned Plant and Amortization of Abandoned Plant will be zero until the Commission accepts or approves recovery of the cost of each abandoned plant and its applicable allocation factor.  Utility must submit a Section 205 filing to recover the cost of each abandoned plant.</t>
  </si>
  <si>
    <t>Prepaid Item (Note B)</t>
  </si>
  <si>
    <t>True-up Amount (before Volume Revenue Adjustment &amp; interest)</t>
  </si>
  <si>
    <t>Transmission Plant (Note A)</t>
  </si>
  <si>
    <t>4a</t>
  </si>
  <si>
    <t>4b</t>
  </si>
  <si>
    <t xml:space="preserve">Prior Period Adjustment, if any, is calculated to the same timing basis as balance of true up (i.e. before interest applied on lines 15 and 22).  Work-papers for the Prior Period Adjustment calculation will be included in supporting documentation.  Cheyenne Light will only use the Prior Period Adjustment in the following circumstances and only if the error discovered would have impacted Cheyenne Light’s calculation of the True-Up Amount in a prior Rate Year: (1) Cheyenne Light discovers a error in a previously filed FERC Form 1 (filed outside the current Rate Year), (2) discovers an error in books and records actually used to populate an input in the formula rate and the discovery is outside the current Rate Year, or (3) Cheyenne Light is required by applicable law, a court or regulatory body to correct an error outside the current Rate Year.  If an error falls within one of these three categories and negatively impacted customers in Cheyenne Light’s calculation of a prior Rate Year’s True-Up Amount, Cheyenne Light will re-calculate the True-Up Amount for affected years.  </t>
  </si>
  <si>
    <t>Accumulated Depreciation</t>
  </si>
  <si>
    <t>Recovery of any regulatory assets and the respective allocators requires authorization from the Commission.</t>
  </si>
  <si>
    <t>(Page 2, Line 32 x Page 4, Line 31, Col. (5)) + Page 4, Line 32</t>
  </si>
  <si>
    <t>The effect of the FAS 109 Adjustment to ADIT is to remove deferred taxes included in accounts 190 and 283 that are non-ratemaking in nature.</t>
  </si>
  <si>
    <t>FAS 109 (Note E)</t>
  </si>
  <si>
    <t>Amount 
(Enter the negative of amount reflected in the Cheyenne Light Form 1)</t>
  </si>
  <si>
    <t xml:space="preserve">Worksheet A8, Page 1, Line 26 , Col. (f) </t>
  </si>
  <si>
    <t>Allocation Factor "GP"</t>
  </si>
  <si>
    <t xml:space="preserve">  Account No. 281 </t>
  </si>
  <si>
    <t xml:space="preserve">  Account No. 283 </t>
  </si>
  <si>
    <t xml:space="preserve">  Account No. 282</t>
  </si>
  <si>
    <t>Lobbying Expense</t>
  </si>
  <si>
    <t>Penalties</t>
  </si>
  <si>
    <t>Worksheet A4, Page 2, Line 14, Column (b ) (Note B)</t>
  </si>
  <si>
    <t>Worksheet A4, Page 2, Line 14, Column (c ) (Note B)</t>
  </si>
  <si>
    <t xml:space="preserve">  Account No. 282 (Transmission only)</t>
  </si>
  <si>
    <t xml:space="preserve">  Account No. 283</t>
  </si>
  <si>
    <t>13 Month Average Balance
(Note C)</t>
  </si>
  <si>
    <t>Beginning Balance (Enter Negative)</t>
  </si>
  <si>
    <t>(Except ADIT which is average of Beg. &amp; End Balances)</t>
  </si>
  <si>
    <t>Transmission Depreciation rates and ROE are fixed amounts that can be changed only through a Section 205 filing.  The revenue requirement includes the PBOP actual cash outlay (defined as actual benefit payments for the year net of participant contributions plus administrative expenses) and excludes the accrued amount.</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</si>
  <si>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</si>
  <si>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</si>
  <si>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</si>
  <si>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</si>
  <si>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</si>
  <si>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</si>
  <si>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</si>
  <si>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The amount is the the net periodic expense and not the actual cash outlay.</t>
  </si>
  <si>
    <t>Worksheet A4, Page 1, Line 14, Col. (g)   (Notes Q, Z)</t>
  </si>
  <si>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</si>
  <si>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AA</t>
  </si>
  <si>
    <t xml:space="preserve">  Other (Note AA)</t>
  </si>
  <si>
    <t>Reliability Dues</t>
  </si>
  <si>
    <t>Workers Compensation</t>
  </si>
  <si>
    <t xml:space="preserve"> Reliability Dues</t>
  </si>
  <si>
    <t>Workers Compensation policy</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</si>
  <si>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</si>
  <si>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</si>
  <si>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Applies only to projects authorized by the Commission.  The source of the information is the Company Records.</t>
  </si>
  <si>
    <t>The source of the information is the Company Records.</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</si>
  <si>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</si>
  <si>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</si>
  <si>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</si>
  <si>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</si>
  <si>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</si>
  <si>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</si>
  <si>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</si>
  <si>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Page 2 Line 23b includes any unamortized balances related to the recovery of abandoned plant costs approved by FERC under a separate docket.  Page 3, Line 11a ncludes the Amortization expense of Commission-approved abandonment costs.  The details of the amounts are shown in the workpapers required pursuant to the Projected Net Revenue Requirement and Annual True-up Procedures.</t>
  </si>
  <si>
    <t xml:space="preserve">STRUCTURES AND IMPROVEMENTS             </t>
  </si>
  <si>
    <t xml:space="preserve">OFFICE FURNITURE AND EQUIPMENT          </t>
  </si>
  <si>
    <t xml:space="preserve">COMPUTER HARDWARE                       </t>
  </si>
  <si>
    <t xml:space="preserve">COMPUTER SOFTWARE                       </t>
  </si>
  <si>
    <t>TRANSPORTATION EQUIPMENT</t>
  </si>
  <si>
    <t xml:space="preserve">STORES EQUIPMENT               </t>
  </si>
  <si>
    <t>TOOLS, SHOP AND GARAGE EQUIPMENT</t>
  </si>
  <si>
    <t xml:space="preserve">LABORATORY EQUIPMENT           </t>
  </si>
  <si>
    <t xml:space="preserve">    TOTAL GENERAL PLANT </t>
  </si>
  <si>
    <t>Intangible Plant</t>
  </si>
  <si>
    <t>INTANGIBLES MISCELLANEOUS</t>
  </si>
  <si>
    <t>ORGANIZATION</t>
  </si>
  <si>
    <t>FRANCHISES AND CONSENTS</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</si>
  <si>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</si>
  <si>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</si>
  <si>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</si>
  <si>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</si>
  <si>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</si>
  <si>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</si>
  <si>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</si>
  <si>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TOTAL POWER OPERATED EQUIPMENT</t>
  </si>
  <si>
    <t xml:space="preserve">TOTAL COMMUNICATION EQUIPMENT        </t>
  </si>
  <si>
    <t>Transportation/Parking</t>
  </si>
  <si>
    <t>Non Deductible Compensation</t>
  </si>
  <si>
    <t>Non Deductible Insurance</t>
  </si>
  <si>
    <t>Reverse South Georgia</t>
  </si>
  <si>
    <t>5 years Straight Line</t>
  </si>
  <si>
    <t>Worksheet A9, Line 10, Col (e )  (Notes T, Y)</t>
  </si>
  <si>
    <t xml:space="preserve">Common plant includes Plant that is owned by Black Hills Service Company that is allocated to Cheyenne Light based on Black Hills Service Company's Cost Allocation Manual.  </t>
  </si>
  <si>
    <t>Black Hills Service Company Plant</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</si>
  <si>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</si>
  <si>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Total Protected Property - EDIT</t>
  </si>
  <si>
    <t>Total Non-Protected Property - EDIT</t>
  </si>
  <si>
    <t>Ending Balance of Account 190 for EDIT Tax Gross Up Offset</t>
  </si>
  <si>
    <t>Amount of Tax Gross Up Offset on EDIT</t>
  </si>
  <si>
    <t>Account 190 Not Including EDIT Tax Gross Up</t>
  </si>
  <si>
    <t>Beginning Balance of Account 190 for EDIT Tax Gross Up Offset</t>
  </si>
  <si>
    <t>General Plant (Electric Only)</t>
  </si>
  <si>
    <t>Common Plant (CLFP Owned)</t>
  </si>
  <si>
    <t>LAND IMPROVEMENTS</t>
  </si>
  <si>
    <t>SYSTEM DEVELOPMENT</t>
  </si>
  <si>
    <t>COMMUNICATION EQUIPMENT - TOWERS</t>
  </si>
  <si>
    <t>The depreciation/amortization rates included in this worksheet were approved by FERC in Docket Nos. ER 19-697 and EL19-41-000 and cannot be changed by Cheyenne Light without an FPA 205 filing.</t>
  </si>
  <si>
    <t xml:space="preserve">TRANSPORTATION EQUIPMENT </t>
  </si>
  <si>
    <t>STRUCTURES AND IMPROVEMENTS</t>
  </si>
  <si>
    <t>If Cheyenne Light includes a new item in the category designated “Other” in line 18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Attachment H or in response to the allocator Cheyenne Light utilizes or if FERC institutes a FPA 206 in response to Cheyenne Light’s inclusion of a new item in the category designated “Other" in line 18 of Attachment H or in response to the allocator Cheyenne Light utilizes, Cheyenne Light while not required to make a FPA section 205 filing for such change(s), shall bear a FPA Section 205 burden to show that its inclusion of a new item in the category designated "Other" in line 18 of Attachment H and the associated allocator results in a just and reasonable allocation of costs to OATT Transmission Service.  The foregoing disclosure obligations and retention of burden applies only in the instances described in this note.</t>
  </si>
  <si>
    <t>Permanent Differences  Transmission only</t>
  </si>
  <si>
    <t xml:space="preserve">Debt cost rate = long-term interest (line 21) / long term debt (line 28).  Preferred cost rate = preferred dividends (line 22) / preferred outstanding (line 29).   ROE will be supported in the original filing and no change in ROE may be made absent a filing with FERC.  </t>
  </si>
  <si>
    <t>To Actual Attachment H, page 2, line 24aa</t>
  </si>
  <si>
    <t>v</t>
  </si>
  <si>
    <t>w</t>
  </si>
  <si>
    <t>x</t>
  </si>
  <si>
    <t>y</t>
  </si>
  <si>
    <t>Worksheet P1, Line 29, Column (f)</t>
  </si>
  <si>
    <t>Worksheet P1, Line 29, Column (h)</t>
  </si>
  <si>
    <t>Worksheet P1, Line 28, Column (c)</t>
  </si>
  <si>
    <t>Worksheet P1, Page 3, Column t, Line 27a</t>
  </si>
  <si>
    <t>Actual Attachment H, Page 4, Line 30</t>
  </si>
  <si>
    <t>Projected Attachment H, Page 5, Line 6</t>
  </si>
  <si>
    <t>Line 2 less Lines 3 through 7</t>
  </si>
  <si>
    <t>Line 8 less Line 10</t>
  </si>
  <si>
    <t xml:space="preserve">     Adjustments to A&amp;G</t>
  </si>
  <si>
    <t>TOTAL O&amp;M  (sum lines 1, 3, 5a, 5b, 6, 7 less lines 2, 2a, 5, 5c)</t>
  </si>
  <si>
    <t>TOTAL O&amp;M  (sum lines 1, 3, 5a, 5b, 6, 7 less lines 2, 2a,  5, 5c)</t>
  </si>
  <si>
    <t>(Sum lines 3,6,9,10,12,13 less lines 4,5,8,11)</t>
  </si>
  <si>
    <t>Estimated - For the 12 months ended 12/31/yyyy</t>
  </si>
  <si>
    <t>Plant Balances as of Dec 31, yyyy &gt;</t>
  </si>
  <si>
    <t>mmm-yy</t>
  </si>
  <si>
    <t>yyyy</t>
  </si>
  <si>
    <t>350.b</t>
  </si>
  <si>
    <t>Lease</t>
  </si>
  <si>
    <t>Wygen 2 Ground Lease (Production)</t>
  </si>
  <si>
    <t>Harriman Communication tower lease (Distribution)</t>
  </si>
  <si>
    <t>Horse Creek Site Trunking System Repeater Radio (Distribution)</t>
  </si>
  <si>
    <t>(Sum of Lines 12-15)</t>
  </si>
  <si>
    <t>NF</t>
  </si>
  <si>
    <t>OS</t>
  </si>
  <si>
    <t>Maintenance</t>
  </si>
  <si>
    <t>Maintenance - CPGS prepayment</t>
  </si>
  <si>
    <t>Various</t>
  </si>
  <si>
    <t>A3.1-EDIT-DDIT</t>
  </si>
  <si>
    <t>A3.2-EDIT-DDIT.dtl</t>
  </si>
  <si>
    <t>Worksheet A3.1</t>
  </si>
  <si>
    <t>Worksheet A3.2</t>
  </si>
  <si>
    <t>Annual Excess and Deficient Accumulated Deferred Income Tax</t>
  </si>
  <si>
    <t>Excess and Deficient Accumulated Deferred Income Tax Remeasurement</t>
  </si>
  <si>
    <t>After tax rate change</t>
  </si>
  <si>
    <t xml:space="preserve">  Net Excess/Deficient Deferred Income Taxes Transmission Only</t>
  </si>
  <si>
    <t>Amortization of Excess/Deficient Deferred Income Taxes Transmission only (Net)</t>
  </si>
  <si>
    <t>Worksheet A3.1, Line 357, Col. (h) (Note X)</t>
  </si>
  <si>
    <t>Excess/Deficient Deferred Income Tax Adjustment (Net)</t>
  </si>
  <si>
    <t>Reserved</t>
  </si>
  <si>
    <t>Accumulated Excess / Deficient Deferred Income Taxes ("EDIT"/"DDIT") (Note A, H)</t>
  </si>
  <si>
    <t>Actuals - For the 12 months ended 12/31/XXXX</t>
  </si>
  <si>
    <t>(a1)</t>
  </si>
  <si>
    <t>(a2)</t>
  </si>
  <si>
    <t>(a3)</t>
  </si>
  <si>
    <t>(k)</t>
  </si>
  <si>
    <t>(l)</t>
  </si>
  <si>
    <t>Item (Note A1)</t>
  </si>
  <si>
    <t>Vintage</t>
  </si>
  <si>
    <t>Account</t>
  </si>
  <si>
    <t xml:space="preserve">Form No. 1 Page (Note I)  </t>
  </si>
  <si>
    <t>BOY Balance (Note B)</t>
  </si>
  <si>
    <t>Current Period Amortization (Note C)</t>
  </si>
  <si>
    <t>Current Period Other Activity (Note D)</t>
  </si>
  <si>
    <t>EOY Balance (Note E)</t>
  </si>
  <si>
    <t>Allocator (Note F)</t>
  </si>
  <si>
    <t>BOY Allocated Amount</t>
  </si>
  <si>
    <t>Current Amortization Allocated</t>
  </si>
  <si>
    <t>Current Period Other Activity Allocated</t>
  </si>
  <si>
    <t>EOY Allocated Amount</t>
  </si>
  <si>
    <t>Prorated (Yes/No) (Note G)</t>
  </si>
  <si>
    <t>Amort Period or Method</t>
  </si>
  <si>
    <t>NON PLANT DDIT/(EDIT)</t>
  </si>
  <si>
    <t>Total Non-Protected Non-Property - DDIT</t>
  </si>
  <si>
    <t>2017 TCJA</t>
  </si>
  <si>
    <t>182.3</t>
  </si>
  <si>
    <t>2017 NP</t>
  </si>
  <si>
    <t>Yes</t>
  </si>
  <si>
    <t>Total Non Plant Non-Protected DDIT/(EDIT)</t>
  </si>
  <si>
    <t>Deferred Tax Liability Non Plant</t>
  </si>
  <si>
    <t>Total Deferred Tax Offset Non Plant</t>
  </si>
  <si>
    <t>Total Non Plant Non-Protected DDIT/(EDIT) (Net of Tax Gross Up)</t>
  </si>
  <si>
    <t>PLANT DDIT/(EDIT)</t>
  </si>
  <si>
    <t>254</t>
  </si>
  <si>
    <t>ARAM</t>
  </si>
  <si>
    <t>Total Protected Property - DDIT-NOL</t>
  </si>
  <si>
    <t>Total Regulatory Liability- EDFIT Tax Reform of 1986</t>
  </si>
  <si>
    <t>1986 TRA</t>
  </si>
  <si>
    <t>Total Plant DDIT/(EDIT)</t>
  </si>
  <si>
    <t>Deferred Tax Asset Plant</t>
  </si>
  <si>
    <t>Deferred Tax Liability Plant</t>
  </si>
  <si>
    <t>Total Deferred Tax Offset Plant</t>
  </si>
  <si>
    <t>Total Plant DDIT/(EDIT) (Net of Tax Gross Up)</t>
  </si>
  <si>
    <t>TOTALS</t>
  </si>
  <si>
    <t>Total Excess/Deficient Deferred Income Taxes (Note I)</t>
  </si>
  <si>
    <t>Total Deferred Tax Offset</t>
  </si>
  <si>
    <t>Total Excess/Deficient Deferred Income Taxes (Net of Tax Gross Up) (Note J)</t>
  </si>
  <si>
    <t>Total Excess/Deficient Deferred Income Taxes Annual Average</t>
  </si>
  <si>
    <t>Weighted Average EDIT/DDIT Net Plant Allocator</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</si>
  <si>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Cheyenne Light would follow the process described above to remeasure ADIT balance (increase or decrease) due to any future income tax rate change.  See Wkpr A3.2 EDIT-DDIT.dtl for detailed derivation.   The FERC Form No. 1  reference in column (a3) will be populated beginning for the twelve months ended December 31, 2021 (2021 FERC Form 1).</t>
  </si>
  <si>
    <t>A1</t>
  </si>
  <si>
    <t>The determination of an item as "Protected" versus "Non-Protected" has been and will be made in accordance with applicable tax code and regulations.</t>
  </si>
  <si>
    <t>Beginning of Year ("BOY") balance is end of Prior Year balance reflected on FERC Form No. 1 p.232/278</t>
  </si>
  <si>
    <t>DDIT or EDIT is reduced in the current period under the prescribed  amortization method to account 410.1, Provision for Deferred Income Taxes, Utility Operating Income and 411.1, Provision for Deferred Income Taxes—Credit, Utility Operating Income, respectively.</t>
  </si>
  <si>
    <t>Includes the impact of tax rate changes enacted during the period.</t>
  </si>
  <si>
    <t>End of Year ("EOY") balance is the end of Current Year balance reflected on FERC Form No. 1. p.232/278. For year end 2018, the FERC Form No.1 balance was adjusted to account for the removal of gas utility specific balances. After 2018, those balances will not be reported in the FERC Form 1.</t>
  </si>
  <si>
    <t xml:space="preserve">The "2017 NP" allocator applied to EDIT resulting from the 2017 Tax Cuts and Jobs Act must remain fixed and will not be updated each year.   Cheyenne Light’s intent is to maintain the same functional breakdown of the Excess Deferred Income Tax flow-back amounts that are to be established initially in Docket Nos. ER19-697-000 and EL19-41-000 for EDIT arising from the 2017 Tax Cuts and Jobs Act.  In the event the Company populates the data enterable fields for future income tax changes, the Company will support its chosen allocation factor for EDIT or DDIT as just and reasonable in its annual update following a change in tax rates.  </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</si>
  <si>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</si>
  <si>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 xml:space="preserve">In the event the Company populates the data enterable fields for future income tax changes, the Company will support the data entered as just and reasonable in its annual update following a change in tax rates.  </t>
  </si>
  <si>
    <t xml:space="preserve"> Prior to 2021, Cheyenne Light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  In addition, prior to 2019, Company Records would need to be used to determine the net excess deferred income taxes as Cheyenne Light had gas and electric operations, in 2019 Cheyenne Light no longer had gas operations and gas operations were no longer included in the FF1.   All amounts are intended to be exclusive of any non-electric balances for years prior to 2019.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</si>
  <si>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</si>
  <si>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(Excess)/Deficient Deferred Income Taxes - FERC Order 864 Worksheet -- Tax Rate Change</t>
  </si>
  <si>
    <t>Actuals - For the 12 months ended 12/31/yyyy</t>
  </si>
  <si>
    <t xml:space="preserve">Prior Year:
</t>
  </si>
  <si>
    <t>2017</t>
  </si>
  <si>
    <t>New Tax Rate?</t>
  </si>
  <si>
    <t>New Rate:</t>
  </si>
  <si>
    <t>Tax Gross Up Factor:</t>
  </si>
  <si>
    <t>Vintage Name:</t>
  </si>
  <si>
    <t>(Col 1)</t>
  </si>
  <si>
    <t>(Col 2)</t>
  </si>
  <si>
    <t>(Col 3)</t>
  </si>
  <si>
    <t>(Col 4)</t>
  </si>
  <si>
    <t>(Col 5)</t>
  </si>
  <si>
    <t>(Col 6)</t>
  </si>
  <si>
    <t>(Col 7)</t>
  </si>
  <si>
    <t>(Col 8)</t>
  </si>
  <si>
    <t>New Tax Rate Adjustment Calculation</t>
  </si>
  <si>
    <t>(C3)xNew Rate</t>
  </si>
  <si>
    <t>= (C4) - (C5)</t>
  </si>
  <si>
    <t>= (C6) * Tax Gross Up Factor</t>
  </si>
  <si>
    <t>= (C6) - (C7)</t>
  </si>
  <si>
    <r>
      <rPr>
        <b/>
        <u/>
        <sz val="10"/>
        <color theme="1"/>
        <rFont val="Times New Roman"/>
        <family val="1"/>
      </rPr>
      <t>Line</t>
    </r>
  </si>
  <si>
    <t>Accumulated (Taxable) / Deductible Book-to-Tax Differences</t>
  </si>
  <si>
    <t>Accumulated DIT Balances at Prior Tax Rate</t>
  </si>
  <si>
    <t>Accumulated DIT Balance at New Tax Rate</t>
  </si>
  <si>
    <t>(Excess) Deficient Def. Taxes at New Tax Rate</t>
  </si>
  <si>
    <t>(Excess) Deficient Def. Taxes with Tax Gross Up 182.3 / 254 Acct (Note A)</t>
  </si>
  <si>
    <t>Deferred Tax Offset (Note B)</t>
  </si>
  <si>
    <t>Protected - Property</t>
  </si>
  <si>
    <t>Method/Life</t>
  </si>
  <si>
    <t>Cost of Removal</t>
  </si>
  <si>
    <t>Federal NOL</t>
  </si>
  <si>
    <t>Non-Protected - Property</t>
  </si>
  <si>
    <t>Mixed Service Costs</t>
  </si>
  <si>
    <t>Capitalized Interest</t>
  </si>
  <si>
    <t>Tax Repair Deduction</t>
  </si>
  <si>
    <t>Ordinary &amp; Necessary Business Deductions</t>
  </si>
  <si>
    <t>Research and Development Tax Deductions</t>
  </si>
  <si>
    <t>Section 481A Adjustments</t>
  </si>
  <si>
    <t>Contributions in Aid of Construction</t>
  </si>
  <si>
    <t>Total Property Related  (= L99 + L199)</t>
  </si>
  <si>
    <t>Non-protected - Non-Property </t>
  </si>
  <si>
    <t>Employee Benefits</t>
  </si>
  <si>
    <t>Bad Debt Reserve</t>
  </si>
  <si>
    <t>PUC Fees</t>
  </si>
  <si>
    <t>Executive Incentive Plan ST</t>
  </si>
  <si>
    <t>Executive Incentive Plan LT</t>
  </si>
  <si>
    <t>Reaquired Bond Gain</t>
  </si>
  <si>
    <t>Workman's Compensation</t>
  </si>
  <si>
    <t>Accrued Vacation</t>
  </si>
  <si>
    <t>Retiree Healthcare</t>
  </si>
  <si>
    <t>Line Extension Deposits</t>
  </si>
  <si>
    <t>Reg Power Plant Maintenance</t>
  </si>
  <si>
    <t>Reaquired Bond Loss</t>
  </si>
  <si>
    <t>Prepaid Expenses</t>
  </si>
  <si>
    <t>Deferred Rate Case</t>
  </si>
  <si>
    <t>Total Non-Property Related</t>
  </si>
  <si>
    <t>Grand Total   (= L 200 + L 400)</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</si>
  <si>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</si>
  <si>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</si>
  <si>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201.8.e,f,g,h (Note I)</t>
  </si>
  <si>
    <t>201.14.e,f,g,h (Note I)</t>
  </si>
  <si>
    <t>Allocator Value (Note H)</t>
  </si>
  <si>
    <t>Net Excess/Deficient Deferred Income Taxes (Note C) Transmission only</t>
  </si>
  <si>
    <t>Worksheet P5, Page 5, Line 137, Column H</t>
  </si>
  <si>
    <t>Net Amortization of Excess/Deficient Deferred Income Taxes Transmission only</t>
  </si>
  <si>
    <t xml:space="preserve">Net Excess/Deficient Deferred Income Tax Adjustment </t>
  </si>
  <si>
    <t>The Balance reflecting any amortization for the year is calculated using the proration method shown on Worksheet P5-ADIT.</t>
  </si>
  <si>
    <t>Worksheet A3, Ln 5, Col (d)</t>
  </si>
  <si>
    <t>(Line 166 * - Actual Composite tax rate)</t>
  </si>
  <si>
    <t>Line 22 + Line 23</t>
  </si>
  <si>
    <t>(Line 17, Col H)</t>
  </si>
  <si>
    <t>Line 24 + Line 25</t>
  </si>
  <si>
    <t>Worksheet A3.1, Ln. 359 Col (j)</t>
  </si>
  <si>
    <t>Line 26 * Line 27</t>
  </si>
  <si>
    <t>Weighted Average EDIT/DDIT Net Plant Allocation Factor</t>
  </si>
  <si>
    <t>(Line 74 * Line 75)</t>
  </si>
  <si>
    <t>(Line 76 + Line 77)</t>
  </si>
  <si>
    <t>(Line 78 + Line 79)</t>
  </si>
  <si>
    <t>(Line 80)</t>
  </si>
  <si>
    <t>Worksheet A3, Pg 1, Col D, Line 4</t>
  </si>
  <si>
    <t>Net of Account 254 &amp; 182.3</t>
  </si>
  <si>
    <t>Worksheet A3.1, Ln 355 Col (e)</t>
  </si>
  <si>
    <t>Worksheet A3.1, Ln 355 Col (c)</t>
  </si>
  <si>
    <t>Line 128 + Line 129</t>
  </si>
  <si>
    <t>Line 130</t>
  </si>
  <si>
    <t>(Line 126, Col H)</t>
  </si>
  <si>
    <t>Line 131 + Line 132</t>
  </si>
  <si>
    <t>Worksheet A3.1, Ln 359 Col (j)</t>
  </si>
  <si>
    <t>Line 135 * Line 136</t>
  </si>
  <si>
    <t>Line 133</t>
  </si>
  <si>
    <t>2023</t>
  </si>
  <si>
    <t>Worksheet A3.1, Line 358, Col (e) &amp; (j)</t>
  </si>
  <si>
    <t>Actuals - For the 12 months ended 12/31/2024</t>
  </si>
  <si>
    <t>AD</t>
  </si>
  <si>
    <t>FNO</t>
  </si>
  <si>
    <t>Wildfire Insurance</t>
  </si>
  <si>
    <t>Wildfire Insurance Policy</t>
  </si>
  <si>
    <t>AON</t>
  </si>
  <si>
    <t>Consulting Retainer</t>
  </si>
  <si>
    <t>Ready Wyoming</t>
  </si>
  <si>
    <t>Advanced Payments for Ready Wyoming</t>
  </si>
  <si>
    <t>BHBE Common Use System</t>
  </si>
  <si>
    <t>Tri State Generation &amp; Transmission</t>
  </si>
  <si>
    <t>Cheyenne Light Fuel and Power</t>
  </si>
  <si>
    <t>Black Hills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</si>
</sst>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9">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b/>
      <sz val="11"/>
      <color theme="1"/>
      <name val="Times New Roman"/>
      <family val="1"/>
    </font>
    <font>
      <sz val="10"/>
      <color rgb="FF000000"/>
      <name val="Times New Roman"/>
      <family val="1"/>
    </font>
    <font>
      <strike/>
      <sz val="10"/>
      <color theme="1"/>
      <name val="Times New Roman"/>
      <family val="1"/>
    </font>
    <font>
      <b/>
      <sz val="8"/>
      <color theme="1"/>
      <name val="Arial"/>
      <family val="2"/>
    </font>
    <font>
      <sz val="12"/>
      <color theme="1"/>
      <name val="Arial MT"/>
    </font>
    <font>
      <u/>
      <sz val="10"/>
      <color theme="1"/>
      <name val="Times New Roman"/>
      <family val="1"/>
    </font>
    <font>
      <sz val="11"/>
      <color theme="1"/>
      <name val="Times New Roman"/>
      <family val="1"/>
    </font>
    <font>
      <sz val="11"/>
      <color theme="1"/>
      <name val="Calibri"/>
      <family val="2"/>
    </font>
    <font>
      <b/>
      <sz val="6"/>
      <color theme="1"/>
      <name val="Arial"/>
      <family val="2"/>
    </font>
    <font>
      <b/>
      <u/>
      <sz val="10"/>
      <color theme="1"/>
      <name val="Times New Roman"/>
      <family val="1"/>
    </font>
    <font>
      <sz val="6"/>
      <color theme="1"/>
      <name val="Arial"/>
      <family val="2"/>
    </font>
    <font>
      <sz val="9"/>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65">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style="thin">
        <color rgb="FF000000"/>
      </left>
      <right/>
      <top style="medium">
        <color indexed="64"/>
      </top>
      <bottom style="medium">
        <color indexed="64"/>
      </bottom>
      <diagonal/>
    </border>
    <border>
      <left/>
      <right/>
      <top style="thin">
        <color rgb="FF000000"/>
      </top>
      <bottom/>
      <diagonal/>
    </border>
    <border>
      <left/>
      <right/>
      <top style="thin">
        <color rgb="FF000000"/>
      </top>
      <bottom style="thin">
        <color rgb="FF000000"/>
      </bottom>
      <diagonal/>
    </border>
  </borders>
  <cellStyleXfs count="4700">
    <xf numFmtId="172" fontId="0" fillId="0" borderId="0" applyProtection="0"/>
    <xf numFmtId="4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38" fontId="32" fillId="0" borderId="0" applyFont="0" applyFill="0" applyBorder="0" applyAlignment="0" applyProtection="0"/>
    <xf numFmtId="37" fontId="32" fillId="0" borderId="0" applyFont="0" applyFill="0" applyBorder="0" applyAlignment="0" applyProtection="0"/>
    <xf numFmtId="0" fontId="11" fillId="0" borderId="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41" borderId="0" applyNumberFormat="0" applyBorder="0" applyAlignment="0" applyProtection="0"/>
    <xf numFmtId="0" fontId="33" fillId="44" borderId="0" applyNumberFormat="0" applyBorder="0" applyAlignment="0" applyProtection="0"/>
    <xf numFmtId="0" fontId="34" fillId="45"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46"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38" fontId="35" fillId="0" borderId="0" applyBorder="0" applyAlignment="0"/>
    <xf numFmtId="175" fontId="31" fillId="53" borderId="16">
      <alignment horizontal="center" vertical="center"/>
    </xf>
    <xf numFmtId="176" fontId="11" fillId="0" borderId="17">
      <alignment horizontal="left"/>
    </xf>
    <xf numFmtId="0" fontId="36" fillId="0" borderId="0"/>
    <xf numFmtId="0" fontId="37" fillId="36" borderId="0" applyNumberFormat="0" applyBorder="0" applyAlignment="0" applyProtection="0"/>
    <xf numFmtId="0" fontId="38" fillId="0" borderId="0" applyNumberFormat="0" applyFill="0" applyBorder="0" applyAlignment="0" applyProtection="0"/>
    <xf numFmtId="177" fontId="39" fillId="0" borderId="1" applyNumberFormat="0" applyFill="0" applyAlignment="0" applyProtection="0">
      <alignment horizontal="center"/>
    </xf>
    <xf numFmtId="178" fontId="39" fillId="0" borderId="3" applyFill="0" applyAlignment="0" applyProtection="0">
      <alignment horizontal="center"/>
    </xf>
    <xf numFmtId="38" fontId="11" fillId="0" borderId="0">
      <alignment horizontal="right"/>
    </xf>
    <xf numFmtId="37" fontId="40" fillId="0" borderId="0" applyFill="0">
      <alignment horizontal="right"/>
    </xf>
    <xf numFmtId="37" fontId="40" fillId="0" borderId="0">
      <alignment horizontal="right"/>
    </xf>
    <xf numFmtId="0" fontId="40" fillId="0" borderId="0" applyFill="0">
      <alignment horizontal="center"/>
    </xf>
    <xf numFmtId="37" fontId="40" fillId="0" borderId="18" applyFill="0">
      <alignment horizontal="right"/>
    </xf>
    <xf numFmtId="37" fontId="40" fillId="0" borderId="0">
      <alignment horizontal="right"/>
    </xf>
    <xf numFmtId="0" fontId="41" fillId="0" borderId="0" applyFill="0">
      <alignment vertical="top"/>
    </xf>
    <xf numFmtId="0" fontId="42" fillId="0" borderId="0" applyFill="0">
      <alignment horizontal="left" vertical="top"/>
    </xf>
    <xf numFmtId="37" fontId="40" fillId="0" borderId="4" applyFill="0">
      <alignment horizontal="right"/>
    </xf>
    <xf numFmtId="0" fontId="11" fillId="0" borderId="0" applyNumberFormat="0" applyFont="0" applyAlignment="0"/>
    <xf numFmtId="0" fontId="41" fillId="0" borderId="0" applyFill="0">
      <alignment wrapText="1"/>
    </xf>
    <xf numFmtId="0" fontId="42"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4" fillId="0" borderId="0" applyFill="0">
      <alignment vertical="top" wrapText="1"/>
    </xf>
    <xf numFmtId="0" fontId="30" fillId="0" borderId="0" applyFill="0">
      <alignment horizontal="left" vertical="top" wrapText="1"/>
    </xf>
    <xf numFmtId="37" fontId="40" fillId="0" borderId="0" applyFill="0">
      <alignment horizontal="right"/>
    </xf>
    <xf numFmtId="0" fontId="43" fillId="0" borderId="0" applyNumberFormat="0" applyFont="0" applyAlignment="0">
      <alignment horizontal="center"/>
    </xf>
    <xf numFmtId="0" fontId="45" fillId="0" borderId="0" applyFill="0">
      <alignment vertical="center" wrapText="1"/>
    </xf>
    <xf numFmtId="0" fontId="29" fillId="0" borderId="0">
      <alignment horizontal="left" vertical="center" wrapText="1"/>
    </xf>
    <xf numFmtId="37" fontId="40" fillId="0" borderId="0" applyFill="0">
      <alignment horizontal="right"/>
    </xf>
    <xf numFmtId="0" fontId="43" fillId="0" borderId="0" applyNumberFormat="0" applyFont="0" applyAlignment="0">
      <alignment horizontal="center"/>
    </xf>
    <xf numFmtId="0" fontId="46" fillId="0" borderId="0" applyFill="0">
      <alignment horizontal="center" vertical="center" wrapText="1"/>
    </xf>
    <xf numFmtId="0" fontId="11"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37" fontId="47" fillId="0" borderId="0" applyFill="0">
      <alignment horizontal="right"/>
    </xf>
    <xf numFmtId="0" fontId="43" fillId="0" borderId="0" applyNumberFormat="0" applyFont="0" applyAlignment="0">
      <alignment horizontal="center"/>
    </xf>
    <xf numFmtId="0" fontId="50" fillId="0" borderId="0">
      <alignment horizontal="center" wrapText="1"/>
    </xf>
    <xf numFmtId="0" fontId="51" fillId="0" borderId="0" applyFill="0">
      <alignment horizontal="center" wrapText="1"/>
    </xf>
    <xf numFmtId="0" fontId="52" fillId="54" borderId="19" applyNumberFormat="0" applyAlignment="0" applyProtection="0"/>
    <xf numFmtId="0" fontId="53" fillId="55" borderId="20" applyNumberFormat="0" applyAlignment="0" applyProtection="0"/>
    <xf numFmtId="179" fontId="32" fillId="0" borderId="0" applyFont="0" applyFill="0" applyBorder="0" applyAlignment="0" applyProtection="0"/>
    <xf numFmtId="43" fontId="9" fillId="0" borderId="0" applyFont="0" applyFill="0" applyBorder="0" applyAlignment="0" applyProtection="0"/>
    <xf numFmtId="43" fontId="54" fillId="0" borderId="0" applyFont="0" applyFill="0" applyBorder="0" applyAlignment="0" applyProtection="0"/>
    <xf numFmtId="0" fontId="55" fillId="0" borderId="0"/>
    <xf numFmtId="44" fontId="11" fillId="0" borderId="0" applyFont="0" applyFill="0" applyBorder="0" applyAlignment="0" applyProtection="0"/>
    <xf numFmtId="180" fontId="11" fillId="0" borderId="17">
      <alignment horizontal="center"/>
    </xf>
    <xf numFmtId="181" fontId="56" fillId="0" borderId="0" applyFont="0" applyFill="0" applyBorder="0" applyAlignment="0" applyProtection="0"/>
    <xf numFmtId="0" fontId="57" fillId="0" borderId="0" applyNumberFormat="0" applyFill="0" applyBorder="0" applyAlignment="0" applyProtection="0"/>
    <xf numFmtId="182" fontId="11" fillId="0" borderId="0">
      <protection locked="0"/>
    </xf>
    <xf numFmtId="0" fontId="58" fillId="0" borderId="0"/>
    <xf numFmtId="0" fontId="59" fillId="0" borderId="0"/>
    <xf numFmtId="0" fontId="60" fillId="0" borderId="0"/>
    <xf numFmtId="0" fontId="61" fillId="37" borderId="0" applyNumberFormat="0" applyBorder="0" applyAlignment="0" applyProtection="0"/>
    <xf numFmtId="38" fontId="40" fillId="56" borderId="0" applyNumberFormat="0" applyBorder="0" applyAlignment="0" applyProtection="0"/>
    <xf numFmtId="0" fontId="62" fillId="0" borderId="0" applyNumberFormat="0" applyFill="0" applyBorder="0" applyAlignment="0" applyProtection="0"/>
    <xf numFmtId="0" fontId="30" fillId="0" borderId="21" applyNumberFormat="0" applyAlignment="0" applyProtection="0">
      <alignment horizontal="left" vertical="center"/>
    </xf>
    <xf numFmtId="0" fontId="30" fillId="0" borderId="15">
      <alignment horizontal="left" vertical="center"/>
    </xf>
    <xf numFmtId="0" fontId="63" fillId="0" borderId="0">
      <alignment horizontal="center"/>
    </xf>
    <xf numFmtId="0" fontId="64" fillId="0" borderId="22" applyNumberFormat="0" applyFill="0" applyAlignment="0" applyProtection="0"/>
    <xf numFmtId="0" fontId="65" fillId="0" borderId="23" applyNumberFormat="0" applyFill="0" applyAlignment="0" applyProtection="0"/>
    <xf numFmtId="0" fontId="66" fillId="0" borderId="24" applyNumberFormat="0" applyFill="0" applyAlignment="0" applyProtection="0"/>
    <xf numFmtId="0" fontId="66" fillId="0" borderId="0" applyNumberFormat="0" applyFill="0" applyBorder="0" applyAlignment="0" applyProtection="0"/>
    <xf numFmtId="183" fontId="11" fillId="0" borderId="0">
      <protection locked="0"/>
    </xf>
    <xf numFmtId="183" fontId="11" fillId="0" borderId="0">
      <protection locked="0"/>
    </xf>
    <xf numFmtId="0" fontId="67" fillId="0" borderId="25" applyNumberFormat="0" applyFill="0" applyAlignment="0" applyProtection="0"/>
    <xf numFmtId="10" fontId="40" fillId="57" borderId="17" applyNumberFormat="0" applyBorder="0" applyAlignment="0" applyProtection="0"/>
    <xf numFmtId="0" fontId="68" fillId="40" borderId="19" applyNumberFormat="0" applyAlignment="0" applyProtection="0"/>
    <xf numFmtId="0" fontId="40" fillId="56" borderId="0"/>
    <xf numFmtId="0" fontId="69" fillId="0" borderId="26" applyNumberFormat="0" applyFill="0" applyAlignment="0" applyProtection="0"/>
    <xf numFmtId="184" fontId="11" fillId="0" borderId="17">
      <alignment horizontal="center"/>
    </xf>
    <xf numFmtId="185" fontId="70" fillId="0" borderId="0"/>
    <xf numFmtId="17" fontId="71" fillId="0" borderId="0">
      <alignment horizontal="center"/>
    </xf>
    <xf numFmtId="186" fontId="11" fillId="0" borderId="0" applyFont="0" applyFill="0" applyBorder="0" applyAlignment="0" applyProtection="0"/>
    <xf numFmtId="187" fontId="11" fillId="0" borderId="0" applyFont="0" applyFill="0" applyBorder="0" applyAlignment="0" applyProtection="0"/>
    <xf numFmtId="0" fontId="72" fillId="58" borderId="0" applyNumberFormat="0" applyBorder="0" applyAlignment="0" applyProtection="0"/>
    <xf numFmtId="43" fontId="73" fillId="0" borderId="0" applyNumberFormat="0" applyFill="0" applyBorder="0" applyAlignment="0" applyProtection="0"/>
    <xf numFmtId="0" fontId="39" fillId="0" borderId="0" applyNumberFormat="0" applyFill="0" applyAlignment="0" applyProtection="0"/>
    <xf numFmtId="37" fontId="74" fillId="0" borderId="0"/>
    <xf numFmtId="188" fontId="75" fillId="0" borderId="0"/>
    <xf numFmtId="172" fontId="12" fillId="0" borderId="0" applyProtection="0"/>
    <xf numFmtId="0" fontId="11" fillId="0" borderId="0"/>
    <xf numFmtId="0" fontId="9" fillId="0" borderId="0"/>
    <xf numFmtId="0" fontId="54" fillId="0" borderId="0"/>
    <xf numFmtId="0" fontId="11" fillId="0" borderId="17">
      <alignment horizontal="center" wrapText="1"/>
    </xf>
    <xf numFmtId="2" fontId="11" fillId="0" borderId="17">
      <alignment horizontal="center"/>
    </xf>
    <xf numFmtId="189" fontId="76" fillId="0" borderId="17" applyFont="0">
      <alignment horizontal="center"/>
    </xf>
    <xf numFmtId="0" fontId="11" fillId="59" borderId="27" applyNumberFormat="0" applyFont="0" applyAlignment="0" applyProtection="0"/>
    <xf numFmtId="1" fontId="11" fillId="0" borderId="17">
      <alignment horizontal="center"/>
    </xf>
    <xf numFmtId="0" fontId="77" fillId="54" borderId="28" applyNumberFormat="0" applyAlignment="0" applyProtection="0"/>
    <xf numFmtId="10"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78" fillId="0" borderId="1">
      <alignment horizontal="center"/>
    </xf>
    <xf numFmtId="3" fontId="32" fillId="0" borderId="0" applyFont="0" applyFill="0" applyBorder="0" applyAlignment="0" applyProtection="0"/>
    <xf numFmtId="0" fontId="32" fillId="60" borderId="0" applyNumberFormat="0" applyFont="0" applyBorder="0" applyAlignment="0" applyProtection="0"/>
    <xf numFmtId="37" fontId="40" fillId="56" borderId="0" applyFill="0">
      <alignment horizontal="right"/>
    </xf>
    <xf numFmtId="0" fontId="47" fillId="0" borderId="0">
      <alignment horizontal="left"/>
    </xf>
    <xf numFmtId="0" fontId="40" fillId="0" borderId="0" applyFill="0">
      <alignment horizontal="left"/>
    </xf>
    <xf numFmtId="37" fontId="40" fillId="0" borderId="3" applyFill="0">
      <alignment horizontal="right"/>
    </xf>
    <xf numFmtId="0" fontId="76" fillId="0" borderId="17" applyNumberFormat="0" applyFont="0" applyBorder="0">
      <alignment horizontal="right"/>
    </xf>
    <xf numFmtId="0" fontId="79" fillId="0" borderId="0" applyFill="0"/>
    <xf numFmtId="0" fontId="40" fillId="0" borderId="0" applyFill="0">
      <alignment horizontal="left"/>
    </xf>
    <xf numFmtId="190" fontId="40" fillId="0" borderId="3" applyFill="0">
      <alignment horizontal="right"/>
    </xf>
    <xf numFmtId="0" fontId="11" fillId="0" borderId="0" applyNumberFormat="0" applyFont="0" applyBorder="0" applyAlignment="0"/>
    <xf numFmtId="0" fontId="44" fillId="0" borderId="0" applyFill="0">
      <alignment horizontal="left" indent="1"/>
    </xf>
    <xf numFmtId="0" fontId="47" fillId="0" borderId="0" applyFill="0">
      <alignment horizontal="left"/>
    </xf>
    <xf numFmtId="37" fontId="40" fillId="0" borderId="0" applyFill="0">
      <alignment horizontal="right"/>
    </xf>
    <xf numFmtId="0" fontId="11" fillId="0" borderId="0" applyNumberFormat="0" applyFont="0" applyFill="0" applyBorder="0" applyAlignment="0"/>
    <xf numFmtId="0" fontId="44" fillId="0" borderId="0" applyFill="0">
      <alignment horizontal="left" indent="2"/>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80" fillId="0" borderId="0">
      <alignment horizontal="left" indent="3"/>
    </xf>
    <xf numFmtId="0" fontId="40" fillId="0" borderId="0" applyFill="0">
      <alignment horizontal="left"/>
    </xf>
    <xf numFmtId="37" fontId="40" fillId="0" borderId="0" applyFill="0">
      <alignment horizontal="right"/>
    </xf>
    <xf numFmtId="0" fontId="11" fillId="0" borderId="0" applyNumberFormat="0" applyFont="0" applyBorder="0" applyAlignment="0"/>
    <xf numFmtId="0" fontId="46" fillId="0" borderId="0">
      <alignment horizontal="left" indent="4"/>
    </xf>
    <xf numFmtId="0" fontId="40" fillId="0" borderId="0" applyFill="0">
      <alignment horizontal="left"/>
    </xf>
    <xf numFmtId="37" fontId="47" fillId="0" borderId="0" applyFill="0">
      <alignment horizontal="right"/>
    </xf>
    <xf numFmtId="0" fontId="11" fillId="0" borderId="0" applyNumberFormat="0" applyFont="0" applyBorder="0" applyAlignment="0"/>
    <xf numFmtId="0" fontId="48" fillId="0" borderId="0">
      <alignment horizontal="left" indent="5"/>
    </xf>
    <xf numFmtId="0" fontId="47" fillId="0" borderId="0" applyFill="0">
      <alignment horizontal="left"/>
    </xf>
    <xf numFmtId="37" fontId="47" fillId="0" borderId="0" applyFill="0">
      <alignment horizontal="right"/>
    </xf>
    <xf numFmtId="0" fontId="11" fillId="0" borderId="0" applyNumberFormat="0" applyFont="0" applyFill="0" applyBorder="0" applyAlignment="0"/>
    <xf numFmtId="0" fontId="50" fillId="0" borderId="0" applyFill="0">
      <alignment horizontal="left" indent="6"/>
    </xf>
    <xf numFmtId="0" fontId="47" fillId="0" borderId="0" applyFill="0">
      <alignment horizontal="left"/>
    </xf>
    <xf numFmtId="38" fontId="81" fillId="2" borderId="3">
      <alignment horizontal="right"/>
    </xf>
    <xf numFmtId="38" fontId="11" fillId="61" borderId="0" applyNumberFormat="0" applyFont="0" applyBorder="0" applyAlignment="0" applyProtection="0"/>
    <xf numFmtId="0" fontId="82" fillId="0" borderId="0" applyNumberFormat="0" applyAlignment="0">
      <alignment horizontal="centerContinuous"/>
    </xf>
    <xf numFmtId="0" fontId="39" fillId="0" borderId="3" applyNumberFormat="0" applyFill="0" applyAlignment="0" applyProtection="0"/>
    <xf numFmtId="37" fontId="83" fillId="0" borderId="0" applyNumberFormat="0">
      <alignment horizontal="left"/>
    </xf>
    <xf numFmtId="191" fontId="11" fillId="0" borderId="17">
      <alignment horizontal="center" wrapText="1"/>
    </xf>
    <xf numFmtId="38" fontId="32" fillId="0" borderId="0" applyFont="0" applyFill="0" applyBorder="0" applyAlignment="0" applyProtection="0"/>
    <xf numFmtId="38" fontId="32" fillId="0" borderId="0" applyFont="0" applyFill="0" applyBorder="0" applyAlignment="0" applyProtection="0"/>
    <xf numFmtId="0" fontId="11" fillId="0" borderId="0" applyNumberFormat="0" applyFill="0" applyBorder="0" applyProtection="0">
      <alignment horizontal="right" wrapText="1"/>
    </xf>
    <xf numFmtId="192" fontId="11" fillId="0" borderId="0" applyFill="0" applyBorder="0" applyAlignment="0" applyProtection="0">
      <alignment wrapText="1"/>
    </xf>
    <xf numFmtId="37" fontId="84" fillId="0" borderId="0" applyNumberFormat="0">
      <alignment horizontal="left"/>
    </xf>
    <xf numFmtId="37" fontId="85" fillId="0" borderId="0" applyNumberFormat="0">
      <alignment horizontal="left"/>
    </xf>
    <xf numFmtId="37" fontId="86" fillId="0" borderId="0" applyNumberFormat="0">
      <alignment horizontal="left"/>
    </xf>
    <xf numFmtId="185" fontId="87" fillId="0" borderId="0"/>
    <xf numFmtId="40" fontId="88" fillId="0" borderId="0"/>
    <xf numFmtId="0" fontId="89" fillId="0" borderId="0" applyNumberFormat="0" applyFill="0" applyBorder="0" applyAlignment="0" applyProtection="0"/>
    <xf numFmtId="0" fontId="90" fillId="0" borderId="29" applyNumberFormat="0" applyFill="0" applyAlignment="0" applyProtection="0"/>
    <xf numFmtId="37" fontId="40" fillId="2" borderId="0" applyNumberFormat="0" applyBorder="0" applyAlignment="0" applyProtection="0"/>
    <xf numFmtId="37" fontId="40" fillId="0" borderId="0"/>
    <xf numFmtId="3" fontId="91" fillId="0" borderId="25" applyProtection="0"/>
    <xf numFmtId="0" fontId="92" fillId="0" borderId="0" applyNumberForma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20"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93"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93"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9" fillId="28"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93" fillId="32"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9"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13"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9" fillId="42"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93" fillId="29"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4"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94"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8"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94"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5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3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94"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94"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94"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51"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94"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63"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94"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94"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95"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96" fillId="8"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22" fillId="64" borderId="8"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2" fillId="64" borderId="19"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97"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24" fillId="9" borderId="11"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0" fontId="53" fillId="55" borderId="20" applyNumberFormat="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3"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9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9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9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0"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2"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1" fillId="0" borderId="30"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4" fillId="0" borderId="6"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5" fillId="0" borderId="31"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3" fillId="0" borderId="2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6" fillId="0" borderId="7"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6" fillId="0" borderId="33"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32"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7" fillId="0" borderId="0" applyNumberFormat="0" applyFill="0" applyBorder="0" applyAlignment="0" applyProtection="0">
      <alignment vertical="top"/>
      <protection locked="0"/>
    </xf>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108" fillId="7"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20" fillId="58" borderId="8"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8" fillId="58" borderId="19" applyNumberFormat="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109"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69" fillId="0" borderId="26" applyNumberFormat="0" applyFill="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0"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 fillId="0" borderId="0"/>
    <xf numFmtId="0" fontId="9" fillId="0" borderId="0"/>
    <xf numFmtId="0" fontId="9" fillId="0" borderId="0"/>
    <xf numFmtId="0" fontId="9"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8"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93"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93" fillId="10" borderId="12"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11" fillId="59" borderId="27" applyNumberFormat="0" applyFon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112" fillId="8"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21" fillId="64" borderId="9"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0" fontId="77" fillId="64" borderId="2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114"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0" fillId="0" borderId="34" applyNumberFormat="0" applyFill="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11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172" fontId="12" fillId="0" borderId="0" applyProtection="0"/>
    <xf numFmtId="0" fontId="31" fillId="0" borderId="0"/>
    <xf numFmtId="0" fontId="11" fillId="0" borderId="0"/>
    <xf numFmtId="194" fontId="11" fillId="65" borderId="0" applyNumberFormat="0" applyFill="0" applyBorder="0" applyAlignment="0" applyProtection="0">
      <alignment horizontal="right" vertical="center"/>
    </xf>
    <xf numFmtId="194" fontId="67" fillId="0" borderId="0" applyNumberFormat="0" applyFill="0" applyBorder="0" applyAlignment="0" applyProtection="0"/>
    <xf numFmtId="0" fontId="11" fillId="0" borderId="3" applyNumberFormat="0" applyFont="0" applyFill="0" applyAlignment="0" applyProtection="0"/>
    <xf numFmtId="195" fontId="10" fillId="0" borderId="0" applyFont="0" applyFill="0" applyBorder="0" applyAlignment="0" applyProtection="0"/>
    <xf numFmtId="37" fontId="116" fillId="0" borderId="0" applyFont="0" applyFill="0" applyBorder="0" applyAlignment="0" applyProtection="0">
      <alignment vertical="center"/>
      <protection locked="0"/>
    </xf>
    <xf numFmtId="196" fontId="31" fillId="0" borderId="0" applyFont="0" applyFill="0" applyBorder="0" applyAlignment="0" applyProtection="0"/>
    <xf numFmtId="0" fontId="117" fillId="0" borderId="0"/>
    <xf numFmtId="0" fontId="11" fillId="0" borderId="0" applyFill="0">
      <alignment horizontal="center" vertical="center" wrapText="1"/>
    </xf>
    <xf numFmtId="185" fontId="118" fillId="0" borderId="0" applyFont="0" applyFill="0" applyBorder="0" applyAlignment="0" applyProtection="0">
      <protection locked="0"/>
    </xf>
    <xf numFmtId="197" fontId="118" fillId="0" borderId="0" applyFont="0" applyFill="0" applyBorder="0" applyAlignment="0" applyProtection="0">
      <protection locked="0"/>
    </xf>
    <xf numFmtId="39" fontId="11" fillId="0" borderId="0" applyFont="0" applyFill="0" applyBorder="0" applyAlignment="0" applyProtection="0"/>
    <xf numFmtId="198" fontId="119" fillId="0" borderId="0" applyFont="0" applyFill="0" applyBorder="0" applyAlignment="0" applyProtection="0"/>
    <xf numFmtId="199" fontId="31" fillId="0" borderId="0" applyFont="0" applyFill="0" applyBorder="0" applyAlignment="0" applyProtection="0"/>
    <xf numFmtId="0" fontId="11" fillId="0" borderId="3" applyNumberFormat="0" applyFont="0" applyFill="0" applyBorder="0" applyProtection="0">
      <alignment horizontal="centerContinuous" vertical="center"/>
    </xf>
    <xf numFmtId="0" fontId="120" fillId="0" borderId="0" applyFill="0" applyBorder="0" applyProtection="0">
      <alignment horizontal="center"/>
      <protection locked="0"/>
    </xf>
    <xf numFmtId="41" fontId="93" fillId="0" borderId="0" applyFont="0" applyFill="0" applyBorder="0" applyAlignment="0" applyProtection="0"/>
    <xf numFmtId="41" fontId="9" fillId="0" borderId="0" applyFont="0" applyFill="0" applyBorder="0" applyAlignment="0" applyProtection="0"/>
    <xf numFmtId="200" fontId="39" fillId="0" borderId="0" applyFont="0" applyFill="0" applyBorder="0" applyAlignment="0" applyProtection="0"/>
    <xf numFmtId="201" fontId="121" fillId="0" borderId="0" applyFont="0" applyFill="0" applyBorder="0" applyAlignment="0" applyProtection="0"/>
    <xf numFmtId="202" fontId="121" fillId="0" borderId="0" applyFont="0" applyFill="0" applyBorder="0" applyAlignment="0" applyProtection="0"/>
    <xf numFmtId="203" fontId="122" fillId="0" borderId="0" applyFont="0" applyFill="0" applyBorder="0" applyAlignment="0" applyProtection="0">
      <protection locked="0"/>
    </xf>
    <xf numFmtId="3" fontId="11" fillId="0" borderId="0" applyFont="0" applyFill="0" applyBorder="0" applyAlignment="0" applyProtection="0"/>
    <xf numFmtId="0" fontId="42" fillId="0" borderId="0" applyFill="0" applyBorder="0" applyAlignment="0" applyProtection="0">
      <protection locked="0"/>
    </xf>
    <xf numFmtId="0" fontId="11" fillId="0" borderId="35"/>
    <xf numFmtId="204" fontId="121" fillId="0" borderId="0" applyFont="0" applyFill="0" applyBorder="0" applyAlignment="0" applyProtection="0"/>
    <xf numFmtId="205" fontId="121" fillId="0" borderId="0" applyFont="0" applyFill="0" applyBorder="0" applyAlignment="0" applyProtection="0"/>
    <xf numFmtId="206" fontId="121" fillId="0" borderId="0" applyFont="0" applyFill="0" applyBorder="0" applyAlignment="0" applyProtection="0"/>
    <xf numFmtId="207" fontId="122" fillId="0" borderId="0" applyFont="0" applyFill="0" applyBorder="0" applyAlignment="0" applyProtection="0">
      <protection locked="0"/>
    </xf>
    <xf numFmtId="5" fontId="11" fillId="0" borderId="0" applyFont="0" applyFill="0" applyBorder="0" applyAlignment="0" applyProtection="0"/>
    <xf numFmtId="5" fontId="11" fillId="0" borderId="0" applyFont="0" applyFill="0" applyBorder="0" applyAlignment="0" applyProtection="0"/>
    <xf numFmtId="208" fontId="31" fillId="0" borderId="0" applyFont="0" applyFill="0" applyBorder="0" applyAlignment="0" applyProtection="0"/>
    <xf numFmtId="209" fontId="11" fillId="0" borderId="0" applyFont="0" applyFill="0" applyBorder="0" applyAlignment="0" applyProtection="0"/>
    <xf numFmtId="210" fontId="118" fillId="0" borderId="0" applyFont="0" applyFill="0" applyBorder="0" applyAlignment="0" applyProtection="0">
      <protection locked="0"/>
    </xf>
    <xf numFmtId="7" fontId="40" fillId="0" borderId="0" applyFont="0" applyFill="0" applyBorder="0" applyAlignment="0" applyProtection="0"/>
    <xf numFmtId="211" fontId="119" fillId="0" borderId="0" applyFont="0" applyFill="0" applyBorder="0" applyAlignment="0" applyProtection="0"/>
    <xf numFmtId="212" fontId="123" fillId="0" borderId="0" applyFont="0" applyFill="0" applyBorder="0" applyAlignment="0" applyProtection="0"/>
    <xf numFmtId="0" fontId="124" fillId="66" borderId="36" applyNumberFormat="0" applyFont="0" applyFill="0" applyAlignment="0" applyProtection="0">
      <alignment horizontal="left" indent="1"/>
    </xf>
    <xf numFmtId="5" fontId="125" fillId="0" borderId="0" applyBorder="0"/>
    <xf numFmtId="209" fontId="125" fillId="0" borderId="0" applyBorder="0"/>
    <xf numFmtId="7" fontId="125" fillId="0" borderId="0" applyBorder="0"/>
    <xf numFmtId="37" fontId="125" fillId="0" borderId="0" applyBorder="0"/>
    <xf numFmtId="185" fontId="125" fillId="0" borderId="0" applyBorder="0"/>
    <xf numFmtId="213" fontId="125" fillId="0" borderId="0" applyBorder="0"/>
    <xf numFmtId="39" fontId="125" fillId="0" borderId="0" applyBorder="0"/>
    <xf numFmtId="214" fontId="125" fillId="0" borderId="0" applyBorder="0"/>
    <xf numFmtId="7" fontId="11" fillId="0" borderId="0" applyFont="0" applyFill="0" applyBorder="0" applyAlignment="0" applyProtection="0"/>
    <xf numFmtId="215" fontId="31" fillId="0" borderId="0" applyFont="0" applyFill="0" applyBorder="0" applyAlignment="0" applyProtection="0"/>
    <xf numFmtId="216" fontId="31" fillId="0" borderId="0" applyFont="0" applyFill="0" applyAlignment="0" applyProtection="0"/>
    <xf numFmtId="215" fontId="31" fillId="0" borderId="0" applyFont="0" applyFill="0" applyBorder="0" applyAlignment="0" applyProtection="0"/>
    <xf numFmtId="185" fontId="126" fillId="0" borderId="0" applyNumberFormat="0" applyFill="0" applyBorder="0" applyAlignment="0" applyProtection="0"/>
    <xf numFmtId="0" fontId="40" fillId="0" borderId="0" applyFont="0" applyFill="0" applyBorder="0" applyAlignment="0" applyProtection="0"/>
    <xf numFmtId="0" fontId="126" fillId="0" borderId="0" applyNumberFormat="0" applyFill="0" applyBorder="0" applyAlignment="0" applyProtection="0"/>
    <xf numFmtId="0" fontId="120" fillId="0" borderId="0" applyFill="0" applyAlignment="0" applyProtection="0">
      <protection locked="0"/>
    </xf>
    <xf numFmtId="0" fontId="120" fillId="0" borderId="3" applyFill="0" applyAlignment="0" applyProtection="0">
      <protection locked="0"/>
    </xf>
    <xf numFmtId="0" fontId="127" fillId="0" borderId="3" applyNumberFormat="0" applyFill="0" applyAlignment="0" applyProtection="0"/>
    <xf numFmtId="0" fontId="128" fillId="62" borderId="17" applyNumberFormat="0" applyAlignment="0" applyProtection="0"/>
    <xf numFmtId="5" fontId="129" fillId="0" borderId="0" applyBorder="0"/>
    <xf numFmtId="209" fontId="129" fillId="0" borderId="0" applyBorder="0"/>
    <xf numFmtId="7" fontId="129" fillId="0" borderId="0" applyBorder="0"/>
    <xf numFmtId="37" fontId="129" fillId="0" borderId="0" applyBorder="0"/>
    <xf numFmtId="185" fontId="129" fillId="0" borderId="0" applyBorder="0"/>
    <xf numFmtId="213" fontId="129" fillId="0" borderId="0" applyBorder="0"/>
    <xf numFmtId="39" fontId="129" fillId="0" borderId="0" applyBorder="0"/>
    <xf numFmtId="214" fontId="129" fillId="0" borderId="0" applyBorder="0"/>
    <xf numFmtId="0" fontId="130" fillId="0" borderId="37" applyNumberFormat="0" applyFont="0" applyFill="0" applyAlignment="0" applyProtection="0"/>
    <xf numFmtId="217" fontId="11" fillId="0" borderId="0" applyFont="0" applyFill="0" applyBorder="0" applyAlignment="0" applyProtection="0"/>
    <xf numFmtId="218" fontId="11" fillId="0" borderId="0" applyFont="0" applyFill="0" applyBorder="0" applyAlignment="0" applyProtection="0"/>
    <xf numFmtId="219" fontId="11" fillId="0" borderId="0" applyFont="0" applyFill="0" applyBorder="0" applyAlignment="0" applyProtection="0"/>
    <xf numFmtId="220" fontId="11" fillId="0" borderId="0" applyFont="0" applyFill="0" applyBorder="0" applyAlignment="0" applyProtection="0"/>
    <xf numFmtId="221" fontId="11" fillId="0" borderId="0" applyFont="0" applyFill="0" applyBorder="0" applyAlignment="0" applyProtection="0"/>
    <xf numFmtId="0" fontId="11" fillId="0" borderId="0"/>
    <xf numFmtId="222" fontId="11" fillId="0" borderId="0" applyFont="0" applyFill="0" applyBorder="0" applyAlignment="0" applyProtection="0"/>
    <xf numFmtId="223" fontId="98" fillId="67" borderId="0" applyFont="0" applyFill="0" applyBorder="0" applyAlignment="0" applyProtection="0"/>
    <xf numFmtId="224" fontId="98" fillId="67" borderId="0" applyFont="0" applyFill="0" applyBorder="0" applyAlignment="0" applyProtection="0"/>
    <xf numFmtId="225" fontId="11" fillId="0" borderId="0" applyFont="0" applyFill="0" applyBorder="0" applyAlignment="0" applyProtection="0"/>
    <xf numFmtId="226" fontId="121" fillId="0" borderId="0" applyFont="0" applyFill="0" applyBorder="0" applyAlignment="0" applyProtection="0"/>
    <xf numFmtId="227" fontId="39" fillId="0" borderId="0" applyFont="0" applyFill="0" applyBorder="0" applyAlignment="0" applyProtection="0"/>
    <xf numFmtId="228" fontId="11" fillId="0" borderId="0" applyFont="0" applyFill="0" applyBorder="0" applyAlignment="0" applyProtection="0"/>
    <xf numFmtId="229" fontId="121" fillId="0" borderId="0" applyFont="0" applyFill="0" applyBorder="0" applyAlignment="0" applyProtection="0"/>
    <xf numFmtId="230" fontId="39" fillId="0" borderId="0" applyFont="0" applyFill="0" applyBorder="0" applyAlignment="0" applyProtection="0"/>
    <xf numFmtId="231" fontId="121" fillId="0" borderId="0" applyFont="0" applyFill="0" applyBorder="0" applyAlignment="0" applyProtection="0"/>
    <xf numFmtId="232" fontId="39" fillId="0" borderId="0" applyFont="0" applyFill="0" applyBorder="0" applyAlignment="0" applyProtection="0"/>
    <xf numFmtId="233" fontId="121" fillId="0" borderId="0" applyFont="0" applyFill="0" applyBorder="0" applyAlignment="0" applyProtection="0"/>
    <xf numFmtId="234" fontId="39" fillId="0" borderId="0" applyFont="0" applyFill="0" applyBorder="0" applyAlignment="0" applyProtection="0"/>
    <xf numFmtId="235" fontId="122" fillId="0" borderId="0" applyFont="0" applyFill="0" applyBorder="0" applyAlignment="0" applyProtection="0">
      <protection locked="0"/>
    </xf>
    <xf numFmtId="236" fontId="39" fillId="0" borderId="0" applyFont="0" applyFill="0" applyBorder="0" applyAlignment="0" applyProtection="0"/>
    <xf numFmtId="9" fontId="11" fillId="0" borderId="0" applyFont="0" applyFill="0" applyBorder="0" applyAlignment="0" applyProtection="0"/>
    <xf numFmtId="9" fontId="31" fillId="0" borderId="0" applyFont="0" applyFill="0" applyBorder="0" applyAlignment="0" applyProtection="0"/>
    <xf numFmtId="9" fontId="93" fillId="0" borderId="0" applyFont="0" applyFill="0" applyBorder="0" applyAlignment="0" applyProtection="0"/>
    <xf numFmtId="9" fontId="9" fillId="0" borderId="0" applyFont="0" applyFill="0" applyBorder="0" applyAlignment="0" applyProtection="0"/>
    <xf numFmtId="9" fontId="125" fillId="0" borderId="0" applyBorder="0"/>
    <xf numFmtId="237" fontId="125" fillId="0" borderId="0" applyBorder="0"/>
    <xf numFmtId="10" fontId="125" fillId="0" borderId="0" applyBorder="0"/>
    <xf numFmtId="3" fontId="11" fillId="0" borderId="0">
      <alignment horizontal="left" vertical="top"/>
    </xf>
    <xf numFmtId="3" fontId="11" fillId="0" borderId="0">
      <alignment horizontal="right" vertical="top"/>
    </xf>
    <xf numFmtId="0" fontId="11" fillId="0" borderId="0" applyFill="0">
      <alignment horizontal="left" indent="4"/>
    </xf>
    <xf numFmtId="0" fontId="130" fillId="0" borderId="38" applyNumberFormat="0" applyFont="0" applyFill="0" applyAlignment="0" applyProtection="0"/>
    <xf numFmtId="0" fontId="131" fillId="0" borderId="0" applyNumberFormat="0" applyFill="0" applyBorder="0" applyAlignment="0" applyProtection="0"/>
    <xf numFmtId="0" fontId="132" fillId="0" borderId="0"/>
    <xf numFmtId="0" fontId="42" fillId="68" borderId="0"/>
    <xf numFmtId="0" fontId="11" fillId="56" borderId="35" applyNumberFormat="0" applyFont="0" applyAlignment="0"/>
    <xf numFmtId="0" fontId="130" fillId="66" borderId="0" applyNumberFormat="0" applyFont="0" applyBorder="0" applyAlignment="0" applyProtection="0"/>
    <xf numFmtId="223" fontId="133" fillId="0" borderId="15" applyNumberFormat="0" applyFont="0" applyFill="0" applyAlignment="0" applyProtection="0"/>
    <xf numFmtId="0" fontId="134" fillId="0" borderId="0" applyFill="0" applyBorder="0" applyProtection="0">
      <alignment horizontal="left" vertical="top"/>
    </xf>
    <xf numFmtId="0" fontId="11" fillId="0" borderId="4" applyNumberFormat="0" applyFont="0" applyFill="0" applyAlignment="0" applyProtection="0"/>
    <xf numFmtId="0" fontId="135" fillId="0" borderId="0" applyNumberFormat="0" applyFill="0" applyBorder="0" applyAlignment="0" applyProtection="0"/>
    <xf numFmtId="238" fontId="39" fillId="0" borderId="0" applyFont="0" applyFill="0" applyBorder="0" applyAlignment="0" applyProtection="0"/>
    <xf numFmtId="239" fontId="39" fillId="0" borderId="0" applyFont="0" applyFill="0" applyBorder="0" applyAlignment="0" applyProtection="0"/>
    <xf numFmtId="240" fontId="39" fillId="0" borderId="0" applyFont="0" applyFill="0" applyBorder="0" applyAlignment="0" applyProtection="0"/>
    <xf numFmtId="241" fontId="39" fillId="0" borderId="0" applyFont="0" applyFill="0" applyBorder="0" applyAlignment="0" applyProtection="0"/>
    <xf numFmtId="242" fontId="39" fillId="0" borderId="0" applyFont="0" applyFill="0" applyBorder="0" applyAlignment="0" applyProtection="0"/>
    <xf numFmtId="243" fontId="39" fillId="0" borderId="0" applyFont="0" applyFill="0" applyBorder="0" applyAlignment="0" applyProtection="0"/>
    <xf numFmtId="244" fontId="39" fillId="0" borderId="0" applyFont="0" applyFill="0" applyBorder="0" applyAlignment="0" applyProtection="0"/>
    <xf numFmtId="245" fontId="39" fillId="0" borderId="0" applyFont="0" applyFill="0" applyBorder="0" applyAlignment="0" applyProtection="0"/>
    <xf numFmtId="246" fontId="136" fillId="66" borderId="39" applyFont="0" applyFill="0" applyBorder="0" applyAlignment="0" applyProtection="0"/>
    <xf numFmtId="246" fontId="31" fillId="0" borderId="0" applyFont="0" applyFill="0" applyBorder="0" applyAlignment="0" applyProtection="0"/>
    <xf numFmtId="247" fontId="119" fillId="0" borderId="0" applyFont="0" applyFill="0" applyBorder="0" applyAlignment="0" applyProtection="0"/>
    <xf numFmtId="248" fontId="123" fillId="0" borderId="15" applyFont="0" applyFill="0" applyBorder="0" applyAlignment="0" applyProtection="0">
      <alignment horizontal="right"/>
      <protection locked="0"/>
    </xf>
    <xf numFmtId="0" fontId="56" fillId="0" borderId="0">
      <alignment vertical="top"/>
    </xf>
    <xf numFmtId="0" fontId="137" fillId="0" borderId="0"/>
    <xf numFmtId="0" fontId="11" fillId="0" borderId="0" applyNumberFormat="0" applyFill="0" applyBorder="0" applyAlignment="0" applyProtection="0"/>
    <xf numFmtId="0" fontId="11" fillId="0" borderId="0" applyNumberFormat="0" applyFill="0" applyBorder="0" applyAlignment="0" applyProtection="0"/>
    <xf numFmtId="175" fontId="31" fillId="53" borderId="16">
      <alignment horizontal="center" vertical="center"/>
    </xf>
    <xf numFmtId="0" fontId="138" fillId="0" borderId="0" applyNumberFormat="0" applyFont="0" applyFill="0" applyBorder="0" applyProtection="0">
      <alignment vertical="top" wrapText="1"/>
    </xf>
    <xf numFmtId="0" fontId="76" fillId="2" borderId="0" applyNumberFormat="0" applyFont="0" applyAlignment="0">
      <alignment vertical="top"/>
    </xf>
    <xf numFmtId="0" fontId="11" fillId="2" borderId="0" applyNumberFormat="0" applyFont="0" applyAlignment="0">
      <alignment vertical="top" wrapText="1"/>
    </xf>
    <xf numFmtId="249" fontId="134" fillId="0" borderId="37" applyNumberFormat="0" applyFill="0" applyBorder="0" applyAlignment="0" applyProtection="0">
      <alignment horizontal="center"/>
    </xf>
    <xf numFmtId="0" fontId="139" fillId="0" borderId="0"/>
    <xf numFmtId="250" fontId="140" fillId="0" borderId="0">
      <alignment horizontal="center" wrapText="1"/>
    </xf>
    <xf numFmtId="251" fontId="141" fillId="0" borderId="0" applyFont="0" applyFill="0" applyBorder="0" applyAlignment="0" applyProtection="0">
      <alignment vertical="center"/>
    </xf>
    <xf numFmtId="4" fontId="142" fillId="0" borderId="4" applyFont="0" applyFill="0" applyBorder="0" applyAlignment="0">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8" fontId="40" fillId="0" borderId="0">
      <alignment horizontal="right"/>
    </xf>
    <xf numFmtId="252" fontId="138" fillId="0" borderId="0" applyFont="0" applyFill="0" applyBorder="0" applyAlignment="0" applyProtection="0"/>
    <xf numFmtId="0" fontId="143" fillId="0" borderId="0"/>
    <xf numFmtId="253" fontId="144" fillId="0" borderId="0">
      <protection locked="0"/>
    </xf>
    <xf numFmtId="171" fontId="31" fillId="0" borderId="0" applyFont="0" applyFill="0" applyBorder="0" applyAlignment="0" applyProtection="0"/>
    <xf numFmtId="171" fontId="31" fillId="0" borderId="0" applyFont="0" applyFill="0" applyBorder="0" applyAlignment="0" applyProtection="0"/>
    <xf numFmtId="4" fontId="31" fillId="0" borderId="0" applyFont="0" applyFill="0" applyBorder="0" applyAlignment="0" applyProtection="0"/>
    <xf numFmtId="4" fontId="31" fillId="0" borderId="0" applyFont="0" applyFill="0" applyBorder="0" applyAlignment="0" applyProtection="0"/>
    <xf numFmtId="4" fontId="136" fillId="0" borderId="0"/>
    <xf numFmtId="254" fontId="29" fillId="0" borderId="0">
      <protection locked="0"/>
    </xf>
    <xf numFmtId="44" fontId="141" fillId="0" borderId="0" applyFont="0" applyFill="0" applyBorder="0" applyAlignment="0" applyProtection="0"/>
    <xf numFmtId="255" fontId="141"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256" fontId="11" fillId="0" borderId="0" applyFont="0" applyFill="0" applyBorder="0" applyAlignment="0" applyProtection="0">
      <alignment wrapText="1"/>
    </xf>
    <xf numFmtId="256" fontId="11" fillId="0" borderId="0" applyFont="0" applyFill="0" applyBorder="0" applyAlignment="0" applyProtection="0">
      <alignment wrapText="1"/>
    </xf>
    <xf numFmtId="16" fontId="40" fillId="0" borderId="0">
      <alignment horizontal="right"/>
    </xf>
    <xf numFmtId="15" fontId="40" fillId="0" borderId="0">
      <alignment horizontal="right"/>
    </xf>
    <xf numFmtId="257" fontId="10" fillId="0" borderId="0"/>
    <xf numFmtId="182" fontId="11" fillId="0" borderId="0">
      <protection locked="0"/>
    </xf>
    <xf numFmtId="182" fontId="11" fillId="0" borderId="0">
      <protection locked="0"/>
    </xf>
    <xf numFmtId="0" fontId="145" fillId="0" borderId="0" applyNumberFormat="0" applyFill="0" applyBorder="0" applyAlignment="0" applyProtection="0"/>
    <xf numFmtId="38" fontId="40" fillId="56" borderId="0" applyNumberFormat="0" applyBorder="0" applyAlignment="0" applyProtection="0"/>
    <xf numFmtId="183" fontId="11" fillId="0" borderId="0">
      <protection locked="0"/>
    </xf>
    <xf numFmtId="183" fontId="11" fillId="0" borderId="0">
      <protection locked="0"/>
    </xf>
    <xf numFmtId="183" fontId="11" fillId="0" borderId="0">
      <protection locked="0"/>
    </xf>
    <xf numFmtId="183" fontId="11" fillId="0" borderId="0">
      <protection locked="0"/>
    </xf>
    <xf numFmtId="10" fontId="40" fillId="57" borderId="17" applyNumberFormat="0" applyBorder="0" applyAlignment="0" applyProtection="0"/>
    <xf numFmtId="258" fontId="29" fillId="0" borderId="0">
      <alignment horizontal="center"/>
      <protection locked="0"/>
    </xf>
    <xf numFmtId="259" fontId="11" fillId="0" borderId="0" applyFont="0" applyFill="0" applyBorder="0" applyAlignment="0" applyProtection="0"/>
    <xf numFmtId="260" fontId="11" fillId="0" borderId="0" applyFont="0" applyFill="0" applyBorder="0" applyAlignment="0" applyProtection="0"/>
    <xf numFmtId="261" fontId="31" fillId="0" borderId="0"/>
    <xf numFmtId="37" fontId="146"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56"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3" fillId="0" borderId="0"/>
    <xf numFmtId="262" fontId="11" fillId="0" borderId="0"/>
    <xf numFmtId="262" fontId="11" fillId="0" borderId="0"/>
    <xf numFmtId="263" fontId="14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48" fillId="0" borderId="40"/>
    <xf numFmtId="174" fontId="136" fillId="0" borderId="0"/>
    <xf numFmtId="3" fontId="47" fillId="0" borderId="41" applyBorder="0">
      <alignment horizontal="right" wrapText="1"/>
    </xf>
    <xf numFmtId="4" fontId="47" fillId="0" borderId="42" applyBorder="0">
      <alignment horizontal="right" wrapText="1"/>
    </xf>
    <xf numFmtId="0" fontId="11" fillId="69" borderId="28" applyNumberFormat="0" applyProtection="0">
      <alignment horizontal="left" vertical="center" indent="1"/>
    </xf>
    <xf numFmtId="4" fontId="56" fillId="70" borderId="28" applyNumberFormat="0" applyProtection="0">
      <alignment horizontal="right" vertical="center"/>
    </xf>
    <xf numFmtId="0" fontId="11" fillId="69" borderId="28" applyNumberFormat="0" applyProtection="0">
      <alignment horizontal="left" vertical="center" indent="1"/>
    </xf>
    <xf numFmtId="0" fontId="11" fillId="69" borderId="28" applyNumberFormat="0" applyProtection="0">
      <alignment horizontal="left" vertical="center" indent="1"/>
    </xf>
    <xf numFmtId="0" fontId="138" fillId="71" borderId="0" applyNumberFormat="0" applyFont="0" applyBorder="0" applyAlignment="0" applyProtection="0"/>
    <xf numFmtId="0" fontId="138" fillId="61" borderId="0" applyNumberFormat="0" applyFont="0" applyBorder="0" applyAlignment="0" applyProtection="0"/>
    <xf numFmtId="0" fontId="138" fillId="1" borderId="0" applyNumberFormat="0" applyFont="0" applyBorder="0" applyAlignment="0" applyProtection="0"/>
    <xf numFmtId="264" fontId="138" fillId="0" borderId="0" applyFont="0" applyFill="0" applyBorder="0" applyAlignment="0" applyProtection="0"/>
    <xf numFmtId="265" fontId="138" fillId="0" borderId="0" applyFont="0" applyFill="0" applyBorder="0" applyAlignment="0" applyProtection="0"/>
    <xf numFmtId="266" fontId="138" fillId="0" borderId="0" applyFont="0" applyFill="0" applyBorder="0" applyAlignment="0" applyProtection="0"/>
    <xf numFmtId="0" fontId="76" fillId="72" borderId="43" applyNumberFormat="0" applyProtection="0">
      <alignment horizontal="center" wrapText="1"/>
    </xf>
    <xf numFmtId="0" fontId="76" fillId="72" borderId="43" applyNumberFormat="0" applyProtection="0">
      <alignment horizontal="center" wrapText="1"/>
    </xf>
    <xf numFmtId="0" fontId="76" fillId="72" borderId="44" applyNumberFormat="0" applyAlignment="0" applyProtection="0">
      <alignment wrapText="1"/>
    </xf>
    <xf numFmtId="0" fontId="76" fillId="72" borderId="44" applyNumberFormat="0" applyAlignment="0" applyProtection="0">
      <alignment wrapText="1"/>
    </xf>
    <xf numFmtId="0" fontId="11" fillId="73" borderId="0" applyNumberFormat="0" applyBorder="0">
      <alignment horizontal="center" wrapText="1"/>
    </xf>
    <xf numFmtId="0" fontId="11" fillId="73" borderId="0" applyNumberFormat="0" applyBorder="0">
      <alignment horizontal="center" wrapText="1"/>
    </xf>
    <xf numFmtId="0" fontId="11" fillId="73" borderId="0" applyNumberFormat="0" applyBorder="0">
      <alignment wrapText="1"/>
    </xf>
    <xf numFmtId="0" fontId="11" fillId="73" borderId="0" applyNumberFormat="0" applyBorder="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267" fontId="11" fillId="0" borderId="0" applyFill="0" applyBorder="0" applyAlignment="0" applyProtection="0">
      <alignment wrapText="1"/>
    </xf>
    <xf numFmtId="267" fontId="11" fillId="0" borderId="0" applyFill="0" applyBorder="0" applyAlignment="0" applyProtection="0">
      <alignment wrapText="1"/>
    </xf>
    <xf numFmtId="192" fontId="11" fillId="0" borderId="0" applyFill="0" applyBorder="0" applyAlignment="0" applyProtection="0">
      <alignment wrapText="1"/>
    </xf>
    <xf numFmtId="268" fontId="11" fillId="0" borderId="0" applyFill="0" applyBorder="0" applyAlignment="0" applyProtection="0">
      <alignment wrapText="1"/>
    </xf>
    <xf numFmtId="0" fontId="11" fillId="0" borderId="0" applyNumberFormat="0" applyFill="0" applyBorder="0" applyProtection="0">
      <alignment horizontal="right" wrapText="1"/>
    </xf>
    <xf numFmtId="0" fontId="11" fillId="0" borderId="0" applyNumberFormat="0" applyFill="0" applyBorder="0" applyProtection="0">
      <alignment horizontal="right" wrapText="1"/>
    </xf>
    <xf numFmtId="0" fontId="11" fillId="0" borderId="0" applyNumberFormat="0" applyFill="0" applyBorder="0">
      <alignment horizontal="right" wrapText="1"/>
    </xf>
    <xf numFmtId="0" fontId="11" fillId="0" borderId="0" applyNumberFormat="0" applyFill="0" applyBorder="0">
      <alignment horizontal="right" wrapText="1"/>
    </xf>
    <xf numFmtId="17" fontId="11" fillId="0" borderId="0" applyFill="0" applyBorder="0">
      <alignment horizontal="right" wrapText="1"/>
    </xf>
    <xf numFmtId="17" fontId="11" fillId="0" borderId="0" applyFill="0" applyBorder="0">
      <alignment horizontal="right" wrapText="1"/>
    </xf>
    <xf numFmtId="8" fontId="11" fillId="0" borderId="0" applyFill="0" applyBorder="0" applyAlignment="0" applyProtection="0">
      <alignment wrapText="1"/>
    </xf>
    <xf numFmtId="8" fontId="11" fillId="0" borderId="0" applyFill="0" applyBorder="0" applyAlignment="0" applyProtection="0">
      <alignment wrapText="1"/>
    </xf>
    <xf numFmtId="0" fontId="30" fillId="0" borderId="0" applyNumberFormat="0" applyFill="0" applyBorder="0">
      <alignment horizontal="left" wrapText="1"/>
    </xf>
    <xf numFmtId="0" fontId="30" fillId="0" borderId="0" applyNumberFormat="0" applyFill="0" applyBorder="0">
      <alignment horizontal="left"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76" fillId="0" borderId="0" applyNumberFormat="0" applyFill="0" applyBorder="0">
      <alignment horizontal="center" wrapText="1"/>
    </xf>
    <xf numFmtId="0" fontId="149" fillId="0" borderId="45"/>
    <xf numFmtId="0" fontId="150" fillId="0" borderId="0">
      <alignment horizontal="centerContinuous" vertical="center" wrapText="1"/>
    </xf>
    <xf numFmtId="0" fontId="138" fillId="0" borderId="0" applyNumberFormat="0" applyFont="0" applyFill="0" applyBorder="0" applyProtection="0">
      <alignment horizontal="center" wrapText="1"/>
    </xf>
    <xf numFmtId="0" fontId="138" fillId="0" borderId="0" applyNumberFormat="0" applyFont="0" applyFill="0" applyBorder="0" applyProtection="0">
      <alignment horizontal="centerContinuous" vertical="center" wrapText="1"/>
    </xf>
    <xf numFmtId="0" fontId="11" fillId="0" borderId="0"/>
    <xf numFmtId="0" fontId="11" fillId="0" borderId="0"/>
    <xf numFmtId="269" fontId="11" fillId="0" borderId="0">
      <alignment wrapText="1"/>
    </xf>
    <xf numFmtId="269" fontId="11" fillId="0" borderId="0">
      <alignment wrapText="1"/>
    </xf>
    <xf numFmtId="270" fontId="11" fillId="0" borderId="0">
      <alignment wrapText="1"/>
    </xf>
    <xf numFmtId="270" fontId="11" fillId="0" borderId="0">
      <alignment wrapText="1"/>
    </xf>
    <xf numFmtId="37" fontId="40" fillId="2" borderId="0" applyNumberFormat="0" applyBorder="0" applyAlignment="0" applyProtection="0"/>
    <xf numFmtId="37" fontId="40" fillId="0" borderId="0"/>
    <xf numFmtId="0" fontId="151" fillId="0" borderId="0"/>
    <xf numFmtId="0" fontId="138" fillId="0" borderId="0" applyNumberFormat="0" applyFont="0" applyFill="0" applyBorder="0" applyProtection="0"/>
    <xf numFmtId="0" fontId="138" fillId="0" borderId="0" applyNumberFormat="0" applyFont="0" applyFill="0" applyBorder="0" applyProtection="0">
      <alignment vertical="center"/>
    </xf>
    <xf numFmtId="0" fontId="138" fillId="0" borderId="0" applyNumberFormat="0" applyFont="0" applyFill="0" applyBorder="0" applyProtection="0">
      <alignment vertical="top"/>
    </xf>
    <xf numFmtId="0" fontId="138" fillId="0" borderId="0" applyNumberFormat="0" applyFont="0" applyFill="0" applyBorder="0" applyProtection="0">
      <alignment wrapText="1"/>
    </xf>
    <xf numFmtId="0" fontId="152" fillId="0" borderId="0"/>
    <xf numFmtId="0" fontId="152" fillId="0" borderId="0"/>
    <xf numFmtId="43" fontId="152" fillId="0" borderId="0" applyFont="0" applyFill="0" applyBorder="0" applyAlignment="0" applyProtection="0"/>
    <xf numFmtId="0" fontId="147" fillId="0" borderId="0"/>
    <xf numFmtId="172" fontId="153" fillId="0" borderId="0" applyNumberFormat="0" applyFill="0" applyBorder="0" applyAlignment="0" applyProtection="0"/>
    <xf numFmtId="9" fontId="8" fillId="0" borderId="0" applyFont="0" applyFill="0" applyBorder="0" applyAlignment="0" applyProtection="0"/>
    <xf numFmtId="0" fontId="11" fillId="0" borderId="0"/>
    <xf numFmtId="43" fontId="11" fillId="0" borderId="0" applyFont="0" applyFill="0" applyBorder="0" applyAlignment="0" applyProtection="0"/>
    <xf numFmtId="272" fontId="154" fillId="0" borderId="0" applyFont="0" applyFill="0" applyBorder="0" applyAlignment="0" applyProtection="0"/>
    <xf numFmtId="273" fontId="154" fillId="0" borderId="0" applyFont="0" applyFill="0" applyBorder="0" applyAlignment="0" applyProtection="0"/>
    <xf numFmtId="274" fontId="154" fillId="0" borderId="0" applyFont="0" applyFill="0" applyBorder="0" applyAlignment="0" applyProtection="0"/>
    <xf numFmtId="275" fontId="154" fillId="0" borderId="0" applyFont="0" applyFill="0" applyBorder="0" applyAlignment="0" applyProtection="0"/>
    <xf numFmtId="276" fontId="154" fillId="0" borderId="0" applyFont="0" applyFill="0" applyBorder="0" applyAlignment="0" applyProtection="0"/>
    <xf numFmtId="277" fontId="154" fillId="0" borderId="0" applyFont="0" applyFill="0" applyBorder="0" applyAlignment="0" applyProtection="0"/>
    <xf numFmtId="0" fontId="98" fillId="0" borderId="0"/>
    <xf numFmtId="278" fontId="154" fillId="0" borderId="0" applyFont="0" applyFill="0" applyBorder="0" applyProtection="0">
      <alignment horizontal="left"/>
    </xf>
    <xf numFmtId="279" fontId="154" fillId="0" borderId="0" applyFont="0" applyFill="0" applyBorder="0" applyProtection="0">
      <alignment horizontal="left"/>
    </xf>
    <xf numFmtId="280" fontId="154" fillId="0" borderId="0" applyFont="0" applyFill="0" applyBorder="0" applyProtection="0">
      <alignment horizontal="left"/>
    </xf>
    <xf numFmtId="0" fontId="117" fillId="0" borderId="0"/>
    <xf numFmtId="0" fontId="1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81" fontId="15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6" fillId="0" borderId="0" applyFont="0" applyFill="0" applyBorder="0" applyAlignment="0" applyProtection="0"/>
    <xf numFmtId="37" fontId="73" fillId="0" borderId="0" applyFill="0" applyBorder="0" applyAlignment="0" applyProtection="0"/>
    <xf numFmtId="282" fontId="154" fillId="0" borderId="0" applyFont="0" applyFill="0" applyBorder="0" applyAlignment="0" applyProtection="0"/>
    <xf numFmtId="283" fontId="154" fillId="0" borderId="0" applyFont="0" applyFill="0" applyBorder="0" applyAlignment="0" applyProtection="0"/>
    <xf numFmtId="5" fontId="73" fillId="0" borderId="0" applyFill="0" applyBorder="0" applyAlignment="0" applyProtection="0"/>
    <xf numFmtId="284" fontId="154" fillId="0" borderId="0" applyFont="0" applyFill="0" applyBorder="0" applyProtection="0"/>
    <xf numFmtId="285" fontId="154" fillId="0" borderId="0" applyFont="0" applyFill="0" applyBorder="0" applyProtection="0"/>
    <xf numFmtId="286" fontId="154" fillId="0" borderId="0" applyFont="0" applyFill="0" applyBorder="0" applyAlignment="0" applyProtection="0"/>
    <xf numFmtId="287" fontId="154" fillId="0" borderId="0" applyFont="0" applyFill="0" applyBorder="0" applyAlignment="0" applyProtection="0"/>
    <xf numFmtId="288" fontId="154" fillId="0" borderId="0" applyFont="0" applyFill="0" applyBorder="0" applyAlignment="0" applyProtection="0"/>
    <xf numFmtId="289" fontId="130" fillId="0" borderId="0" applyFont="0" applyFill="0" applyBorder="0" applyAlignment="0" applyProtection="0"/>
    <xf numFmtId="0" fontId="155" fillId="0" borderId="0"/>
    <xf numFmtId="0" fontId="154" fillId="0" borderId="0" applyFont="0" applyFill="0" applyBorder="0" applyProtection="0">
      <alignment horizontal="center" wrapText="1"/>
    </xf>
    <xf numFmtId="290" fontId="154" fillId="0" borderId="0" applyFont="0" applyFill="0" applyBorder="0" applyProtection="0">
      <alignment horizontal="right"/>
    </xf>
    <xf numFmtId="291" fontId="154" fillId="0" borderId="0" applyFont="0" applyFill="0" applyBorder="0" applyProtection="0">
      <alignment horizontal="left"/>
    </xf>
    <xf numFmtId="292" fontId="154" fillId="0" borderId="0" applyFont="0" applyFill="0" applyBorder="0" applyProtection="0">
      <alignment horizontal="left"/>
    </xf>
    <xf numFmtId="293" fontId="154" fillId="0" borderId="0" applyFont="0" applyFill="0" applyBorder="0" applyProtection="0">
      <alignment horizontal="left"/>
    </xf>
    <xf numFmtId="294" fontId="154" fillId="0" borderId="0" applyFont="0" applyFill="0" applyBorder="0" applyProtection="0">
      <alignment horizontal="left"/>
    </xf>
    <xf numFmtId="0" fontId="156" fillId="0" borderId="0"/>
    <xf numFmtId="0" fontId="11" fillId="0" borderId="0" applyFont="0" applyFill="0" applyBorder="0" applyAlignment="0" applyProtection="0">
      <alignment horizontal="right"/>
    </xf>
    <xf numFmtId="0" fontId="7"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 fillId="0" borderId="0" applyProtection="0"/>
    <xf numFmtId="172" fontId="12" fillId="0" borderId="0" applyProtection="0"/>
    <xf numFmtId="172" fontId="12" fillId="0" borderId="0" applyProtection="0"/>
    <xf numFmtId="0" fontId="11" fillId="0" borderId="0"/>
    <xf numFmtId="0" fontId="10" fillId="75" borderId="0" applyNumberFormat="0" applyFont="0" applyBorder="0" applyAlignment="0"/>
    <xf numFmtId="295" fontId="157"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6" fontId="11" fillId="0" borderId="0"/>
    <xf numFmtId="297" fontId="31" fillId="0" borderId="0"/>
    <xf numFmtId="297" fontId="31" fillId="0" borderId="0"/>
    <xf numFmtId="295" fontId="157" fillId="0" borderId="0"/>
    <xf numFmtId="0" fontId="31" fillId="0" borderId="0"/>
    <xf numFmtId="295" fontId="73" fillId="0" borderId="0"/>
    <xf numFmtId="296" fontId="11" fillId="0" borderId="0"/>
    <xf numFmtId="297" fontId="31" fillId="0" borderId="0"/>
    <xf numFmtId="297" fontId="31" fillId="0" borderId="0"/>
    <xf numFmtId="0" fontId="31" fillId="0" borderId="0"/>
    <xf numFmtId="0" fontId="31"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0" fontId="31" fillId="0" borderId="0"/>
    <xf numFmtId="222" fontId="11" fillId="0" borderId="0" applyFont="0" applyFill="0" applyBorder="0" applyAlignment="0" applyProtection="0"/>
    <xf numFmtId="222" fontId="11" fillId="0" borderId="0" applyFont="0" applyFill="0" applyBorder="0" applyAlignment="0" applyProtection="0"/>
    <xf numFmtId="222" fontId="11" fillId="0" borderId="0" applyFont="0" applyFill="0" applyBorder="0" applyAlignment="0" applyProtection="0"/>
    <xf numFmtId="295" fontId="157" fillId="0" borderId="0"/>
    <xf numFmtId="295" fontId="157" fillId="0" borderId="0"/>
    <xf numFmtId="222" fontId="11" fillId="0" borderId="0" applyFont="0" applyFill="0" applyBorder="0" applyAlignment="0" applyProtection="0"/>
    <xf numFmtId="295" fontId="157" fillId="0" borderId="0"/>
    <xf numFmtId="295" fontId="157" fillId="0" borderId="0"/>
    <xf numFmtId="298" fontId="31" fillId="0" borderId="0"/>
    <xf numFmtId="170" fontId="31" fillId="0" borderId="0"/>
    <xf numFmtId="299" fontId="31" fillId="0" borderId="0"/>
    <xf numFmtId="298" fontId="31" fillId="0" borderId="0"/>
    <xf numFmtId="170" fontId="31" fillId="0" borderId="0"/>
    <xf numFmtId="268" fontId="31" fillId="0" borderId="0"/>
    <xf numFmtId="268" fontId="31" fillId="0" borderId="0"/>
    <xf numFmtId="300" fontId="31" fillId="0" borderId="0"/>
    <xf numFmtId="299" fontId="31" fillId="0" borderId="0"/>
    <xf numFmtId="169" fontId="31" fillId="0" borderId="0"/>
    <xf numFmtId="300" fontId="31" fillId="0" borderId="0"/>
    <xf numFmtId="300" fontId="31" fillId="0" borderId="0"/>
    <xf numFmtId="301" fontId="154" fillId="0" borderId="0" applyFont="0" applyFill="0" applyBorder="0" applyAlignment="0" applyProtection="0"/>
    <xf numFmtId="302" fontId="154"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194" fontId="73" fillId="0" borderId="0" applyFill="0" applyBorder="0" applyAlignment="0" applyProtection="0"/>
    <xf numFmtId="0" fontId="132" fillId="0" borderId="0"/>
    <xf numFmtId="0" fontId="158" fillId="0" borderId="1">
      <alignment horizontal="right"/>
    </xf>
    <xf numFmtId="303" fontId="123" fillId="0" borderId="0">
      <alignment horizontal="center"/>
    </xf>
    <xf numFmtId="304" fontId="159" fillId="0" borderId="0">
      <alignment horizontal="center"/>
    </xf>
    <xf numFmtId="0" fontId="56" fillId="0" borderId="0" applyNumberFormat="0" applyBorder="0" applyAlignment="0"/>
    <xf numFmtId="0" fontId="160" fillId="0" borderId="0" applyNumberFormat="0" applyBorder="0" applyAlignment="0"/>
    <xf numFmtId="0" fontId="161" fillId="0" borderId="0" applyAlignment="0">
      <alignment horizontal="centerContinuous"/>
    </xf>
    <xf numFmtId="0" fontId="162" fillId="0" borderId="0" applyNumberFormat="0" applyFill="0" applyBorder="0" applyAlignment="0" applyProtection="0">
      <alignment vertical="top"/>
      <protection locked="0"/>
    </xf>
    <xf numFmtId="172" fontId="12" fillId="0" borderId="0" applyProtection="0"/>
    <xf numFmtId="43" fontId="12" fillId="0" borderId="0" applyFont="0" applyFill="0" applyBorder="0" applyAlignment="0" applyProtection="0"/>
    <xf numFmtId="9" fontId="12" fillId="0" borderId="0" applyFont="0" applyFill="0" applyBorder="0" applyAlignment="0" applyProtection="0"/>
    <xf numFmtId="37" fontId="12" fillId="0" borderId="0" applyFont="0" applyFill="0" applyBorder="0" applyAlignment="0" applyProtection="0"/>
    <xf numFmtId="172" fontId="12" fillId="0" borderId="0" applyProtection="0"/>
    <xf numFmtId="172" fontId="12" fillId="0" borderId="0" applyProtection="0"/>
    <xf numFmtId="0" fontId="11" fillId="0" borderId="0"/>
    <xf numFmtId="0" fontId="183" fillId="0" borderId="0"/>
    <xf numFmtId="44" fontId="11" fillId="0" borderId="0" applyFont="0" applyFill="0" applyBorder="0" applyAlignment="0" applyProtection="0"/>
    <xf numFmtId="0" fontId="6" fillId="0" borderId="0"/>
    <xf numFmtId="0" fontId="29" fillId="0" borderId="0">
      <alignment vertical="top"/>
    </xf>
    <xf numFmtId="0" fontId="5" fillId="0" borderId="0"/>
    <xf numFmtId="172" fontId="12" fillId="0" borderId="0" applyProtection="0"/>
    <xf numFmtId="9" fontId="5" fillId="0" borderId="0" applyFont="0" applyFill="0" applyBorder="0" applyAlignment="0" applyProtection="0"/>
    <xf numFmtId="43" fontId="5" fillId="0" borderId="0" applyFont="0" applyFill="0" applyBorder="0" applyAlignment="0" applyProtection="0"/>
    <xf numFmtId="0" fontId="11" fillId="0" borderId="0"/>
    <xf numFmtId="0" fontId="5" fillId="0" borderId="0"/>
    <xf numFmtId="43" fontId="5" fillId="0" borderId="0" applyFont="0" applyFill="0" applyBorder="0" applyAlignment="0" applyProtection="0"/>
    <xf numFmtId="0" fontId="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198" fillId="0" borderId="0"/>
    <xf numFmtId="43" fontId="1" fillId="0" borderId="0" applyFont="0" applyFill="0" applyBorder="0" applyAlignment="0" applyProtection="0"/>
  </cellStyleXfs>
  <cellXfs count="957">
    <xf numFmtId="172" fontId="0" fillId="0" borderId="0" xfId="0"/>
    <xf numFmtId="0" fontId="163" fillId="0" borderId="0" xfId="0" applyNumberFormat="1" applyFont="1" applyAlignment="1">
      <alignment horizontal="center"/>
    </xf>
    <xf numFmtId="172" fontId="31" fillId="0" borderId="0" xfId="0" applyFont="1"/>
    <xf numFmtId="0" fontId="31" fillId="0" borderId="0" xfId="4598" applyFont="1"/>
    <xf numFmtId="172" fontId="39" fillId="0" borderId="0" xfId="0" applyFont="1"/>
    <xf numFmtId="0" fontId="31" fillId="0" borderId="0" xfId="0" applyNumberFormat="1" applyFont="1" applyAlignment="1">
      <alignment horizontal="center"/>
    </xf>
    <xf numFmtId="172" fontId="31" fillId="0" borderId="0" xfId="0" applyFont="1" applyAlignment="1">
      <alignment horizontal="right"/>
    </xf>
    <xf numFmtId="0" fontId="123" fillId="0" borderId="0" xfId="4598" applyFont="1" applyAlignment="1">
      <alignment horizontal="centerContinuous"/>
    </xf>
    <xf numFmtId="0" fontId="123" fillId="0" borderId="17" xfId="4598" applyFont="1" applyBorder="1" applyAlignment="1">
      <alignment horizontal="center"/>
    </xf>
    <xf numFmtId="0" fontId="31" fillId="0" borderId="0" xfId="0" applyNumberFormat="1" applyFont="1" applyAlignment="1">
      <alignment horizontal="center" wrapText="1"/>
    </xf>
    <xf numFmtId="0" fontId="123" fillId="0" borderId="0" xfId="4598" applyFont="1" applyAlignment="1">
      <alignment horizontal="center" wrapText="1"/>
    </xf>
    <xf numFmtId="172" fontId="123" fillId="0" borderId="0" xfId="0" applyFont="1" applyAlignment="1">
      <alignment horizontal="center" wrapText="1"/>
    </xf>
    <xf numFmtId="172" fontId="31" fillId="0" borderId="0" xfId="0" applyFont="1" applyAlignment="1">
      <alignment wrapText="1"/>
    </xf>
    <xf numFmtId="0" fontId="123" fillId="0" borderId="0" xfId="4598" applyFont="1" applyAlignment="1">
      <alignment horizontal="center"/>
    </xf>
    <xf numFmtId="0" fontId="123" fillId="0" borderId="0" xfId="4595" applyFont="1" applyAlignment="1">
      <alignment horizontal="center" wrapText="1"/>
    </xf>
    <xf numFmtId="172" fontId="164" fillId="0" borderId="0" xfId="0" applyFont="1"/>
    <xf numFmtId="172" fontId="163" fillId="0" borderId="0" xfId="0" applyFont="1"/>
    <xf numFmtId="0" fontId="31" fillId="0" borderId="0" xfId="4598" applyFont="1" applyAlignment="1">
      <alignment horizontal="left"/>
    </xf>
    <xf numFmtId="0" fontId="31" fillId="0" borderId="0" xfId="4598" quotePrefix="1" applyFont="1" applyAlignment="1">
      <alignment horizontal="left"/>
    </xf>
    <xf numFmtId="41" fontId="31" fillId="2" borderId="0" xfId="4598" applyNumberFormat="1" applyFont="1" applyFill="1"/>
    <xf numFmtId="0" fontId="31" fillId="0" borderId="0" xfId="4598" applyFont="1" applyAlignment="1">
      <alignment horizontal="right"/>
    </xf>
    <xf numFmtId="174" fontId="31" fillId="0" borderId="14" xfId="190" applyNumberFormat="1" applyFont="1" applyBorder="1"/>
    <xf numFmtId="37" fontId="31" fillId="0" borderId="0" xfId="4598" applyNumberFormat="1" applyFont="1"/>
    <xf numFmtId="172" fontId="31" fillId="0" borderId="0" xfId="4596" applyFont="1"/>
    <xf numFmtId="0" fontId="123" fillId="0" borderId="0" xfId="4598" applyFont="1" applyAlignment="1">
      <alignment horizontal="centerContinuous" wrapText="1"/>
    </xf>
    <xf numFmtId="41" fontId="31" fillId="76" borderId="0" xfId="4598" applyNumberFormat="1" applyFont="1" applyFill="1"/>
    <xf numFmtId="43" fontId="31" fillId="0" borderId="14" xfId="190" applyFont="1" applyBorder="1"/>
    <xf numFmtId="172" fontId="31" fillId="0" borderId="0" xfId="0" applyFont="1" applyAlignment="1">
      <alignment horizontal="center"/>
    </xf>
    <xf numFmtId="44" fontId="31" fillId="0" borderId="0" xfId="0" applyNumberFormat="1" applyFont="1"/>
    <xf numFmtId="0" fontId="31" fillId="0" borderId="0" xfId="4157" applyFont="1"/>
    <xf numFmtId="0" fontId="31" fillId="0" borderId="0" xfId="4157" applyFont="1" applyAlignment="1">
      <alignment horizontal="center"/>
    </xf>
    <xf numFmtId="3" fontId="31" fillId="0" borderId="0" xfId="4157" applyNumberFormat="1" applyFont="1" applyAlignment="1">
      <alignment horizontal="center" wrapText="1"/>
    </xf>
    <xf numFmtId="0" fontId="31" fillId="0" borderId="0" xfId="4157" applyFont="1" applyAlignment="1">
      <alignment horizontal="center" wrapText="1"/>
    </xf>
    <xf numFmtId="0" fontId="31" fillId="3" borderId="0" xfId="4157" applyFont="1" applyFill="1"/>
    <xf numFmtId="174" fontId="31" fillId="3" borderId="0" xfId="190" applyNumberFormat="1" applyFont="1" applyFill="1" applyBorder="1" applyAlignment="1">
      <alignment horizontal="center"/>
    </xf>
    <xf numFmtId="174" fontId="31" fillId="0" borderId="0" xfId="190" applyNumberFormat="1" applyFont="1" applyFill="1" applyBorder="1" applyAlignment="1">
      <alignment horizontal="center" wrapText="1"/>
    </xf>
    <xf numFmtId="174" fontId="31" fillId="3" borderId="0" xfId="190" applyNumberFormat="1" applyFont="1" applyFill="1" applyBorder="1"/>
    <xf numFmtId="172" fontId="163" fillId="3" borderId="0" xfId="0" applyFont="1" applyFill="1"/>
    <xf numFmtId="0" fontId="31" fillId="3" borderId="3" xfId="4157" applyFont="1" applyFill="1" applyBorder="1"/>
    <xf numFmtId="174" fontId="31" fillId="3" borderId="3" xfId="190" applyNumberFormat="1" applyFont="1" applyFill="1" applyBorder="1"/>
    <xf numFmtId="174" fontId="31" fillId="3" borderId="3" xfId="190" applyNumberFormat="1" applyFont="1" applyFill="1" applyBorder="1" applyAlignment="1">
      <alignment horizontal="center"/>
    </xf>
    <xf numFmtId="172" fontId="163" fillId="3" borderId="3" xfId="0" applyFont="1" applyFill="1" applyBorder="1"/>
    <xf numFmtId="174" fontId="31" fillId="0" borderId="3" xfId="190" applyNumberFormat="1" applyFont="1" applyFill="1" applyBorder="1" applyAlignment="1">
      <alignment horizontal="center" wrapText="1"/>
    </xf>
    <xf numFmtId="174" fontId="31" fillId="0" borderId="0" xfId="190" applyNumberFormat="1" applyFont="1" applyFill="1" applyBorder="1"/>
    <xf numFmtId="0" fontId="165" fillId="0" borderId="0" xfId="0" applyNumberFormat="1" applyFont="1" applyAlignment="1">
      <alignment horizontal="center"/>
    </xf>
    <xf numFmtId="172" fontId="165" fillId="0" borderId="0" xfId="0" applyFont="1" applyAlignment="1">
      <alignment horizontal="center"/>
    </xf>
    <xf numFmtId="44" fontId="165" fillId="0" borderId="0" xfId="0" applyNumberFormat="1" applyFont="1"/>
    <xf numFmtId="172" fontId="31" fillId="0" borderId="0" xfId="0" applyFont="1" applyAlignment="1">
      <alignment vertical="center" wrapText="1"/>
    </xf>
    <xf numFmtId="172" fontId="31" fillId="0" borderId="0" xfId="0" applyFont="1" applyAlignment="1">
      <alignment vertical="center"/>
    </xf>
    <xf numFmtId="0" fontId="31" fillId="0" borderId="0" xfId="0" applyNumberFormat="1" applyFont="1" applyAlignment="1">
      <alignment horizontal="center" vertical="top"/>
    </xf>
    <xf numFmtId="0" fontId="31" fillId="0" borderId="0" xfId="4228" applyFont="1" applyAlignment="1">
      <alignment vertical="top"/>
    </xf>
    <xf numFmtId="3" fontId="31" fillId="0" borderId="0" xfId="4228" applyNumberFormat="1" applyFont="1"/>
    <xf numFmtId="3" fontId="31" fillId="0" borderId="0" xfId="4597" applyNumberFormat="1" applyFont="1"/>
    <xf numFmtId="0" fontId="31" fillId="0" borderId="0" xfId="4597" applyNumberFormat="1" applyFont="1" applyAlignment="1" applyProtection="1">
      <alignment horizontal="center"/>
      <protection locked="0"/>
    </xf>
    <xf numFmtId="0" fontId="31" fillId="0" borderId="0" xfId="4597" applyNumberFormat="1" applyFont="1"/>
    <xf numFmtId="174" fontId="31" fillId="0" borderId="0" xfId="190" applyNumberFormat="1" applyFont="1" applyAlignment="1"/>
    <xf numFmtId="43" fontId="31" fillId="0" borderId="0" xfId="190" applyFont="1" applyAlignment="1">
      <alignment horizontal="center"/>
    </xf>
    <xf numFmtId="0" fontId="31" fillId="0" borderId="0" xfId="4595" applyFont="1"/>
    <xf numFmtId="3" fontId="31" fillId="0" borderId="0" xfId="4595" applyNumberFormat="1" applyFont="1"/>
    <xf numFmtId="174" fontId="31" fillId="0" borderId="0" xfId="190" applyNumberFormat="1" applyFont="1" applyFill="1" applyBorder="1" applyAlignment="1"/>
    <xf numFmtId="174" fontId="31" fillId="0" borderId="0" xfId="190" applyNumberFormat="1" applyFont="1" applyBorder="1" applyAlignment="1"/>
    <xf numFmtId="172" fontId="31" fillId="0" borderId="0" xfId="4597" applyFont="1"/>
    <xf numFmtId="164" fontId="31" fillId="0" borderId="0" xfId="4597" applyNumberFormat="1" applyFont="1" applyAlignment="1">
      <alignment horizontal="center"/>
    </xf>
    <xf numFmtId="174" fontId="31" fillId="0" borderId="0" xfId="190" applyNumberFormat="1" applyFont="1" applyFill="1" applyAlignment="1"/>
    <xf numFmtId="174" fontId="31" fillId="0" borderId="1" xfId="190" applyNumberFormat="1" applyFont="1" applyFill="1" applyBorder="1" applyAlignment="1"/>
    <xf numFmtId="271" fontId="31" fillId="0" borderId="0" xfId="190" applyNumberFormat="1" applyFont="1" applyFill="1" applyAlignment="1"/>
    <xf numFmtId="271" fontId="31" fillId="0" borderId="0" xfId="190" applyNumberFormat="1" applyFont="1" applyAlignment="1"/>
    <xf numFmtId="271" fontId="31" fillId="0" borderId="0" xfId="190" applyNumberFormat="1" applyFont="1" applyBorder="1" applyAlignment="1"/>
    <xf numFmtId="174" fontId="31" fillId="0" borderId="1" xfId="190" applyNumberFormat="1" applyFont="1" applyBorder="1" applyAlignment="1"/>
    <xf numFmtId="3" fontId="31" fillId="0" borderId="0" xfId="4597" quotePrefix="1" applyNumberFormat="1" applyFont="1" applyAlignment="1">
      <alignment horizontal="left"/>
    </xf>
    <xf numFmtId="174" fontId="31" fillId="0" borderId="14" xfId="190" applyNumberFormat="1" applyFont="1" applyFill="1" applyBorder="1" applyAlignment="1"/>
    <xf numFmtId="0" fontId="31" fillId="0" borderId="0" xfId="0" applyNumberFormat="1" applyFont="1" applyProtection="1">
      <protection locked="0"/>
    </xf>
    <xf numFmtId="174" fontId="31" fillId="0" borderId="50" xfId="190" applyNumberFormat="1" applyFont="1" applyFill="1" applyBorder="1" applyAlignment="1"/>
    <xf numFmtId="174" fontId="166" fillId="3" borderId="0" xfId="190" applyNumberFormat="1" applyFont="1" applyFill="1" applyAlignment="1"/>
    <xf numFmtId="0" fontId="31" fillId="0" borderId="0" xfId="4595" applyFont="1" applyAlignment="1" applyProtection="1">
      <alignment horizontal="center"/>
      <protection locked="0"/>
    </xf>
    <xf numFmtId="3" fontId="31" fillId="0" borderId="0" xfId="4597" applyNumberFormat="1" applyFont="1" applyAlignment="1">
      <alignment horizontal="left"/>
    </xf>
    <xf numFmtId="10" fontId="31" fillId="0" borderId="0" xfId="4597" applyNumberFormat="1" applyFont="1" applyAlignment="1">
      <alignment horizontal="left"/>
    </xf>
    <xf numFmtId="174" fontId="31" fillId="0" borderId="2" xfId="190" applyNumberFormat="1" applyFont="1" applyFill="1" applyBorder="1" applyAlignment="1"/>
    <xf numFmtId="0" fontId="31" fillId="0" borderId="0" xfId="0" applyNumberFormat="1" applyFont="1" applyAlignment="1" applyProtection="1">
      <alignment horizontal="center"/>
      <protection locked="0"/>
    </xf>
    <xf numFmtId="0" fontId="31" fillId="0" borderId="0" xfId="0" applyNumberFormat="1" applyFont="1" applyAlignment="1" applyProtection="1">
      <alignment horizontal="center" vertical="top"/>
      <protection locked="0"/>
    </xf>
    <xf numFmtId="0" fontId="31" fillId="0" borderId="0" xfId="0" applyNumberFormat="1" applyFont="1" applyAlignment="1" applyProtection="1">
      <alignment vertical="center"/>
      <protection locked="0"/>
    </xf>
    <xf numFmtId="172" fontId="31" fillId="0" borderId="0" xfId="0" applyFont="1" applyAlignment="1">
      <alignment horizontal="center" vertical="top"/>
    </xf>
    <xf numFmtId="0" fontId="31" fillId="0" borderId="0" xfId="4664" applyNumberFormat="1" applyFont="1"/>
    <xf numFmtId="0" fontId="167" fillId="0" borderId="0" xfId="0" applyNumberFormat="1" applyFont="1" applyProtection="1">
      <protection locked="0"/>
    </xf>
    <xf numFmtId="3" fontId="167" fillId="0" borderId="0" xfId="0" applyNumberFormat="1" applyFont="1"/>
    <xf numFmtId="0" fontId="167" fillId="0" borderId="0" xfId="0" applyNumberFormat="1" applyFont="1" applyAlignment="1" applyProtection="1">
      <alignment horizontal="center" vertical="top"/>
      <protection locked="0"/>
    </xf>
    <xf numFmtId="0" fontId="167" fillId="0" borderId="0" xfId="4597" applyNumberFormat="1" applyFont="1" applyAlignment="1" applyProtection="1">
      <alignment vertical="top" wrapText="1"/>
      <protection locked="0"/>
    </xf>
    <xf numFmtId="0" fontId="167" fillId="0" borderId="0" xfId="0" applyNumberFormat="1" applyFont="1" applyAlignment="1" applyProtection="1">
      <alignment vertical="top"/>
      <protection locked="0"/>
    </xf>
    <xf numFmtId="0" fontId="168" fillId="0" borderId="0" xfId="0" applyNumberFormat="1" applyFont="1" applyProtection="1">
      <protection locked="0"/>
    </xf>
    <xf numFmtId="172" fontId="167" fillId="0" borderId="0" xfId="0" applyFont="1"/>
    <xf numFmtId="172" fontId="167" fillId="0" borderId="0" xfId="0" applyFont="1" applyAlignment="1">
      <alignment horizontal="center"/>
    </xf>
    <xf numFmtId="0" fontId="167" fillId="0" borderId="0" xfId="4228" applyFont="1" applyAlignment="1">
      <alignment vertical="top" wrapText="1"/>
    </xf>
    <xf numFmtId="0" fontId="167" fillId="0" borderId="0" xfId="0" applyNumberFormat="1" applyFont="1"/>
    <xf numFmtId="172" fontId="167" fillId="0" borderId="0" xfId="0" applyFont="1" applyAlignment="1">
      <alignment horizontal="center" vertical="top"/>
    </xf>
    <xf numFmtId="0" fontId="167" fillId="0" borderId="0" xfId="4664" applyNumberFormat="1" applyFont="1"/>
    <xf numFmtId="172" fontId="167" fillId="0" borderId="0" xfId="4664" applyFont="1" applyAlignment="1">
      <alignment horizontal="center"/>
    </xf>
    <xf numFmtId="172" fontId="167" fillId="0" borderId="0" xfId="0" applyFont="1" applyAlignment="1">
      <alignment vertical="top" wrapText="1"/>
    </xf>
    <xf numFmtId="0" fontId="167" fillId="0" borderId="0" xfId="4228" applyFont="1" applyAlignment="1">
      <alignment vertical="top"/>
    </xf>
    <xf numFmtId="0" fontId="167" fillId="0" borderId="0" xfId="4597" applyNumberFormat="1" applyFont="1" applyAlignment="1" applyProtection="1">
      <alignment vertical="top"/>
      <protection locked="0"/>
    </xf>
    <xf numFmtId="170" fontId="167" fillId="0" borderId="0" xfId="4597" applyNumberFormat="1" applyFont="1" applyAlignment="1" applyProtection="1">
      <alignment vertical="top"/>
    </xf>
    <xf numFmtId="3" fontId="167" fillId="0" borderId="0" xfId="4597" applyNumberFormat="1" applyFont="1" applyAlignment="1" applyProtection="1">
      <alignment vertical="top"/>
    </xf>
    <xf numFmtId="172" fontId="167" fillId="0" borderId="0" xfId="0" applyFont="1" applyAlignment="1">
      <alignment vertical="top"/>
    </xf>
    <xf numFmtId="0" fontId="167" fillId="0" borderId="0" xfId="2138" applyFont="1" applyAlignment="1">
      <alignment vertical="center"/>
    </xf>
    <xf numFmtId="172" fontId="31" fillId="0" borderId="0" xfId="0" applyFont="1" applyProtection="1">
      <protection locked="0"/>
    </xf>
    <xf numFmtId="0" fontId="31" fillId="0" borderId="0" xfId="0" applyNumberFormat="1" applyFont="1" applyAlignment="1" applyProtection="1">
      <alignment horizontal="left"/>
      <protection locked="0"/>
    </xf>
    <xf numFmtId="0" fontId="31" fillId="0" borderId="0" xfId="0" applyNumberFormat="1" applyFont="1" applyAlignment="1" applyProtection="1">
      <alignment horizontal="right"/>
      <protection locked="0"/>
    </xf>
    <xf numFmtId="0" fontId="31" fillId="2" borderId="0" xfId="0" applyNumberFormat="1" applyFont="1" applyFill="1" applyAlignment="1" applyProtection="1">
      <alignment horizontal="right"/>
      <protection locked="0"/>
    </xf>
    <xf numFmtId="3" fontId="31" fillId="0" borderId="0" xfId="0" applyNumberFormat="1" applyFont="1" applyProtection="1">
      <protection locked="0"/>
    </xf>
    <xf numFmtId="3" fontId="31" fillId="0" borderId="0" xfId="0" applyNumberFormat="1" applyFont="1" applyAlignment="1" applyProtection="1">
      <alignment horizontal="center"/>
      <protection locked="0"/>
    </xf>
    <xf numFmtId="49" fontId="123" fillId="0" borderId="0" xfId="0" applyNumberFormat="1" applyFont="1" applyAlignment="1" applyProtection="1">
      <alignment horizontal="center"/>
      <protection locked="0"/>
    </xf>
    <xf numFmtId="49" fontId="31" fillId="0" borderId="0" xfId="0" applyNumberFormat="1" applyFont="1" applyProtection="1">
      <protection locked="0"/>
    </xf>
    <xf numFmtId="0" fontId="31" fillId="0" borderId="1" xfId="0" applyNumberFormat="1" applyFont="1" applyBorder="1" applyAlignment="1" applyProtection="1">
      <alignment horizontal="center"/>
      <protection locked="0"/>
    </xf>
    <xf numFmtId="42" fontId="31" fillId="0" borderId="0" xfId="0" applyNumberFormat="1" applyFont="1" applyProtection="1"/>
    <xf numFmtId="0" fontId="31" fillId="0" borderId="1" xfId="0" applyNumberFormat="1" applyFont="1" applyBorder="1" applyAlignment="1" applyProtection="1">
      <alignment horizontal="centerContinuous"/>
      <protection locked="0"/>
    </xf>
    <xf numFmtId="166" fontId="31" fillId="0" borderId="0" xfId="0" applyNumberFormat="1" applyFont="1" applyProtection="1"/>
    <xf numFmtId="3" fontId="31" fillId="0" borderId="0" xfId="0" applyNumberFormat="1" applyFont="1" applyProtection="1"/>
    <xf numFmtId="3" fontId="166" fillId="2" borderId="0" xfId="0" applyNumberFormat="1" applyFont="1" applyFill="1" applyProtection="1">
      <protection locked="0"/>
    </xf>
    <xf numFmtId="3" fontId="31" fillId="0" borderId="0" xfId="0" applyNumberFormat="1" applyFont="1" applyAlignment="1" applyProtection="1">
      <alignment horizontal="fill"/>
      <protection locked="0"/>
    </xf>
    <xf numFmtId="166" fontId="31" fillId="0" borderId="0" xfId="0" applyNumberFormat="1" applyFont="1" applyProtection="1">
      <protection locked="0"/>
    </xf>
    <xf numFmtId="42" fontId="31" fillId="0" borderId="14" xfId="0" applyNumberFormat="1" applyFont="1" applyBorder="1" applyAlignment="1" applyProtection="1">
      <alignment horizontal="right"/>
    </xf>
    <xf numFmtId="42" fontId="31" fillId="0" borderId="0" xfId="0" applyNumberFormat="1" applyFont="1" applyAlignment="1" applyProtection="1">
      <alignment horizontal="right"/>
      <protection locked="0"/>
    </xf>
    <xf numFmtId="0" fontId="31" fillId="0" borderId="0" xfId="0" applyNumberFormat="1" applyFont="1" applyAlignment="1" applyProtection="1">
      <alignment horizontal="right"/>
    </xf>
    <xf numFmtId="172" fontId="123" fillId="0" borderId="0" xfId="0" applyFont="1" applyAlignment="1" applyProtection="1">
      <alignment horizontal="center"/>
    </xf>
    <xf numFmtId="49" fontId="31" fillId="0" borderId="0" xfId="0" applyNumberFormat="1" applyFont="1" applyAlignment="1" applyProtection="1">
      <alignment horizontal="left"/>
      <protection locked="0"/>
    </xf>
    <xf numFmtId="49" fontId="31" fillId="0" borderId="0" xfId="0" applyNumberFormat="1" applyFont="1" applyAlignment="1" applyProtection="1">
      <alignment horizontal="center"/>
      <protection locked="0"/>
    </xf>
    <xf numFmtId="3" fontId="123" fillId="0" borderId="0" xfId="0" applyNumberFormat="1" applyFont="1" applyAlignment="1" applyProtection="1">
      <alignment horizontal="center"/>
      <protection locked="0"/>
    </xf>
    <xf numFmtId="0" fontId="123" fillId="0" borderId="0" xfId="0" applyNumberFormat="1" applyFont="1" applyAlignment="1" applyProtection="1">
      <alignment horizontal="center"/>
      <protection locked="0"/>
    </xf>
    <xf numFmtId="172" fontId="123" fillId="0" borderId="0" xfId="0" applyFont="1" applyAlignment="1" applyProtection="1">
      <alignment horizontal="center"/>
      <protection locked="0"/>
    </xf>
    <xf numFmtId="3" fontId="123" fillId="0" borderId="0" xfId="0" applyNumberFormat="1" applyFont="1" applyProtection="1">
      <protection locked="0"/>
    </xf>
    <xf numFmtId="0" fontId="123" fillId="0" borderId="0" xfId="0" applyNumberFormat="1" applyFont="1" applyProtection="1">
      <protection locked="0"/>
    </xf>
    <xf numFmtId="165" fontId="31" fillId="0" borderId="0" xfId="0" applyNumberFormat="1" applyFont="1" applyProtection="1">
      <protection locked="0"/>
    </xf>
    <xf numFmtId="165" fontId="31" fillId="0" borderId="0" xfId="0" applyNumberFormat="1" applyFont="1" applyProtection="1"/>
    <xf numFmtId="164" fontId="31" fillId="0" borderId="0" xfId="0" applyNumberFormat="1" applyFont="1" applyAlignment="1" applyProtection="1">
      <alignment horizontal="center"/>
    </xf>
    <xf numFmtId="164" fontId="31" fillId="0" borderId="0" xfId="0" applyNumberFormat="1" applyFont="1" applyAlignment="1" applyProtection="1">
      <alignment horizontal="center"/>
      <protection locked="0"/>
    </xf>
    <xf numFmtId="0" fontId="31" fillId="0" borderId="0" xfId="0" applyNumberFormat="1" applyFont="1" applyProtection="1"/>
    <xf numFmtId="172" fontId="31" fillId="0" borderId="1" xfId="0" applyFont="1" applyBorder="1" applyProtection="1">
      <protection locked="0"/>
    </xf>
    <xf numFmtId="172" fontId="31" fillId="0" borderId="0" xfId="0" applyFont="1" applyProtection="1"/>
    <xf numFmtId="171" fontId="31" fillId="0" borderId="0" xfId="0" applyNumberFormat="1" applyFont="1" applyAlignment="1" applyProtection="1">
      <alignment horizontal="left"/>
    </xf>
    <xf numFmtId="166" fontId="31" fillId="0" borderId="0" xfId="0" applyNumberFormat="1" applyFont="1" applyAlignment="1" applyProtection="1">
      <alignment horizontal="right"/>
      <protection locked="0"/>
    </xf>
    <xf numFmtId="166" fontId="31" fillId="0" borderId="0" xfId="0" applyNumberFormat="1" applyFont="1" applyAlignment="1" applyProtection="1">
      <alignment horizontal="center"/>
      <protection locked="0"/>
    </xf>
    <xf numFmtId="164" fontId="31" fillId="0" borderId="0" xfId="0" applyNumberFormat="1" applyFont="1" applyAlignment="1" applyProtection="1">
      <alignment horizontal="left"/>
      <protection locked="0"/>
    </xf>
    <xf numFmtId="10" fontId="31" fillId="0" borderId="0" xfId="0" applyNumberFormat="1" applyFont="1" applyAlignment="1" applyProtection="1">
      <alignment horizontal="right"/>
    </xf>
    <xf numFmtId="10" fontId="31" fillId="0" borderId="0" xfId="0" applyNumberFormat="1" applyFont="1" applyAlignment="1" applyProtection="1">
      <alignment horizontal="left"/>
      <protection locked="0"/>
    </xf>
    <xf numFmtId="3" fontId="31" fillId="0" borderId="0" xfId="0" applyNumberFormat="1" applyFont="1" applyAlignment="1" applyProtection="1">
      <alignment horizontal="left"/>
      <protection locked="0"/>
    </xf>
    <xf numFmtId="167" fontId="31" fillId="0" borderId="0" xfId="0" applyNumberFormat="1" applyFont="1" applyProtection="1">
      <protection locked="0"/>
    </xf>
    <xf numFmtId="0" fontId="31" fillId="0" borderId="1" xfId="0" applyNumberFormat="1" applyFont="1" applyBorder="1" applyProtection="1">
      <protection locked="0"/>
    </xf>
    <xf numFmtId="3" fontId="166" fillId="2" borderId="1" xfId="0" applyNumberFormat="1" applyFont="1" applyFill="1" applyBorder="1" applyProtection="1">
      <protection locked="0"/>
    </xf>
    <xf numFmtId="165" fontId="31" fillId="0" borderId="0" xfId="0" applyNumberFormat="1" applyFont="1" applyAlignment="1" applyProtection="1">
      <alignment horizontal="right"/>
    </xf>
    <xf numFmtId="172" fontId="169" fillId="0" borderId="0" xfId="0" applyFont="1" applyProtection="1">
      <protection locked="0"/>
    </xf>
    <xf numFmtId="3" fontId="31" fillId="2" borderId="1" xfId="0" applyNumberFormat="1" applyFont="1" applyFill="1" applyBorder="1" applyProtection="1">
      <protection locked="0"/>
    </xf>
    <xf numFmtId="173" fontId="31" fillId="0" borderId="0" xfId="1" applyNumberFormat="1" applyFont="1" applyFill="1" applyBorder="1" applyAlignment="1" applyProtection="1">
      <protection locked="0"/>
    </xf>
    <xf numFmtId="3" fontId="170" fillId="0" borderId="0" xfId="0" applyNumberFormat="1" applyFont="1" applyProtection="1">
      <protection locked="0"/>
    </xf>
    <xf numFmtId="170" fontId="31" fillId="0" borderId="0" xfId="0" applyNumberFormat="1" applyFont="1" applyProtection="1">
      <protection locked="0"/>
    </xf>
    <xf numFmtId="172" fontId="170" fillId="0" borderId="0" xfId="0" applyFont="1" applyProtection="1">
      <protection locked="0"/>
    </xf>
    <xf numFmtId="172" fontId="171" fillId="0" borderId="0" xfId="0" applyFont="1" applyProtection="1">
      <protection locked="0"/>
    </xf>
    <xf numFmtId="172" fontId="172" fillId="0" borderId="0" xfId="0" applyFont="1" applyProtection="1">
      <protection locked="0"/>
    </xf>
    <xf numFmtId="172" fontId="170" fillId="0" borderId="0" xfId="0" applyFont="1" applyAlignment="1" applyProtection="1">
      <alignment horizontal="left" wrapText="1"/>
      <protection locked="0"/>
    </xf>
    <xf numFmtId="3" fontId="31" fillId="0" borderId="1" xfId="0" applyNumberFormat="1" applyFont="1" applyBorder="1" applyProtection="1">
      <protection locked="0"/>
    </xf>
    <xf numFmtId="3" fontId="31" fillId="0" borderId="1" xfId="0" applyNumberFormat="1" applyFont="1" applyBorder="1" applyAlignment="1" applyProtection="1">
      <alignment horizontal="center"/>
      <protection locked="0"/>
    </xf>
    <xf numFmtId="4" fontId="31" fillId="0" borderId="0" xfId="0" applyNumberFormat="1" applyFont="1" applyProtection="1">
      <protection locked="0"/>
    </xf>
    <xf numFmtId="4" fontId="31" fillId="0" borderId="0" xfId="0" applyNumberFormat="1" applyFont="1" applyProtection="1"/>
    <xf numFmtId="3" fontId="31" fillId="0" borderId="1" xfId="0" applyNumberFormat="1" applyFont="1" applyBorder="1" applyProtection="1"/>
    <xf numFmtId="166" fontId="31" fillId="0" borderId="0" xfId="0" applyNumberFormat="1" applyFont="1" applyAlignment="1" applyProtection="1">
      <alignment horizontal="center"/>
    </xf>
    <xf numFmtId="170" fontId="166" fillId="2" borderId="0" xfId="0" applyNumberFormat="1" applyFont="1" applyFill="1" applyProtection="1">
      <protection locked="0"/>
    </xf>
    <xf numFmtId="42" fontId="166" fillId="2" borderId="0" xfId="0" applyNumberFormat="1" applyFont="1" applyFill="1" applyProtection="1">
      <protection locked="0"/>
    </xf>
    <xf numFmtId="0" fontId="157" fillId="0" borderId="0" xfId="0" applyNumberFormat="1" applyFont="1" applyProtection="1">
      <protection locked="0"/>
    </xf>
    <xf numFmtId="9" fontId="31" fillId="0" borderId="0" xfId="0" applyNumberFormat="1" applyFont="1" applyProtection="1"/>
    <xf numFmtId="169" fontId="31" fillId="0" borderId="0" xfId="0" applyNumberFormat="1" applyFont="1" applyProtection="1">
      <protection locked="0"/>
    </xf>
    <xf numFmtId="169" fontId="31" fillId="0" borderId="0" xfId="0" applyNumberFormat="1" applyFont="1" applyProtection="1"/>
    <xf numFmtId="3" fontId="31" fillId="0" borderId="0" xfId="0" quotePrefix="1" applyNumberFormat="1" applyFont="1" applyProtection="1">
      <protection locked="0"/>
    </xf>
    <xf numFmtId="169" fontId="31" fillId="0" borderId="1" xfId="0" applyNumberFormat="1" applyFont="1" applyBorder="1" applyProtection="1"/>
    <xf numFmtId="3" fontId="123" fillId="0" borderId="0" xfId="0" applyNumberFormat="1" applyFont="1" applyAlignment="1" applyProtection="1">
      <alignment horizontal="center"/>
    </xf>
    <xf numFmtId="0" fontId="31" fillId="0" borderId="0" xfId="0" applyNumberFormat="1" applyFont="1" applyAlignment="1" applyProtection="1">
      <alignment horizontal="left" indent="8"/>
      <protection locked="0"/>
    </xf>
    <xf numFmtId="10" fontId="31" fillId="2" borderId="0" xfId="0" applyNumberFormat="1" applyFont="1" applyFill="1" applyAlignment="1" applyProtection="1">
      <alignment vertical="top" wrapText="1"/>
      <protection locked="0"/>
    </xf>
    <xf numFmtId="174" fontId="31" fillId="74" borderId="0" xfId="4665" applyNumberFormat="1" applyFont="1" applyFill="1" applyAlignment="1"/>
    <xf numFmtId="174" fontId="166" fillId="0" borderId="0" xfId="190" applyNumberFormat="1" applyFont="1" applyFill="1" applyAlignment="1"/>
    <xf numFmtId="3" fontId="173" fillId="0" borderId="0" xfId="0" applyNumberFormat="1" applyFont="1" applyProtection="1">
      <protection locked="0"/>
    </xf>
    <xf numFmtId="43" fontId="31" fillId="0" borderId="0" xfId="4665" applyFont="1" applyFill="1" applyAlignment="1"/>
    <xf numFmtId="166" fontId="31" fillId="0" borderId="0" xfId="4665" applyNumberFormat="1" applyFont="1" applyFill="1" applyAlignment="1"/>
    <xf numFmtId="3" fontId="31" fillId="0" borderId="4" xfId="4597" applyNumberFormat="1" applyFont="1" applyBorder="1"/>
    <xf numFmtId="3" fontId="31" fillId="0" borderId="4" xfId="0" applyNumberFormat="1" applyFont="1" applyBorder="1" applyProtection="1"/>
    <xf numFmtId="0" fontId="31" fillId="0" borderId="4" xfId="0" applyNumberFormat="1" applyFont="1" applyBorder="1" applyProtection="1">
      <protection locked="0"/>
    </xf>
    <xf numFmtId="3" fontId="31" fillId="0" borderId="4" xfId="0" applyNumberFormat="1" applyFont="1" applyBorder="1" applyProtection="1">
      <protection locked="0"/>
    </xf>
    <xf numFmtId="49" fontId="31" fillId="0" borderId="4" xfId="0" applyNumberFormat="1" applyFont="1" applyBorder="1" applyProtection="1">
      <protection locked="0"/>
    </xf>
    <xf numFmtId="174" fontId="31" fillId="0" borderId="4" xfId="190" applyNumberFormat="1" applyFont="1" applyFill="1" applyBorder="1" applyAlignment="1"/>
    <xf numFmtId="3" fontId="31" fillId="0" borderId="3" xfId="0" applyNumberFormat="1" applyFont="1" applyBorder="1" applyAlignment="1" applyProtection="1">
      <alignment horizontal="center"/>
      <protection locked="0"/>
    </xf>
    <xf numFmtId="172" fontId="123" fillId="0" borderId="0" xfId="0" applyFont="1" applyAlignment="1">
      <alignment horizontal="center"/>
    </xf>
    <xf numFmtId="0" fontId="157" fillId="0" borderId="0" xfId="0" applyNumberFormat="1" applyFont="1" applyAlignment="1">
      <alignment horizontal="center"/>
    </xf>
    <xf numFmtId="0" fontId="31" fillId="0" borderId="0" xfId="4155" applyNumberFormat="1" applyFont="1" applyAlignment="1" applyProtection="1">
      <alignment horizontal="right"/>
      <protection locked="0"/>
    </xf>
    <xf numFmtId="172" fontId="10" fillId="0" borderId="0" xfId="0" applyFont="1"/>
    <xf numFmtId="172" fontId="175" fillId="0" borderId="0" xfId="0" applyFont="1"/>
    <xf numFmtId="172" fontId="10" fillId="0" borderId="0" xfId="0" applyFont="1" applyAlignment="1">
      <alignment horizontal="right"/>
    </xf>
    <xf numFmtId="172" fontId="10" fillId="0" borderId="0" xfId="0" applyFont="1" applyAlignment="1">
      <alignment vertical="top" wrapText="1"/>
    </xf>
    <xf numFmtId="172" fontId="10" fillId="3" borderId="0" xfId="0" applyFont="1" applyFill="1"/>
    <xf numFmtId="172" fontId="10" fillId="74" borderId="0" xfId="0" applyFont="1" applyFill="1"/>
    <xf numFmtId="172" fontId="10" fillId="0" borderId="0" xfId="0" applyFont="1" applyAlignment="1">
      <alignment vertical="top"/>
    </xf>
    <xf numFmtId="172" fontId="175" fillId="0" borderId="1" xfId="0" applyFont="1" applyBorder="1"/>
    <xf numFmtId="172" fontId="175" fillId="0" borderId="1" xfId="0" applyFont="1" applyBorder="1" applyAlignment="1">
      <alignment horizontal="center"/>
    </xf>
    <xf numFmtId="172" fontId="10" fillId="0" borderId="0" xfId="0" applyFont="1" applyAlignment="1">
      <alignment horizontal="center"/>
    </xf>
    <xf numFmtId="172" fontId="176" fillId="0" borderId="0" xfId="4663" applyNumberFormat="1" applyFont="1" applyFill="1" applyAlignment="1" applyProtection="1"/>
    <xf numFmtId="172" fontId="10" fillId="0" borderId="0" xfId="0" quotePrefix="1" applyFont="1" applyAlignment="1">
      <alignment horizontal="center"/>
    </xf>
    <xf numFmtId="172" fontId="10" fillId="0" borderId="0" xfId="0" applyFont="1" applyProtection="1"/>
    <xf numFmtId="172" fontId="177" fillId="0" borderId="0" xfId="0" applyFont="1"/>
    <xf numFmtId="172" fontId="10" fillId="0" borderId="0" xfId="0" quotePrefix="1" applyFont="1"/>
    <xf numFmtId="0" fontId="31" fillId="0" borderId="0" xfId="4" applyFont="1"/>
    <xf numFmtId="0" fontId="31" fillId="0" borderId="0" xfId="4" applyFont="1" applyAlignment="1">
      <alignment horizontal="right"/>
    </xf>
    <xf numFmtId="0" fontId="31" fillId="0" borderId="0" xfId="4" applyFont="1" applyAlignment="1">
      <alignment horizontal="center"/>
    </xf>
    <xf numFmtId="3" fontId="31" fillId="0" borderId="0" xfId="0" applyNumberFormat="1" applyFont="1" applyAlignment="1">
      <alignment horizontal="center"/>
    </xf>
    <xf numFmtId="3" fontId="31" fillId="0" borderId="0" xfId="0" applyNumberFormat="1" applyFont="1"/>
    <xf numFmtId="0" fontId="31" fillId="0" borderId="3" xfId="4" applyFont="1" applyBorder="1" applyAlignment="1">
      <alignment horizontal="center"/>
    </xf>
    <xf numFmtId="172" fontId="31" fillId="0" borderId="3" xfId="0" applyFont="1" applyBorder="1" applyAlignment="1">
      <alignment horizontal="center"/>
    </xf>
    <xf numFmtId="0" fontId="31" fillId="0" borderId="3" xfId="0" applyNumberFormat="1" applyFont="1" applyBorder="1" applyAlignment="1" applyProtection="1">
      <alignment horizontal="center"/>
      <protection locked="0"/>
    </xf>
    <xf numFmtId="173" fontId="166" fillId="2" borderId="0" xfId="1" applyNumberFormat="1" applyFont="1" applyFill="1" applyBorder="1"/>
    <xf numFmtId="174" fontId="31" fillId="0" borderId="0" xfId="190" applyNumberFormat="1" applyFont="1" applyFill="1"/>
    <xf numFmtId="173" fontId="31" fillId="0" borderId="14" xfId="1" applyNumberFormat="1" applyFont="1" applyFill="1" applyBorder="1"/>
    <xf numFmtId="44" fontId="31" fillId="0" borderId="0" xfId="4" applyNumberFormat="1" applyFont="1"/>
    <xf numFmtId="0" fontId="123" fillId="0" borderId="0" xfId="4" applyFont="1"/>
    <xf numFmtId="174" fontId="31" fillId="0" borderId="0" xfId="190" applyNumberFormat="1" applyFont="1"/>
    <xf numFmtId="174" fontId="31" fillId="0" borderId="4" xfId="190" applyNumberFormat="1" applyFont="1" applyFill="1" applyBorder="1"/>
    <xf numFmtId="174" fontId="123" fillId="0" borderId="0" xfId="190" applyNumberFormat="1" applyFont="1" applyFill="1"/>
    <xf numFmtId="173" fontId="31" fillId="0" borderId="0" xfId="1" applyNumberFormat="1" applyFont="1" applyFill="1" applyBorder="1"/>
    <xf numFmtId="0" fontId="157" fillId="0" borderId="0" xfId="4" applyFont="1"/>
    <xf numFmtId="9" fontId="31" fillId="0" borderId="0" xfId="4475" applyFont="1"/>
    <xf numFmtId="172" fontId="123" fillId="0" borderId="0" xfId="0" applyFont="1" applyAlignment="1">
      <alignment horizontal="right"/>
    </xf>
    <xf numFmtId="49" fontId="123" fillId="0" borderId="0" xfId="4598" applyNumberFormat="1" applyFont="1" applyAlignment="1">
      <alignment horizontal="center"/>
    </xf>
    <xf numFmtId="0" fontId="31" fillId="0" borderId="3" xfId="4" applyFont="1" applyBorder="1"/>
    <xf numFmtId="10" fontId="31" fillId="0" borderId="0" xfId="3" applyNumberFormat="1" applyFont="1" applyFill="1"/>
    <xf numFmtId="10" fontId="31" fillId="0" borderId="0" xfId="4" applyNumberFormat="1" applyFont="1"/>
    <xf numFmtId="49" fontId="123" fillId="0" borderId="0" xfId="4" applyNumberFormat="1" applyFont="1"/>
    <xf numFmtId="172" fontId="123" fillId="0" borderId="0" xfId="0" applyFont="1" applyAlignment="1" applyProtection="1">
      <alignment horizontal="center" wrapText="1"/>
      <protection locked="0"/>
    </xf>
    <xf numFmtId="172" fontId="123" fillId="0" borderId="3" xfId="0" applyFont="1" applyBorder="1" applyAlignment="1" applyProtection="1">
      <alignment horizontal="center"/>
      <protection locked="0"/>
    </xf>
    <xf numFmtId="172" fontId="123" fillId="0" borderId="3" xfId="0" applyFont="1" applyBorder="1" applyAlignment="1" applyProtection="1">
      <alignment horizontal="center" wrapText="1"/>
      <protection locked="0"/>
    </xf>
    <xf numFmtId="174" fontId="31" fillId="0" borderId="0" xfId="4665" applyNumberFormat="1" applyFont="1" applyBorder="1" applyAlignment="1">
      <alignment horizontal="center"/>
    </xf>
    <xf numFmtId="10" fontId="10" fillId="56" borderId="0" xfId="4352" applyNumberFormat="1" applyFont="1" applyFill="1" applyBorder="1"/>
    <xf numFmtId="307" fontId="10" fillId="56" borderId="0" xfId="0" applyNumberFormat="1" applyFont="1" applyFill="1"/>
    <xf numFmtId="10" fontId="31" fillId="0" borderId="0" xfId="4666" applyNumberFormat="1" applyFont="1" applyBorder="1" applyAlignment="1">
      <alignment horizontal="right"/>
    </xf>
    <xf numFmtId="172" fontId="31" fillId="0" borderId="0" xfId="0" applyFont="1" applyAlignment="1" applyProtection="1">
      <alignment horizontal="right"/>
    </xf>
    <xf numFmtId="174" fontId="31" fillId="0" borderId="0" xfId="0" applyNumberFormat="1" applyFont="1" applyProtection="1"/>
    <xf numFmtId="174" fontId="31" fillId="0" borderId="17" xfId="0" applyNumberFormat="1" applyFont="1" applyBorder="1" applyProtection="1"/>
    <xf numFmtId="10" fontId="31" fillId="0" borderId="0" xfId="3" applyNumberFormat="1" applyFont="1" applyFill="1" applyBorder="1"/>
    <xf numFmtId="0" fontId="31" fillId="0" borderId="0" xfId="4476" applyFont="1"/>
    <xf numFmtId="0" fontId="31" fillId="0" borderId="0" xfId="4476" applyFont="1" applyAlignment="1">
      <alignment horizontal="center"/>
    </xf>
    <xf numFmtId="0" fontId="31" fillId="0" borderId="0" xfId="4476" applyFont="1" applyAlignment="1">
      <alignment horizontal="right"/>
    </xf>
    <xf numFmtId="0" fontId="123" fillId="0" borderId="0" xfId="4476" applyFont="1" applyAlignment="1">
      <alignment horizontal="left"/>
    </xf>
    <xf numFmtId="0" fontId="31" fillId="0" borderId="0" xfId="4476" applyFont="1" applyAlignment="1">
      <alignment horizontal="left"/>
    </xf>
    <xf numFmtId="16" fontId="31" fillId="0" borderId="0" xfId="4476" applyNumberFormat="1" applyFont="1" applyAlignment="1">
      <alignment horizontal="center"/>
    </xf>
    <xf numFmtId="0" fontId="31" fillId="0" borderId="0" xfId="4476" applyFont="1" applyAlignment="1">
      <alignment horizontal="left" wrapText="1"/>
    </xf>
    <xf numFmtId="0" fontId="31" fillId="0" borderId="0" xfId="4476" applyFont="1" applyAlignment="1">
      <alignment wrapText="1"/>
    </xf>
    <xf numFmtId="0" fontId="123" fillId="0" borderId="1" xfId="4476" applyFont="1" applyBorder="1" applyAlignment="1">
      <alignment horizontal="center" wrapText="1"/>
    </xf>
    <xf numFmtId="174" fontId="31" fillId="0" borderId="0" xfId="190" applyNumberFormat="1" applyFont="1" applyFill="1" applyBorder="1" applyAlignment="1" applyProtection="1">
      <alignment wrapText="1"/>
    </xf>
    <xf numFmtId="173" fontId="31" fillId="0" borderId="0" xfId="4476" applyNumberFormat="1" applyFont="1"/>
    <xf numFmtId="0" fontId="178" fillId="0" borderId="0" xfId="4476" applyFont="1" applyAlignment="1">
      <alignment horizontal="center"/>
    </xf>
    <xf numFmtId="173" fontId="31" fillId="0" borderId="0" xfId="1" applyNumberFormat="1" applyFont="1" applyFill="1" applyProtection="1"/>
    <xf numFmtId="0" fontId="123" fillId="0" borderId="3" xfId="4476" applyFont="1" applyBorder="1" applyAlignment="1">
      <alignment horizontal="left"/>
    </xf>
    <xf numFmtId="0" fontId="31" fillId="0" borderId="3" xfId="4476" applyFont="1" applyBorder="1" applyAlignment="1">
      <alignment horizontal="center"/>
    </xf>
    <xf numFmtId="0" fontId="31" fillId="0" borderId="3" xfId="4476" applyFont="1" applyBorder="1" applyAlignment="1">
      <alignment wrapText="1"/>
    </xf>
    <xf numFmtId="0" fontId="123" fillId="0" borderId="3" xfId="4476" applyFont="1" applyBorder="1" applyAlignment="1">
      <alignment horizontal="center" wrapText="1"/>
    </xf>
    <xf numFmtId="174" fontId="31" fillId="0" borderId="0" xfId="190" applyNumberFormat="1" applyFont="1" applyFill="1" applyBorder="1" applyProtection="1"/>
    <xf numFmtId="193" fontId="31" fillId="0" borderId="4" xfId="4352" applyNumberFormat="1" applyFont="1" applyBorder="1" applyAlignment="1" applyProtection="1">
      <alignment wrapText="1"/>
    </xf>
    <xf numFmtId="174" fontId="31" fillId="0" borderId="0" xfId="190" applyNumberFormat="1" applyFont="1" applyAlignment="1" applyProtection="1">
      <alignment wrapText="1"/>
    </xf>
    <xf numFmtId="0" fontId="31" fillId="0" borderId="3" xfId="4476" applyFont="1" applyBorder="1"/>
    <xf numFmtId="0" fontId="123" fillId="0" borderId="0" xfId="4476" applyFont="1" applyAlignment="1">
      <alignment horizontal="center" wrapText="1"/>
    </xf>
    <xf numFmtId="193" fontId="166" fillId="3" borderId="0" xfId="4352" applyNumberFormat="1" applyFont="1" applyFill="1" applyAlignment="1" applyProtection="1">
      <alignment wrapText="1"/>
    </xf>
    <xf numFmtId="193" fontId="31" fillId="0" borderId="4" xfId="4476" applyNumberFormat="1" applyFont="1" applyBorder="1" applyAlignment="1">
      <alignment wrapText="1"/>
    </xf>
    <xf numFmtId="193" fontId="31" fillId="0" borderId="0" xfId="4476" applyNumberFormat="1" applyFont="1" applyAlignment="1">
      <alignment wrapText="1"/>
    </xf>
    <xf numFmtId="193" fontId="31" fillId="0" borderId="0" xfId="4352" applyNumberFormat="1" applyFont="1" applyAlignment="1" applyProtection="1">
      <alignment wrapText="1"/>
    </xf>
    <xf numFmtId="42" fontId="31" fillId="0" borderId="0" xfId="4476" applyNumberFormat="1" applyFont="1" applyAlignment="1">
      <alignment horizontal="right"/>
    </xf>
    <xf numFmtId="41" fontId="31" fillId="0" borderId="0" xfId="190" applyNumberFormat="1" applyFont="1" applyFill="1" applyAlignment="1" applyProtection="1">
      <alignment horizontal="right"/>
    </xf>
    <xf numFmtId="174" fontId="31" fillId="0" borderId="0" xfId="4476" applyNumberFormat="1" applyFont="1"/>
    <xf numFmtId="0" fontId="31" fillId="0" borderId="0" xfId="4476" applyFont="1" applyAlignment="1">
      <alignment horizontal="center" vertical="top"/>
    </xf>
    <xf numFmtId="0" fontId="10" fillId="0" borderId="0" xfId="4476" applyFont="1" applyAlignment="1">
      <alignment horizontal="center"/>
    </xf>
    <xf numFmtId="0" fontId="10" fillId="0" borderId="0" xfId="4476" applyFont="1"/>
    <xf numFmtId="172" fontId="31" fillId="0" borderId="0" xfId="4667" applyNumberFormat="1" applyFont="1" applyAlignment="1"/>
    <xf numFmtId="172" fontId="31" fillId="0" borderId="0" xfId="4667" applyNumberFormat="1" applyFont="1" applyAlignment="1">
      <alignment horizontal="right"/>
    </xf>
    <xf numFmtId="0" fontId="31" fillId="0" borderId="0" xfId="4667" applyNumberFormat="1" applyFont="1" applyAlignment="1"/>
    <xf numFmtId="172" fontId="31" fillId="0" borderId="0" xfId="4667" applyNumberFormat="1" applyFont="1" applyBorder="1" applyAlignment="1"/>
    <xf numFmtId="0" fontId="31" fillId="0" borderId="0" xfId="4667" applyNumberFormat="1" applyFont="1" applyBorder="1" applyAlignment="1"/>
    <xf numFmtId="193" fontId="31" fillId="0" borderId="0" xfId="4667" applyNumberFormat="1" applyFont="1" applyAlignment="1"/>
    <xf numFmtId="172" fontId="31" fillId="0" borderId="0" xfId="4667" applyNumberFormat="1" applyFont="1" applyFill="1" applyBorder="1" applyAlignment="1"/>
    <xf numFmtId="306" fontId="39" fillId="0" borderId="0" xfId="4667" applyNumberFormat="1" applyFont="1" applyFill="1" applyAlignment="1">
      <alignment horizontal="left"/>
    </xf>
    <xf numFmtId="41" fontId="31" fillId="77" borderId="0" xfId="1" applyNumberFormat="1" applyFont="1" applyFill="1" applyAlignment="1" applyProtection="1">
      <protection locked="0"/>
    </xf>
    <xf numFmtId="41" fontId="31" fillId="77" borderId="38" xfId="1" applyNumberFormat="1" applyFont="1" applyFill="1" applyBorder="1" applyAlignment="1" applyProtection="1">
      <protection locked="0"/>
    </xf>
    <xf numFmtId="173" fontId="31" fillId="0" borderId="0" xfId="1" applyNumberFormat="1" applyFont="1" applyFill="1" applyBorder="1" applyAlignment="1"/>
    <xf numFmtId="172" fontId="31" fillId="0" borderId="38" xfId="4667" applyNumberFormat="1" applyFont="1" applyBorder="1" applyAlignment="1"/>
    <xf numFmtId="172" fontId="157" fillId="0" borderId="0" xfId="4667" applyNumberFormat="1" applyFont="1" applyBorder="1" applyAlignment="1">
      <alignment horizontal="center"/>
    </xf>
    <xf numFmtId="306" fontId="31" fillId="3" borderId="0" xfId="4667" quotePrefix="1" applyNumberFormat="1" applyFont="1" applyFill="1" applyAlignment="1">
      <alignment horizontal="left"/>
    </xf>
    <xf numFmtId="42" fontId="39" fillId="0" borderId="0" xfId="4667" applyNumberFormat="1" applyFont="1" applyAlignment="1"/>
    <xf numFmtId="42" fontId="39" fillId="0" borderId="0" xfId="4667" applyNumberFormat="1" applyFont="1" applyBorder="1" applyAlignment="1"/>
    <xf numFmtId="42" fontId="39" fillId="0" borderId="38" xfId="4667" applyNumberFormat="1" applyFont="1" applyBorder="1" applyAlignment="1"/>
    <xf numFmtId="42" fontId="39" fillId="0" borderId="0" xfId="1" applyNumberFormat="1" applyFont="1" applyFill="1" applyBorder="1" applyAlignment="1"/>
    <xf numFmtId="42" fontId="31" fillId="0" borderId="38" xfId="4667" applyNumberFormat="1" applyFont="1" applyBorder="1" applyAlignment="1"/>
    <xf numFmtId="42" fontId="31" fillId="0" borderId="0" xfId="4667" applyNumberFormat="1" applyFont="1" applyBorder="1" applyAlignment="1"/>
    <xf numFmtId="306" fontId="31" fillId="0" borderId="0" xfId="4667" applyNumberFormat="1" applyFont="1" applyFill="1" applyAlignment="1">
      <alignment horizontal="left"/>
    </xf>
    <xf numFmtId="170" fontId="31" fillId="0" borderId="0" xfId="4667" applyNumberFormat="1" applyFont="1" applyAlignment="1"/>
    <xf numFmtId="172" fontId="31" fillId="0" borderId="0" xfId="4667" applyNumberFormat="1" applyFont="1" applyFill="1" applyAlignment="1"/>
    <xf numFmtId="172" fontId="157" fillId="0" borderId="0" xfId="4667" applyNumberFormat="1" applyFont="1" applyAlignment="1">
      <alignment horizontal="center"/>
    </xf>
    <xf numFmtId="172" fontId="123" fillId="0" borderId="0" xfId="4667" quotePrefix="1" applyNumberFormat="1" applyFont="1" applyFill="1" applyAlignment="1"/>
    <xf numFmtId="172" fontId="31" fillId="0" borderId="0" xfId="4667" applyNumberFormat="1" applyFont="1" applyAlignment="1">
      <alignment horizontal="center" vertical="top"/>
    </xf>
    <xf numFmtId="172" fontId="31" fillId="0" borderId="0" xfId="4667" applyNumberFormat="1" applyFont="1" applyBorder="1" applyAlignment="1">
      <alignment horizontal="center"/>
    </xf>
    <xf numFmtId="172" fontId="31" fillId="0" borderId="3" xfId="4667" applyNumberFormat="1" applyFont="1" applyFill="1" applyBorder="1"/>
    <xf numFmtId="172" fontId="31" fillId="0" borderId="0" xfId="4667" applyNumberFormat="1" applyFont="1" applyFill="1"/>
    <xf numFmtId="0" fontId="31" fillId="0" borderId="0" xfId="4667" applyNumberFormat="1" applyFont="1" applyFill="1" applyAlignment="1">
      <alignment horizontal="center"/>
    </xf>
    <xf numFmtId="172" fontId="123" fillId="0" borderId="17" xfId="4667" applyNumberFormat="1" applyFont="1" applyFill="1" applyBorder="1" applyAlignment="1">
      <alignment horizontal="center" wrapText="1"/>
    </xf>
    <xf numFmtId="172" fontId="123" fillId="0" borderId="54" xfId="4667" applyNumberFormat="1" applyFont="1" applyFill="1" applyBorder="1" applyAlignment="1">
      <alignment horizontal="center" wrapText="1"/>
    </xf>
    <xf numFmtId="172" fontId="31" fillId="0" borderId="0" xfId="0" applyFont="1" applyAlignment="1">
      <alignment horizontal="left" vertical="center" wrapText="1"/>
    </xf>
    <xf numFmtId="0" fontId="31" fillId="0" borderId="0" xfId="4228" applyFont="1" applyAlignment="1">
      <alignment horizontal="left" vertical="top" wrapText="1"/>
    </xf>
    <xf numFmtId="44" fontId="31" fillId="0" borderId="0" xfId="4" applyNumberFormat="1" applyFont="1" applyAlignment="1">
      <alignment horizontal="center"/>
    </xf>
    <xf numFmtId="10" fontId="31" fillId="0" borderId="0" xfId="4665" applyNumberFormat="1" applyFont="1" applyFill="1" applyAlignment="1">
      <alignment horizontal="center"/>
    </xf>
    <xf numFmtId="10" fontId="31" fillId="0" borderId="0" xfId="3" applyNumberFormat="1" applyFont="1" applyFill="1" applyAlignment="1">
      <alignment horizontal="center"/>
    </xf>
    <xf numFmtId="0" fontId="31" fillId="0" borderId="4" xfId="4" applyFont="1" applyBorder="1"/>
    <xf numFmtId="10" fontId="31"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1" fillId="0" borderId="0" xfId="4598" applyFont="1" applyAlignment="1">
      <alignment horizontal="center"/>
    </xf>
    <xf numFmtId="44" fontId="165"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79" fillId="3" borderId="0" xfId="0" applyNumberFormat="1" applyFont="1" applyFill="1" applyAlignment="1">
      <alignment horizontal="center"/>
    </xf>
    <xf numFmtId="0" fontId="165" fillId="0" borderId="0" xfId="0" applyNumberFormat="1" applyFont="1" applyProtection="1">
      <protection locked="0"/>
    </xf>
    <xf numFmtId="172" fontId="123" fillId="0" borderId="0" xfId="4667" applyNumberFormat="1" applyFont="1" applyBorder="1" applyAlignment="1"/>
    <xf numFmtId="172" fontId="31" fillId="0" borderId="37" xfId="4667" applyNumberFormat="1" applyFont="1" applyFill="1" applyBorder="1" applyAlignment="1"/>
    <xf numFmtId="41" fontId="31" fillId="77" borderId="0" xfId="1" applyNumberFormat="1" applyFont="1" applyFill="1" applyBorder="1" applyAlignment="1" applyProtection="1">
      <protection locked="0"/>
    </xf>
    <xf numFmtId="172" fontId="31" fillId="0" borderId="37" xfId="4667" applyNumberFormat="1" applyFont="1" applyBorder="1" applyAlignment="1"/>
    <xf numFmtId="172" fontId="157" fillId="0" borderId="37" xfId="4667" applyNumberFormat="1" applyFont="1" applyBorder="1" applyAlignment="1">
      <alignment horizontal="center"/>
    </xf>
    <xf numFmtId="172" fontId="180" fillId="0" borderId="0" xfId="0" applyFont="1" applyAlignment="1">
      <alignment horizontal="left"/>
    </xf>
    <xf numFmtId="42" fontId="179" fillId="78"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9"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174" fontId="179" fillId="0" borderId="53"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3" fillId="0" borderId="0" xfId="4667" applyNumberFormat="1" applyFont="1" applyFill="1" applyAlignment="1">
      <alignment horizontal="center"/>
    </xf>
    <xf numFmtId="0" fontId="31" fillId="0" borderId="0" xfId="4671" applyFont="1"/>
    <xf numFmtId="0" fontId="31" fillId="0" borderId="0" xfId="4671" quotePrefix="1" applyFont="1"/>
    <xf numFmtId="0" fontId="31" fillId="0" borderId="0" xfId="4671" applyFont="1" applyAlignment="1">
      <alignment horizontal="center"/>
    </xf>
    <xf numFmtId="37" fontId="31" fillId="0" borderId="0" xfId="4671" applyNumberFormat="1" applyFont="1" applyAlignment="1">
      <alignment horizontal="right"/>
    </xf>
    <xf numFmtId="0" fontId="184" fillId="0" borderId="27" xfId="4671" applyFont="1" applyBorder="1"/>
    <xf numFmtId="37" fontId="31" fillId="0" borderId="0" xfId="4671" applyNumberFormat="1" applyFont="1"/>
    <xf numFmtId="0" fontId="31" fillId="0" borderId="0" xfId="4671" applyFont="1" applyAlignment="1">
      <alignment horizontal="left" indent="1"/>
    </xf>
    <xf numFmtId="5" fontId="31" fillId="0" borderId="0" xfId="4671" applyNumberFormat="1" applyFont="1"/>
    <xf numFmtId="0" fontId="31" fillId="0" borderId="0" xfId="4671" applyFont="1" applyAlignment="1">
      <alignment horizontal="left" indent="2"/>
    </xf>
    <xf numFmtId="0" fontId="132" fillId="0" borderId="0" xfId="4473" applyFont="1" applyAlignment="1">
      <alignment horizontal="left" indent="2"/>
    </xf>
    <xf numFmtId="0" fontId="184" fillId="0" borderId="0" xfId="4671" applyFont="1" applyAlignment="1">
      <alignment horizontal="left"/>
    </xf>
    <xf numFmtId="212" fontId="31" fillId="0" borderId="0" xfId="4671" applyNumberFormat="1" applyFont="1"/>
    <xf numFmtId="309" fontId="31" fillId="0" borderId="0" xfId="4671" applyNumberFormat="1" applyFont="1"/>
    <xf numFmtId="0" fontId="123" fillId="0" borderId="0" xfId="4671" applyFont="1"/>
    <xf numFmtId="0" fontId="157" fillId="0" borderId="0" xfId="4" applyFont="1" applyAlignment="1">
      <alignment horizontal="center"/>
    </xf>
    <xf numFmtId="174" fontId="31" fillId="0" borderId="0" xfId="4665" applyNumberFormat="1" applyFont="1" applyFill="1" applyAlignment="1" applyProtection="1">
      <alignment horizontal="center"/>
      <protection locked="0"/>
    </xf>
    <xf numFmtId="43" fontId="31" fillId="0" borderId="0" xfId="190" applyFont="1" applyFill="1" applyAlignment="1"/>
    <xf numFmtId="172" fontId="31" fillId="0" borderId="0" xfId="4667" applyNumberFormat="1" applyFont="1" applyFill="1" applyAlignment="1">
      <alignment horizontal="right"/>
    </xf>
    <xf numFmtId="172" fontId="123" fillId="0" borderId="0" xfId="4667" applyNumberFormat="1" applyFont="1" applyBorder="1"/>
    <xf numFmtId="172" fontId="123" fillId="0" borderId="0" xfId="4667" applyNumberFormat="1" applyFont="1" applyBorder="1" applyAlignment="1">
      <alignment horizontal="center"/>
    </xf>
    <xf numFmtId="172" fontId="31" fillId="0" borderId="0" xfId="4667" quotePrefix="1" applyNumberFormat="1" applyFont="1" applyAlignment="1">
      <alignment horizontal="center"/>
    </xf>
    <xf numFmtId="172" fontId="31" fillId="0" borderId="0" xfId="4667" quotePrefix="1" applyNumberFormat="1" applyFont="1" applyFill="1" applyAlignment="1">
      <alignment horizontal="center"/>
    </xf>
    <xf numFmtId="172" fontId="123" fillId="0" borderId="0" xfId="4667" applyNumberFormat="1" applyFont="1" applyAlignment="1"/>
    <xf numFmtId="172" fontId="123" fillId="0" borderId="0" xfId="4667" applyNumberFormat="1" applyFont="1" applyAlignment="1">
      <alignment horizontal="center"/>
    </xf>
    <xf numFmtId="172" fontId="123" fillId="0" borderId="1" xfId="4667" applyNumberFormat="1" applyFont="1" applyBorder="1" applyAlignment="1">
      <alignment horizontal="center"/>
    </xf>
    <xf numFmtId="172" fontId="123" fillId="0" borderId="1" xfId="4667" applyNumberFormat="1" applyFont="1" applyFill="1" applyBorder="1" applyAlignment="1">
      <alignment horizontal="center"/>
    </xf>
    <xf numFmtId="0" fontId="31" fillId="0" borderId="0" xfId="190" applyNumberFormat="1" applyFont="1" applyAlignment="1">
      <alignment horizontal="center"/>
    </xf>
    <xf numFmtId="170" fontId="31" fillId="0" borderId="0" xfId="190" applyNumberFormat="1" applyFont="1" applyFill="1" applyBorder="1" applyAlignment="1"/>
    <xf numFmtId="0" fontId="31" fillId="0" borderId="0" xfId="4667" applyNumberFormat="1" applyFont="1" applyAlignment="1">
      <alignment horizontal="center"/>
    </xf>
    <xf numFmtId="193" fontId="31" fillId="0" borderId="0" xfId="4667" applyNumberFormat="1" applyFont="1" applyFill="1" applyAlignment="1"/>
    <xf numFmtId="41" fontId="31" fillId="0" borderId="0" xfId="4668" applyNumberFormat="1" applyFont="1" applyProtection="1">
      <protection locked="0"/>
    </xf>
    <xf numFmtId="271" fontId="31" fillId="78" borderId="0" xfId="190" applyNumberFormat="1" applyFont="1" applyFill="1" applyAlignment="1"/>
    <xf numFmtId="41" fontId="31" fillId="0" borderId="0" xfId="4667" applyNumberFormat="1" applyFont="1" applyFill="1" applyBorder="1" applyAlignment="1"/>
    <xf numFmtId="172" fontId="31" fillId="0" borderId="4" xfId="4667" applyNumberFormat="1" applyFont="1" applyFill="1" applyBorder="1" applyAlignment="1"/>
    <xf numFmtId="173" fontId="31" fillId="0" borderId="4" xfId="1" applyNumberFormat="1" applyFont="1" applyFill="1" applyBorder="1" applyAlignment="1"/>
    <xf numFmtId="271" fontId="31" fillId="0" borderId="4" xfId="190" applyNumberFormat="1" applyFont="1" applyFill="1" applyBorder="1" applyAlignment="1"/>
    <xf numFmtId="173" fontId="31" fillId="0" borderId="0" xfId="4668" applyNumberFormat="1" applyFont="1" applyProtection="1">
      <protection locked="0"/>
    </xf>
    <xf numFmtId="0" fontId="31" fillId="0" borderId="4" xfId="4667" applyNumberFormat="1" applyFont="1" applyBorder="1" applyAlignment="1"/>
    <xf numFmtId="1" fontId="31" fillId="0" borderId="4" xfId="4668" applyNumberFormat="1" applyFont="1" applyBorder="1" applyAlignment="1" applyProtection="1">
      <alignment horizontal="left"/>
      <protection locked="0"/>
    </xf>
    <xf numFmtId="173" fontId="31" fillId="0" borderId="4" xfId="4668" applyNumberFormat="1" applyFont="1" applyBorder="1" applyProtection="1">
      <protection locked="0"/>
    </xf>
    <xf numFmtId="173" fontId="31" fillId="0" borderId="0" xfId="1" applyNumberFormat="1" applyFont="1" applyFill="1" applyAlignment="1"/>
    <xf numFmtId="172" fontId="123" fillId="0" borderId="0" xfId="4669" applyFont="1" applyAlignment="1">
      <alignment horizontal="left"/>
    </xf>
    <xf numFmtId="42" fontId="31" fillId="0" borderId="0" xfId="4667" applyNumberFormat="1" applyFont="1" applyAlignment="1"/>
    <xf numFmtId="0" fontId="31" fillId="0" borderId="0" xfId="4667" applyNumberFormat="1" applyFont="1" applyFill="1" applyBorder="1" applyAlignment="1"/>
    <xf numFmtId="41" fontId="116" fillId="0" borderId="0" xfId="4668" applyNumberFormat="1" applyFont="1" applyProtection="1">
      <protection locked="0"/>
    </xf>
    <xf numFmtId="172" fontId="31" fillId="0" borderId="0" xfId="4667" applyNumberFormat="1" applyFont="1" applyFill="1" applyBorder="1" applyAlignment="1">
      <alignment horizontal="center"/>
    </xf>
    <xf numFmtId="193" fontId="31" fillId="0" borderId="0" xfId="4667" applyNumberFormat="1" applyFont="1" applyFill="1" applyBorder="1" applyAlignment="1"/>
    <xf numFmtId="42" fontId="31" fillId="0" borderId="0" xfId="4667" applyNumberFormat="1" applyFont="1" applyFill="1" applyBorder="1" applyAlignment="1"/>
    <xf numFmtId="10" fontId="31" fillId="0" borderId="0" xfId="4667" applyNumberFormat="1" applyFont="1" applyFill="1" applyBorder="1" applyAlignment="1"/>
    <xf numFmtId="41" fontId="185" fillId="0" borderId="0" xfId="4667" applyNumberFormat="1" applyFont="1" applyFill="1" applyBorder="1" applyAlignment="1"/>
    <xf numFmtId="0" fontId="31" fillId="0" borderId="0" xfId="4670" applyFont="1"/>
    <xf numFmtId="1" fontId="166" fillId="3" borderId="0" xfId="0" applyNumberFormat="1" applyFont="1" applyFill="1" applyAlignment="1" applyProtection="1">
      <alignment horizontal="center"/>
      <protection locked="0"/>
    </xf>
    <xf numFmtId="14" fontId="31" fillId="0" borderId="0" xfId="0" applyNumberFormat="1" applyFont="1" applyProtection="1">
      <protection locked="0"/>
    </xf>
    <xf numFmtId="1" fontId="31" fillId="0" borderId="0" xfId="0" applyNumberFormat="1" applyFont="1" applyAlignment="1" applyProtection="1">
      <alignment horizontal="center"/>
      <protection locked="0"/>
    </xf>
    <xf numFmtId="0" fontId="31" fillId="0" borderId="0" xfId="4" applyFont="1" applyAlignment="1">
      <alignment horizontal="center" vertical="top"/>
    </xf>
    <xf numFmtId="42" fontId="31" fillId="0" borderId="0" xfId="0" applyNumberFormat="1" applyFont="1" applyAlignment="1" applyProtection="1">
      <alignment horizontal="right"/>
    </xf>
    <xf numFmtId="0" fontId="31" fillId="0" borderId="0" xfId="0" applyNumberFormat="1" applyFont="1"/>
    <xf numFmtId="3" fontId="166" fillId="3" borderId="0" xfId="0" applyNumberFormat="1" applyFont="1" applyFill="1"/>
    <xf numFmtId="172" fontId="123" fillId="0" borderId="0" xfId="0" applyFont="1"/>
    <xf numFmtId="0" fontId="123" fillId="0" borderId="0" xfId="4" applyFont="1" applyAlignment="1">
      <alignment horizontal="center"/>
    </xf>
    <xf numFmtId="3" fontId="31" fillId="0" borderId="1" xfId="0" applyNumberFormat="1" applyFont="1" applyBorder="1" applyAlignment="1">
      <alignment horizontal="center"/>
    </xf>
    <xf numFmtId="0" fontId="123" fillId="0" borderId="1" xfId="4" applyFont="1" applyBorder="1" applyAlignment="1">
      <alignment horizontal="center"/>
    </xf>
    <xf numFmtId="0" fontId="31" fillId="0" borderId="0" xfId="4" applyFont="1" applyAlignment="1">
      <alignment horizontal="center" vertical="center"/>
    </xf>
    <xf numFmtId="174" fontId="31" fillId="74"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6" fillId="3" borderId="0" xfId="1" applyNumberFormat="1" applyFont="1" applyFill="1" applyAlignment="1"/>
    <xf numFmtId="173" fontId="31" fillId="0" borderId="4" xfId="1" applyNumberFormat="1" applyFont="1" applyFill="1" applyBorder="1"/>
    <xf numFmtId="0" fontId="31" fillId="0" borderId="4" xfId="4671" applyFont="1" applyBorder="1" applyAlignment="1">
      <alignment horizontal="left" indent="1"/>
    </xf>
    <xf numFmtId="42" fontId="123" fillId="0" borderId="0" xfId="1" applyNumberFormat="1" applyFont="1" applyFill="1" applyBorder="1" applyAlignment="1" applyProtection="1">
      <alignment horizontal="right"/>
    </xf>
    <xf numFmtId="42" fontId="31" fillId="0" borderId="0" xfId="0" applyNumberFormat="1" applyFont="1" applyProtection="1">
      <protection locked="0"/>
    </xf>
    <xf numFmtId="42" fontId="31" fillId="0" borderId="0" xfId="4671" applyNumberFormat="1" applyFont="1"/>
    <xf numFmtId="0" fontId="31" fillId="0" borderId="0" xfId="4671" applyFont="1" applyAlignment="1">
      <alignment horizontal="left"/>
    </xf>
    <xf numFmtId="173" fontId="31" fillId="0" borderId="0" xfId="4671" applyNumberFormat="1" applyFont="1"/>
    <xf numFmtId="173" fontId="31" fillId="0" borderId="15" xfId="4671" applyNumberFormat="1" applyFont="1" applyBorder="1"/>
    <xf numFmtId="42" fontId="31" fillId="0" borderId="15" xfId="1" applyNumberFormat="1" applyFont="1" applyFill="1" applyBorder="1" applyAlignment="1" applyProtection="1">
      <alignment horizontal="right"/>
    </xf>
    <xf numFmtId="0" fontId="31" fillId="0" borderId="0" xfId="0" applyNumberFormat="1" applyFont="1" applyAlignment="1" applyProtection="1">
      <alignment vertical="top" wrapText="1"/>
      <protection locked="0"/>
    </xf>
    <xf numFmtId="0" fontId="123" fillId="0" borderId="0" xfId="4155" applyNumberFormat="1" applyFont="1" applyAlignment="1" applyProtection="1">
      <alignment horizontal="center"/>
      <protection locked="0"/>
    </xf>
    <xf numFmtId="49" fontId="123" fillId="0" borderId="0" xfId="4597" applyNumberFormat="1" applyFont="1" applyAlignment="1">
      <alignment horizontal="center"/>
    </xf>
    <xf numFmtId="173" fontId="31" fillId="0" borderId="14" xfId="4476" applyNumberFormat="1" applyFont="1" applyBorder="1"/>
    <xf numFmtId="42" fontId="123" fillId="0" borderId="15" xfId="1" applyNumberFormat="1" applyFont="1" applyFill="1" applyBorder="1" applyAlignment="1" applyProtection="1">
      <alignment horizontal="right"/>
    </xf>
    <xf numFmtId="10" fontId="31" fillId="0" borderId="0" xfId="4352" applyNumberFormat="1" applyFont="1" applyAlignment="1" applyProtection="1">
      <alignment wrapText="1"/>
    </xf>
    <xf numFmtId="168" fontId="31" fillId="0" borderId="0" xfId="0" applyNumberFormat="1" applyFont="1" applyProtection="1">
      <protection locked="0"/>
    </xf>
    <xf numFmtId="1" fontId="31" fillId="0" borderId="0" xfId="0" applyNumberFormat="1" applyFont="1" applyProtection="1">
      <protection locked="0"/>
    </xf>
    <xf numFmtId="172" fontId="123" fillId="0" borderId="0" xfId="0" applyFont="1" applyProtection="1">
      <protection locked="0"/>
    </xf>
    <xf numFmtId="172" fontId="188" fillId="0" borderId="0" xfId="0" applyFont="1" applyProtection="1">
      <protection locked="0"/>
    </xf>
    <xf numFmtId="172" fontId="123" fillId="0" borderId="3" xfId="0" applyFont="1" applyBorder="1" applyAlignment="1">
      <alignment horizontal="center"/>
    </xf>
    <xf numFmtId="172" fontId="31" fillId="0" borderId="3" xfId="0" applyFont="1" applyBorder="1"/>
    <xf numFmtId="172" fontId="31" fillId="0" borderId="0" xfId="0" applyFont="1" applyAlignment="1" applyProtection="1">
      <alignment wrapText="1"/>
      <protection locked="0"/>
    </xf>
    <xf numFmtId="0" fontId="132" fillId="0" borderId="0" xfId="4473" applyFont="1" applyAlignment="1">
      <alignment horizontal="center"/>
    </xf>
    <xf numFmtId="0" fontId="31" fillId="0" borderId="0" xfId="4472" applyNumberFormat="1" applyFont="1" applyFill="1" applyBorder="1" applyAlignment="1">
      <alignment horizontal="left"/>
    </xf>
    <xf numFmtId="174" fontId="31" fillId="0" borderId="0" xfId="4472" applyNumberFormat="1" applyFont="1" applyFill="1" applyBorder="1"/>
    <xf numFmtId="0" fontId="31" fillId="0" borderId="0" xfId="4472" applyNumberFormat="1" applyFont="1" applyFill="1" applyBorder="1" applyAlignment="1">
      <alignment horizontal="center"/>
    </xf>
    <xf numFmtId="174" fontId="166" fillId="2" borderId="0" xfId="4472" applyNumberFormat="1" applyFont="1" applyFill="1" applyBorder="1"/>
    <xf numFmtId="174" fontId="31" fillId="0" borderId="4" xfId="4472" applyNumberFormat="1" applyFont="1" applyFill="1" applyBorder="1"/>
    <xf numFmtId="172" fontId="31" fillId="0" borderId="4" xfId="0" applyFont="1" applyBorder="1"/>
    <xf numFmtId="172" fontId="123" fillId="0" borderId="0" xfId="0" applyFont="1" applyAlignment="1" applyProtection="1">
      <alignment horizontal="left"/>
      <protection locked="0"/>
    </xf>
    <xf numFmtId="172" fontId="31" fillId="0" borderId="0" xfId="0" applyFont="1" applyAlignment="1" applyProtection="1">
      <alignment horizontal="centerContinuous"/>
      <protection locked="0"/>
    </xf>
    <xf numFmtId="0" fontId="123" fillId="0" borderId="3" xfId="4471" applyFont="1" applyBorder="1" applyAlignment="1">
      <alignment horizontal="center"/>
    </xf>
    <xf numFmtId="172" fontId="166" fillId="2" borderId="27" xfId="0" applyFont="1" applyFill="1" applyBorder="1"/>
    <xf numFmtId="0" fontId="166" fillId="2" borderId="27" xfId="4471" applyFont="1" applyFill="1" applyBorder="1"/>
    <xf numFmtId="174" fontId="166" fillId="2" borderId="27" xfId="190" applyNumberFormat="1" applyFont="1" applyFill="1" applyBorder="1"/>
    <xf numFmtId="37" fontId="166" fillId="2" borderId="27" xfId="0" applyNumberFormat="1" applyFont="1" applyFill="1" applyBorder="1"/>
    <xf numFmtId="39" fontId="166" fillId="2" borderId="27" xfId="0" applyNumberFormat="1" applyFont="1" applyFill="1" applyBorder="1"/>
    <xf numFmtId="172" fontId="166" fillId="2" borderId="46" xfId="0" applyFont="1" applyFill="1" applyBorder="1"/>
    <xf numFmtId="37" fontId="166" fillId="2" borderId="46" xfId="0" applyNumberFormat="1" applyFont="1" applyFill="1" applyBorder="1"/>
    <xf numFmtId="37" fontId="31" fillId="0" borderId="4" xfId="0" applyNumberFormat="1" applyFont="1" applyBorder="1"/>
    <xf numFmtId="37" fontId="31" fillId="0" borderId="0" xfId="0" applyNumberFormat="1" applyFont="1"/>
    <xf numFmtId="172" fontId="184" fillId="0" borderId="0" xfId="0" applyFont="1"/>
    <xf numFmtId="174" fontId="31" fillId="0" borderId="0" xfId="0" applyNumberFormat="1" applyFont="1"/>
    <xf numFmtId="172" fontId="157" fillId="0" borderId="0" xfId="0" applyFont="1"/>
    <xf numFmtId="172" fontId="157"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1" fillId="0" borderId="51" xfId="4667" applyNumberFormat="1" applyFont="1" applyBorder="1" applyAlignment="1"/>
    <xf numFmtId="172" fontId="31" fillId="0" borderId="4" xfId="4667" applyNumberFormat="1" applyFont="1" applyBorder="1" applyAlignment="1"/>
    <xf numFmtId="0" fontId="31" fillId="0" borderId="47" xfId="4667" applyNumberFormat="1" applyFont="1" applyBorder="1" applyAlignment="1"/>
    <xf numFmtId="172" fontId="31" fillId="0" borderId="37" xfId="4667" applyNumberFormat="1" applyFont="1" applyFill="1" applyBorder="1" applyAlignment="1">
      <alignment horizontal="center"/>
    </xf>
    <xf numFmtId="172" fontId="31" fillId="0" borderId="38" xfId="4667" applyNumberFormat="1" applyFont="1" applyFill="1" applyBorder="1" applyAlignment="1">
      <alignment horizontal="center"/>
    </xf>
    <xf numFmtId="172" fontId="31" fillId="0" borderId="37" xfId="4667" applyNumberFormat="1" applyFont="1" applyBorder="1" applyAlignment="1">
      <alignment horizontal="center"/>
    </xf>
    <xf numFmtId="172" fontId="31" fillId="0" borderId="38" xfId="4667" applyNumberFormat="1" applyFont="1" applyBorder="1" applyAlignment="1">
      <alignment horizontal="center"/>
    </xf>
    <xf numFmtId="172" fontId="123" fillId="0" borderId="3" xfId="4667" applyNumberFormat="1" applyFont="1" applyBorder="1" applyAlignment="1">
      <alignment horizontal="center"/>
    </xf>
    <xf numFmtId="172" fontId="31" fillId="0" borderId="56" xfId="4667" applyNumberFormat="1" applyFont="1" applyBorder="1" applyAlignment="1">
      <alignment horizontal="center"/>
    </xf>
    <xf numFmtId="172" fontId="31" fillId="0" borderId="1" xfId="4667" applyNumberFormat="1" applyFont="1" applyBorder="1" applyAlignment="1">
      <alignment horizontal="center"/>
    </xf>
    <xf numFmtId="172" fontId="31" fillId="0" borderId="57" xfId="4667" applyNumberFormat="1" applyFont="1" applyBorder="1" applyAlignment="1">
      <alignment horizontal="center"/>
    </xf>
    <xf numFmtId="164" fontId="31" fillId="0" borderId="0" xfId="4667" applyNumberFormat="1" applyFont="1" applyBorder="1" applyAlignment="1"/>
    <xf numFmtId="193" fontId="31" fillId="0" borderId="0" xfId="4352" applyNumberFormat="1" applyFont="1" applyFill="1" applyBorder="1" applyAlignment="1"/>
    <xf numFmtId="10" fontId="31" fillId="0" borderId="38" xfId="4352" quotePrefix="1" applyNumberFormat="1" applyFont="1" applyBorder="1" applyAlignment="1">
      <alignment horizontal="left"/>
    </xf>
    <xf numFmtId="193" fontId="31" fillId="0" borderId="0" xfId="4667" applyNumberFormat="1" applyFont="1" applyBorder="1" applyAlignment="1"/>
    <xf numFmtId="173" fontId="31" fillId="0" borderId="0" xfId="1" applyNumberFormat="1" applyFont="1" applyFill="1" applyBorder="1" applyAlignment="1" applyProtection="1">
      <alignment vertical="center"/>
      <protection locked="0"/>
    </xf>
    <xf numFmtId="173" fontId="31" fillId="0" borderId="0" xfId="4667" applyNumberFormat="1" applyFont="1" applyFill="1" applyBorder="1" applyAlignment="1"/>
    <xf numFmtId="42" fontId="31" fillId="56" borderId="0" xfId="4667" quotePrefix="1" applyNumberFormat="1" applyFont="1" applyFill="1" applyAlignment="1">
      <alignment horizontal="left"/>
    </xf>
    <xf numFmtId="173" fontId="116" fillId="3" borderId="37" xfId="1" applyNumberFormat="1" applyFont="1" applyFill="1" applyBorder="1" applyAlignment="1" applyProtection="1">
      <alignment vertical="center"/>
      <protection locked="0"/>
    </xf>
    <xf numFmtId="42" fontId="31" fillId="0" borderId="0" xfId="190" applyNumberFormat="1" applyFont="1" applyBorder="1" applyAlignment="1"/>
    <xf numFmtId="42" fontId="31" fillId="0" borderId="0" xfId="190" applyNumberFormat="1" applyFont="1" applyFill="1" applyBorder="1" applyAlignment="1"/>
    <xf numFmtId="42" fontId="31" fillId="0" borderId="38" xfId="190" applyNumberFormat="1" applyFont="1" applyBorder="1" applyAlignment="1"/>
    <xf numFmtId="306" fontId="31" fillId="0" borderId="0" xfId="4667" quotePrefix="1" applyNumberFormat="1" applyFont="1" applyFill="1" applyAlignment="1">
      <alignment horizontal="left"/>
    </xf>
    <xf numFmtId="170" fontId="187" fillId="0" borderId="37" xfId="4667" applyNumberFormat="1" applyFont="1" applyBorder="1" applyAlignment="1"/>
    <xf numFmtId="42" fontId="31" fillId="0" borderId="0" xfId="1" applyNumberFormat="1" applyFont="1" applyFill="1" applyBorder="1" applyAlignment="1"/>
    <xf numFmtId="172" fontId="31" fillId="0" borderId="52" xfId="4667" applyNumberFormat="1" applyFont="1" applyBorder="1" applyAlignment="1"/>
    <xf numFmtId="42" fontId="31" fillId="0" borderId="3" xfId="4667" applyNumberFormat="1" applyFont="1" applyFill="1" applyBorder="1" applyAlignment="1"/>
    <xf numFmtId="42" fontId="31" fillId="0" borderId="53" xfId="4667" applyNumberFormat="1" applyFont="1" applyBorder="1" applyAlignment="1"/>
    <xf numFmtId="41" fontId="31" fillId="0" borderId="0" xfId="4667" applyNumberFormat="1" applyFont="1" applyFill="1" applyAlignment="1"/>
    <xf numFmtId="172" fontId="190" fillId="0" borderId="0" xfId="4667" applyNumberFormat="1" applyFont="1" applyFill="1" applyAlignment="1"/>
    <xf numFmtId="172" fontId="31" fillId="0" borderId="17" xfId="4667" applyNumberFormat="1" applyFont="1" applyFill="1" applyBorder="1" applyAlignment="1">
      <alignment horizontal="center"/>
    </xf>
    <xf numFmtId="172" fontId="31" fillId="0" borderId="17" xfId="4667" quotePrefix="1" applyNumberFormat="1" applyFont="1" applyFill="1" applyBorder="1" applyAlignment="1">
      <alignment horizontal="center"/>
    </xf>
    <xf numFmtId="10" fontId="31" fillId="0" borderId="48" xfId="4352" applyNumberFormat="1" applyFont="1" applyFill="1" applyBorder="1"/>
    <xf numFmtId="10" fontId="31" fillId="56" borderId="51" xfId="4352" applyNumberFormat="1" applyFont="1" applyFill="1" applyBorder="1"/>
    <xf numFmtId="10" fontId="31" fillId="56" borderId="54" xfId="4352" applyNumberFormat="1" applyFont="1" applyFill="1" applyBorder="1"/>
    <xf numFmtId="41" fontId="116" fillId="2" borderId="49" xfId="4352" applyNumberFormat="1" applyFont="1" applyFill="1" applyBorder="1"/>
    <xf numFmtId="174" fontId="31" fillId="0" borderId="17" xfId="190" applyNumberFormat="1" applyFont="1" applyFill="1" applyBorder="1"/>
    <xf numFmtId="172" fontId="189" fillId="0" borderId="0" xfId="4667" applyNumberFormat="1" applyFont="1" applyAlignment="1"/>
    <xf numFmtId="10" fontId="31" fillId="56" borderId="37" xfId="4352" applyNumberFormat="1" applyFont="1" applyFill="1" applyBorder="1"/>
    <xf numFmtId="10" fontId="31" fillId="56" borderId="55" xfId="4352" applyNumberFormat="1" applyFont="1" applyFill="1" applyBorder="1"/>
    <xf numFmtId="10" fontId="31" fillId="56" borderId="52" xfId="4352" applyNumberFormat="1" applyFont="1" applyFill="1" applyBorder="1"/>
    <xf numFmtId="10" fontId="31" fillId="56" borderId="58" xfId="4352" applyNumberFormat="1" applyFont="1" applyFill="1" applyBorder="1"/>
    <xf numFmtId="172" fontId="190" fillId="0" borderId="0" xfId="4667" applyNumberFormat="1" applyFont="1" applyAlignment="1"/>
    <xf numFmtId="10" fontId="31" fillId="0" borderId="17" xfId="4352" applyNumberFormat="1" applyFont="1" applyFill="1" applyBorder="1"/>
    <xf numFmtId="10" fontId="31" fillId="0" borderId="58" xfId="4352" applyNumberFormat="1" applyFont="1" applyFill="1" applyBorder="1"/>
    <xf numFmtId="41" fontId="31" fillId="0" borderId="52" xfId="4352" applyNumberFormat="1" applyFont="1" applyFill="1" applyBorder="1"/>
    <xf numFmtId="308" fontId="31" fillId="0" borderId="52" xfId="4352" applyNumberFormat="1" applyFont="1" applyFill="1" applyBorder="1"/>
    <xf numFmtId="174" fontId="31" fillId="0" borderId="49" xfId="190" applyNumberFormat="1" applyFont="1" applyFill="1" applyBorder="1"/>
    <xf numFmtId="172" fontId="31" fillId="0" borderId="17" xfId="4667" applyNumberFormat="1" applyFont="1" applyFill="1" applyBorder="1" applyAlignment="1">
      <alignment horizontal="right"/>
    </xf>
    <xf numFmtId="174" fontId="31" fillId="0" borderId="17" xfId="4667" applyNumberFormat="1" applyFont="1" applyFill="1" applyBorder="1"/>
    <xf numFmtId="174" fontId="31" fillId="0" borderId="48" xfId="4667" applyNumberFormat="1" applyFont="1" applyFill="1" applyBorder="1"/>
    <xf numFmtId="174" fontId="31" fillId="0" borderId="49" xfId="4667" applyNumberFormat="1" applyFont="1" applyFill="1" applyBorder="1"/>
    <xf numFmtId="308" fontId="31" fillId="0" borderId="49" xfId="4667" applyNumberFormat="1" applyFont="1" applyFill="1" applyBorder="1"/>
    <xf numFmtId="172" fontId="31" fillId="0" borderId="0" xfId="4667" applyNumberFormat="1" applyFont="1" applyFill="1" applyAlignment="1">
      <alignment vertical="top"/>
    </xf>
    <xf numFmtId="172" fontId="31" fillId="0" borderId="0" xfId="4667" applyNumberFormat="1" applyFont="1" applyAlignment="1">
      <alignment horizontal="left" vertical="top"/>
    </xf>
    <xf numFmtId="172" fontId="123" fillId="0" borderId="0" xfId="4667" applyNumberFormat="1" applyFont="1" applyFill="1" applyAlignment="1"/>
    <xf numFmtId="172" fontId="116" fillId="0" borderId="0" xfId="4667" applyNumberFormat="1" applyFont="1" applyFill="1" applyAlignment="1"/>
    <xf numFmtId="172" fontId="116" fillId="0" borderId="0" xfId="4667" applyNumberFormat="1" applyFont="1" applyAlignment="1"/>
    <xf numFmtId="172" fontId="192" fillId="0" borderId="0" xfId="4667" applyNumberFormat="1" applyFont="1" applyFill="1" applyAlignment="1"/>
    <xf numFmtId="44" fontId="31" fillId="0" borderId="0" xfId="1" applyFont="1" applyFill="1" applyBorder="1" applyAlignment="1"/>
    <xf numFmtId="174" fontId="166" fillId="3" borderId="0" xfId="4665" applyNumberFormat="1" applyFont="1" applyFill="1" applyAlignment="1"/>
    <xf numFmtId="174" fontId="166" fillId="0" borderId="0" xfId="4665" applyNumberFormat="1" applyFont="1" applyFill="1" applyAlignment="1"/>
    <xf numFmtId="174" fontId="31" fillId="0" borderId="0" xfId="4665" applyNumberFormat="1" applyFont="1" applyFill="1" applyAlignment="1"/>
    <xf numFmtId="173" fontId="123" fillId="0" borderId="15" xfId="4476" applyNumberFormat="1" applyFont="1" applyBorder="1" applyAlignment="1">
      <alignment wrapText="1"/>
    </xf>
    <xf numFmtId="2" fontId="31" fillId="0" borderId="0" xfId="0" applyNumberFormat="1" applyFont="1" applyProtection="1"/>
    <xf numFmtId="165" fontId="31" fillId="0" borderId="4" xfId="0" applyNumberFormat="1" applyFont="1" applyBorder="1" applyProtection="1"/>
    <xf numFmtId="0" fontId="166" fillId="3" borderId="0" xfId="4671" applyFont="1" applyFill="1" applyAlignment="1">
      <alignment horizontal="left" indent="1"/>
    </xf>
    <xf numFmtId="0" fontId="166" fillId="3" borderId="0" xfId="4671" applyFont="1" applyFill="1" applyAlignment="1">
      <alignment horizontal="left"/>
    </xf>
    <xf numFmtId="37" fontId="166" fillId="3" borderId="0" xfId="4671" applyNumberFormat="1" applyFont="1" applyFill="1" applyAlignment="1">
      <alignment horizontal="left"/>
    </xf>
    <xf numFmtId="172" fontId="31"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1"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1" fillId="0" borderId="0" xfId="4" applyNumberFormat="1" applyFont="1" applyAlignment="1">
      <alignment horizontal="center"/>
    </xf>
    <xf numFmtId="172" fontId="123" fillId="0" borderId="0" xfId="4667" applyNumberFormat="1" applyFont="1" applyFill="1" applyBorder="1" applyAlignment="1">
      <alignment horizontal="center"/>
    </xf>
    <xf numFmtId="164" fontId="116" fillId="3" borderId="37" xfId="4666" applyNumberFormat="1" applyFont="1" applyFill="1" applyBorder="1" applyAlignment="1" applyProtection="1">
      <alignment vertical="center"/>
      <protection locked="0"/>
    </xf>
    <xf numFmtId="10" fontId="31" fillId="0" borderId="52" xfId="4352" quotePrefix="1" applyNumberFormat="1" applyFont="1" applyBorder="1" applyAlignment="1">
      <alignment horizontal="center"/>
    </xf>
    <xf numFmtId="10" fontId="31" fillId="0" borderId="3" xfId="4352" quotePrefix="1" applyNumberFormat="1" applyFont="1" applyBorder="1" applyAlignment="1">
      <alignment horizontal="center"/>
    </xf>
    <xf numFmtId="172" fontId="31" fillId="0" borderId="3" xfId="4667" applyNumberFormat="1" applyFont="1" applyBorder="1" applyAlignment="1">
      <alignment horizontal="center"/>
    </xf>
    <xf numFmtId="174" fontId="31" fillId="0" borderId="4" xfId="4665" applyNumberFormat="1" applyFont="1" applyBorder="1" applyAlignment="1"/>
    <xf numFmtId="172" fontId="31" fillId="0" borderId="52" xfId="4667" applyNumberFormat="1" applyFont="1" applyBorder="1" applyAlignment="1">
      <alignment horizontal="center"/>
    </xf>
    <xf numFmtId="172" fontId="31" fillId="0" borderId="53" xfId="4667" applyNumberFormat="1" applyFont="1" applyBorder="1" applyAlignment="1">
      <alignment horizontal="center"/>
    </xf>
    <xf numFmtId="172" fontId="123" fillId="0" borderId="0" xfId="4667" applyNumberFormat="1" applyFont="1" applyFill="1" applyBorder="1" applyAlignment="1">
      <alignment horizontal="center" vertical="center"/>
    </xf>
    <xf numFmtId="172" fontId="31" fillId="0" borderId="0" xfId="4667" applyNumberFormat="1" applyFont="1" applyFill="1" applyAlignment="1">
      <alignment horizontal="center" vertical="center"/>
    </xf>
    <xf numFmtId="172" fontId="31" fillId="0" borderId="0" xfId="4667" applyNumberFormat="1" applyFont="1" applyAlignment="1">
      <alignment horizontal="center" vertical="center"/>
    </xf>
    <xf numFmtId="0" fontId="31" fillId="0" borderId="0" xfId="4667" applyNumberFormat="1" applyFont="1" applyAlignment="1">
      <alignment horizontal="center" vertical="center"/>
    </xf>
    <xf numFmtId="172" fontId="123" fillId="0" borderId="3" xfId="4667" applyNumberFormat="1" applyFont="1" applyBorder="1" applyAlignment="1">
      <alignment horizontal="center" vertical="center"/>
    </xf>
    <xf numFmtId="172" fontId="31" fillId="0" borderId="0" xfId="4667" applyNumberFormat="1" applyFont="1" applyFill="1" applyAlignment="1">
      <alignment vertical="top" wrapText="1"/>
    </xf>
    <xf numFmtId="249" fontId="178" fillId="0" borderId="0" xfId="4665" applyNumberFormat="1" applyFont="1"/>
    <xf numFmtId="172" fontId="31" fillId="0" borderId="47" xfId="4667" applyNumberFormat="1" applyFont="1" applyFill="1" applyBorder="1" applyAlignment="1">
      <alignment horizontal="center"/>
    </xf>
    <xf numFmtId="311" fontId="31" fillId="0" borderId="0" xfId="4667" applyNumberFormat="1" applyFont="1" applyAlignment="1"/>
    <xf numFmtId="172" fontId="31" fillId="3" borderId="37" xfId="4667" applyNumberFormat="1" applyFont="1" applyFill="1" applyBorder="1" applyAlignment="1">
      <alignment horizontal="right" wrapText="1"/>
    </xf>
    <xf numFmtId="44" fontId="31" fillId="0" borderId="0" xfId="1" applyFont="1" applyAlignment="1" applyProtection="1">
      <protection locked="0"/>
    </xf>
    <xf numFmtId="312" fontId="31" fillId="0" borderId="0" xfId="1" applyNumberFormat="1" applyFont="1" applyAlignment="1" applyProtection="1">
      <protection locked="0"/>
    </xf>
    <xf numFmtId="313" fontId="31" fillId="0" borderId="0" xfId="0" applyNumberFormat="1" applyFont="1" applyProtection="1">
      <protection locked="0"/>
    </xf>
    <xf numFmtId="172" fontId="31" fillId="0" borderId="51" xfId="4667" applyNumberFormat="1" applyFont="1" applyFill="1" applyBorder="1" applyAlignment="1">
      <alignment horizontal="center"/>
    </xf>
    <xf numFmtId="172" fontId="31" fillId="0" borderId="4" xfId="4667" applyNumberFormat="1" applyFont="1" applyFill="1" applyBorder="1" applyAlignment="1">
      <alignment horizontal="center"/>
    </xf>
    <xf numFmtId="174" fontId="178" fillId="0" borderId="0" xfId="4665" applyNumberFormat="1" applyFont="1" applyBorder="1" applyAlignment="1">
      <alignment horizontal="center" vertical="center" wrapText="1"/>
    </xf>
    <xf numFmtId="174" fontId="178" fillId="0" borderId="0" xfId="190" applyNumberFormat="1" applyFont="1" applyBorder="1" applyAlignment="1">
      <alignment vertical="center" wrapText="1"/>
    </xf>
    <xf numFmtId="41" fontId="31" fillId="77" borderId="4" xfId="1" applyNumberFormat="1" applyFont="1" applyFill="1" applyBorder="1" applyAlignment="1" applyProtection="1">
      <protection locked="0"/>
    </xf>
    <xf numFmtId="41" fontId="31" fillId="0" borderId="0" xfId="1" applyNumberFormat="1" applyFont="1" applyFill="1" applyAlignment="1" applyProtection="1">
      <protection locked="0"/>
    </xf>
    <xf numFmtId="41" fontId="31" fillId="0" borderId="4" xfId="1" applyNumberFormat="1" applyFont="1" applyFill="1" applyBorder="1" applyAlignment="1" applyProtection="1">
      <protection locked="0"/>
    </xf>
    <xf numFmtId="310" fontId="31" fillId="0" borderId="0" xfId="1" applyNumberFormat="1" applyFont="1" applyFill="1" applyAlignment="1" applyProtection="1">
      <protection locked="0"/>
    </xf>
    <xf numFmtId="172" fontId="31" fillId="0" borderId="47" xfId="4667" applyNumberFormat="1" applyFont="1" applyFill="1" applyBorder="1" applyAlignment="1"/>
    <xf numFmtId="174" fontId="31" fillId="0" borderId="4" xfId="4665" applyNumberFormat="1" applyFont="1" applyFill="1" applyBorder="1" applyAlignment="1"/>
    <xf numFmtId="41" fontId="166" fillId="3" borderId="0" xfId="1" applyNumberFormat="1" applyFont="1" applyFill="1" applyBorder="1" applyAlignment="1" applyProtection="1">
      <protection locked="0"/>
    </xf>
    <xf numFmtId="3" fontId="31" fillId="0" borderId="0" xfId="0" quotePrefix="1" applyNumberFormat="1" applyFont="1" applyProtection="1"/>
    <xf numFmtId="0" fontId="31" fillId="0" borderId="0" xfId="4" quotePrefix="1" applyFont="1"/>
    <xf numFmtId="172" fontId="180" fillId="0" borderId="0" xfId="0" applyFont="1"/>
    <xf numFmtId="0" fontId="31" fillId="0" borderId="0" xfId="0" applyNumberFormat="1" applyFont="1" applyAlignment="1" applyProtection="1">
      <alignment horizontal="center" vertical="top" wrapText="1"/>
      <protection locked="0"/>
    </xf>
    <xf numFmtId="172" fontId="31" fillId="0" borderId="47" xfId="0" applyFont="1" applyBorder="1"/>
    <xf numFmtId="173" fontId="31" fillId="0" borderId="17" xfId="0" applyNumberFormat="1" applyFont="1" applyBorder="1"/>
    <xf numFmtId="174" fontId="31" fillId="0" borderId="0" xfId="190" applyNumberFormat="1" applyFont="1" applyBorder="1"/>
    <xf numFmtId="174" fontId="31" fillId="0" borderId="0" xfId="190" applyNumberFormat="1" applyFont="1" applyBorder="1" applyAlignment="1">
      <alignment horizontal="right"/>
    </xf>
    <xf numFmtId="271" fontId="31" fillId="0" borderId="0" xfId="190" applyNumberFormat="1" applyFont="1" applyBorder="1"/>
    <xf numFmtId="174" fontId="31" fillId="0" borderId="15" xfId="190" applyNumberFormat="1" applyFont="1" applyBorder="1"/>
    <xf numFmtId="41" fontId="31" fillId="0" borderId="0" xfId="4598" applyNumberFormat="1" applyFont="1"/>
    <xf numFmtId="0" fontId="123" fillId="0" borderId="49" xfId="4598" applyFont="1" applyBorder="1"/>
    <xf numFmtId="0" fontId="123" fillId="0" borderId="17" xfId="4598" applyFont="1" applyBorder="1"/>
    <xf numFmtId="0" fontId="31" fillId="0" borderId="0" xfId="4598" applyFont="1" applyAlignment="1">
      <alignment horizontal="center" wrapText="1"/>
    </xf>
    <xf numFmtId="49" fontId="123" fillId="0" borderId="0" xfId="4" applyNumberFormat="1" applyFont="1" applyAlignment="1">
      <alignment horizontal="center"/>
    </xf>
    <xf numFmtId="0" fontId="123"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174" fontId="178" fillId="0" borderId="0" xfId="4692" applyNumberFormat="1" applyFont="1" applyFill="1" applyBorder="1" applyAlignment="1">
      <alignment horizontal="right" vertical="center" wrapText="1"/>
    </xf>
    <xf numFmtId="44" fontId="31"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1" fillId="3" borderId="0" xfId="0" applyNumberFormat="1" applyFont="1" applyFill="1" applyProtection="1"/>
    <xf numFmtId="174" fontId="194" fillId="0" borderId="4" xfId="4690" applyNumberFormat="1" applyFont="1" applyBorder="1"/>
    <xf numFmtId="0" fontId="31" fillId="0" borderId="0" xfId="4" applyFont="1" applyAlignment="1">
      <alignment horizontal="left"/>
    </xf>
    <xf numFmtId="9" fontId="166" fillId="3" borderId="0" xfId="4666" applyFont="1" applyFill="1" applyAlignment="1"/>
    <xf numFmtId="0" fontId="157" fillId="0" borderId="0" xfId="4476" applyFont="1" applyAlignment="1">
      <alignment horizontal="center"/>
    </xf>
    <xf numFmtId="14" fontId="166" fillId="80" borderId="0" xfId="0" applyNumberFormat="1" applyFont="1" applyFill="1" applyProtection="1">
      <protection locked="0"/>
    </xf>
    <xf numFmtId="173" fontId="166" fillId="80" borderId="0" xfId="1" applyNumberFormat="1" applyFont="1" applyFill="1" applyAlignment="1" applyProtection="1">
      <protection locked="0"/>
    </xf>
    <xf numFmtId="0" fontId="166" fillId="80" borderId="0" xfId="4" applyFont="1" applyFill="1"/>
    <xf numFmtId="173" fontId="31" fillId="0" borderId="4" xfId="1" applyNumberFormat="1" applyFont="1" applyBorder="1"/>
    <xf numFmtId="173" fontId="31" fillId="0" borderId="17" xfId="1" applyNumberFormat="1" applyFont="1" applyBorder="1"/>
    <xf numFmtId="14" fontId="166" fillId="80" borderId="0" xfId="0" applyNumberFormat="1" applyFont="1" applyFill="1" applyAlignment="1" applyProtection="1">
      <alignment horizontal="center"/>
      <protection locked="0"/>
    </xf>
    <xf numFmtId="174" fontId="166" fillId="80" borderId="0" xfId="4665" applyNumberFormat="1" applyFont="1" applyFill="1" applyAlignment="1" applyProtection="1">
      <protection locked="0"/>
    </xf>
    <xf numFmtId="173" fontId="31" fillId="0" borderId="47" xfId="1" applyNumberFormat="1" applyFont="1" applyBorder="1"/>
    <xf numFmtId="173" fontId="31" fillId="0" borderId="0" xfId="1" applyNumberFormat="1" applyFont="1" applyFill="1" applyAlignment="1" applyProtection="1">
      <protection locked="0"/>
    </xf>
    <xf numFmtId="174" fontId="31" fillId="0" borderId="0" xfId="4665" applyNumberFormat="1" applyFont="1" applyFill="1" applyAlignment="1" applyProtection="1">
      <protection locked="0"/>
    </xf>
    <xf numFmtId="173" fontId="31" fillId="0" borderId="17" xfId="1" applyNumberFormat="1" applyFont="1" applyFill="1" applyBorder="1"/>
    <xf numFmtId="174" fontId="31" fillId="0" borderId="17" xfId="190" applyNumberFormat="1" applyFont="1" applyFill="1" applyBorder="1" applyAlignment="1"/>
    <xf numFmtId="14" fontId="31" fillId="0" borderId="0" xfId="0" applyNumberFormat="1" applyFont="1" applyAlignment="1" applyProtection="1">
      <alignment horizontal="center"/>
      <protection locked="0"/>
    </xf>
    <xf numFmtId="271" fontId="31" fillId="0" borderId="0" xfId="4665" applyNumberFormat="1" applyFont="1" applyFill="1" applyAlignment="1" applyProtection="1">
      <protection locked="0"/>
    </xf>
    <xf numFmtId="305" fontId="31" fillId="0" borderId="0" xfId="4665" applyNumberFormat="1" applyFont="1" applyFill="1" applyAlignment="1" applyProtection="1">
      <protection locked="0"/>
    </xf>
    <xf numFmtId="174" fontId="31" fillId="0" borderId="14" xfId="190" applyNumberFormat="1" applyFont="1" applyFill="1" applyBorder="1"/>
    <xf numFmtId="0" fontId="31"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6" fillId="3" borderId="0" xfId="190" applyNumberFormat="1" applyFont="1" applyFill="1" applyAlignment="1"/>
    <xf numFmtId="172" fontId="123" fillId="0" borderId="17" xfId="0" applyFont="1" applyBorder="1" applyAlignment="1">
      <alignment horizontal="center"/>
    </xf>
    <xf numFmtId="174" fontId="31" fillId="74" borderId="1" xfId="4665" applyNumberFormat="1" applyFont="1" applyFill="1" applyBorder="1" applyAlignment="1"/>
    <xf numFmtId="173" fontId="31" fillId="0" borderId="0" xfId="1" applyNumberFormat="1" applyFont="1" applyBorder="1"/>
    <xf numFmtId="10" fontId="31" fillId="0" borderId="0" xfId="3" applyNumberFormat="1" applyFont="1" applyFill="1" applyBorder="1" applyAlignment="1">
      <alignment horizontal="center"/>
    </xf>
    <xf numFmtId="3" fontId="31" fillId="3" borderId="0" xfId="0" applyNumberFormat="1" applyFont="1" applyFill="1" applyProtection="1"/>
    <xf numFmtId="10" fontId="31" fillId="0" borderId="53" xfId="4352" quotePrefix="1" applyNumberFormat="1" applyFont="1" applyBorder="1" applyAlignment="1">
      <alignment horizontal="center"/>
    </xf>
    <xf numFmtId="172" fontId="31" fillId="0" borderId="38" xfId="4667" applyNumberFormat="1" applyFont="1" applyFill="1" applyBorder="1" applyAlignment="1"/>
    <xf numFmtId="41" fontId="166" fillId="3" borderId="38" xfId="1" applyNumberFormat="1" applyFont="1" applyFill="1" applyBorder="1" applyAlignment="1" applyProtection="1">
      <protection locked="0"/>
    </xf>
    <xf numFmtId="42" fontId="31" fillId="0" borderId="37" xfId="190" applyNumberFormat="1" applyFont="1" applyBorder="1" applyAlignment="1"/>
    <xf numFmtId="172" fontId="31" fillId="79" borderId="38" xfId="4667" applyNumberFormat="1" applyFont="1" applyFill="1" applyBorder="1" applyAlignment="1"/>
    <xf numFmtId="172" fontId="31" fillId="79" borderId="0" xfId="4667" applyNumberFormat="1" applyFont="1" applyFill="1" applyBorder="1" applyAlignment="1"/>
    <xf numFmtId="42" fontId="31" fillId="0" borderId="37" xfId="4667" applyNumberFormat="1" applyFont="1" applyBorder="1" applyAlignment="1"/>
    <xf numFmtId="174" fontId="31" fillId="0" borderId="47" xfId="4665" applyNumberFormat="1" applyFont="1" applyFill="1" applyBorder="1" applyAlignment="1"/>
    <xf numFmtId="42" fontId="31" fillId="0" borderId="52" xfId="4667" applyNumberFormat="1" applyFont="1" applyBorder="1" applyAlignment="1"/>
    <xf numFmtId="42" fontId="31" fillId="0" borderId="3" xfId="4667" applyNumberFormat="1" applyFont="1" applyBorder="1" applyAlignment="1"/>
    <xf numFmtId="173" fontId="31" fillId="0" borderId="3" xfId="1" applyNumberFormat="1" applyFont="1" applyFill="1" applyBorder="1" applyAlignment="1"/>
    <xf numFmtId="172" fontId="31" fillId="0" borderId="3" xfId="4667" applyNumberFormat="1" applyFont="1" applyBorder="1" applyAlignment="1"/>
    <xf numFmtId="173" fontId="31" fillId="0" borderId="53" xfId="1" applyNumberFormat="1" applyFont="1" applyFill="1" applyBorder="1" applyAlignment="1"/>
    <xf numFmtId="170" fontId="31" fillId="0" borderId="37" xfId="4667" applyNumberFormat="1" applyFont="1" applyBorder="1" applyAlignment="1"/>
    <xf numFmtId="174" fontId="31" fillId="0" borderId="0" xfId="4665" applyNumberFormat="1" applyFont="1" applyBorder="1" applyAlignment="1"/>
    <xf numFmtId="237" fontId="31" fillId="0" borderId="0" xfId="4666" applyNumberFormat="1" applyFont="1" applyBorder="1" applyAlignment="1"/>
    <xf numFmtId="174" fontId="31" fillId="0" borderId="38" xfId="4665" applyNumberFormat="1" applyFont="1" applyBorder="1" applyAlignment="1"/>
    <xf numFmtId="172" fontId="31" fillId="79" borderId="37" xfId="4667" applyNumberFormat="1" applyFont="1" applyFill="1" applyBorder="1" applyAlignment="1"/>
    <xf numFmtId="174" fontId="31" fillId="0" borderId="51" xfId="4665" applyNumberFormat="1" applyFont="1" applyBorder="1" applyAlignment="1"/>
    <xf numFmtId="174" fontId="31" fillId="0" borderId="47" xfId="4665" applyNumberFormat="1" applyFont="1" applyBorder="1" applyAlignment="1"/>
    <xf numFmtId="172" fontId="31" fillId="0" borderId="53" xfId="4667" applyNumberFormat="1" applyFont="1" applyBorder="1" applyAlignment="1"/>
    <xf numFmtId="174" fontId="31"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305" fontId="166" fillId="0" borderId="0" xfId="4665" applyNumberFormat="1" applyFont="1" applyFill="1" applyAlignment="1" applyProtection="1">
      <protection locked="0"/>
    </xf>
    <xf numFmtId="164" fontId="31" fillId="0" borderId="0" xfId="4597" applyNumberFormat="1" applyFont="1" applyAlignment="1">
      <alignment horizontal="left"/>
    </xf>
    <xf numFmtId="0" fontId="123" fillId="0" borderId="0" xfId="0" applyNumberFormat="1" applyFont="1"/>
    <xf numFmtId="44" fontId="31" fillId="0" borderId="3" xfId="4" applyNumberFormat="1" applyFont="1" applyBorder="1" applyAlignment="1">
      <alignment horizontal="center"/>
    </xf>
    <xf numFmtId="43" fontId="31" fillId="0" borderId="0" xfId="4665" applyFont="1" applyFill="1"/>
    <xf numFmtId="43" fontId="31" fillId="0" borderId="0" xfId="4665" applyFont="1" applyFill="1" applyAlignment="1">
      <alignment horizontal="right"/>
    </xf>
    <xf numFmtId="10" fontId="31" fillId="0" borderId="4" xfId="4665" applyNumberFormat="1" applyFont="1" applyFill="1" applyBorder="1" applyAlignment="1">
      <alignment horizontal="center"/>
    </xf>
    <xf numFmtId="10" fontId="31"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305" fontId="178" fillId="0" borderId="0" xfId="4665" applyNumberFormat="1" applyFont="1" applyFill="1" applyBorder="1" applyAlignment="1">
      <alignment horizontal="center" vertical="center" wrapText="1"/>
    </xf>
    <xf numFmtId="174" fontId="178" fillId="0" borderId="0" xfId="4665" applyNumberFormat="1" applyFont="1" applyFill="1" applyBorder="1" applyAlignment="1">
      <alignment horizontal="center" vertical="center" wrapText="1"/>
    </xf>
    <xf numFmtId="41" fontId="31" fillId="3" borderId="0" xfId="4598" applyNumberFormat="1" applyFont="1" applyFill="1"/>
    <xf numFmtId="174" fontId="31" fillId="3" borderId="0" xfId="4665" applyNumberFormat="1" applyFont="1" applyFill="1" applyAlignment="1"/>
    <xf numFmtId="3" fontId="166" fillId="3" borderId="0" xfId="0" applyNumberFormat="1" applyFont="1" applyFill="1" applyProtection="1">
      <protection locked="0"/>
    </xf>
    <xf numFmtId="311" fontId="31" fillId="0" borderId="0" xfId="4667" applyNumberFormat="1" applyFont="1" applyFill="1" applyAlignment="1">
      <alignment horizontal="center" vertical="center"/>
    </xf>
    <xf numFmtId="311" fontId="31" fillId="0" borderId="0" xfId="4667" applyNumberFormat="1" applyFont="1" applyFill="1" applyBorder="1" applyAlignment="1">
      <alignment horizontal="center"/>
    </xf>
    <xf numFmtId="311" fontId="31" fillId="0" borderId="37" xfId="4667" applyNumberFormat="1" applyFont="1" applyFill="1" applyBorder="1" applyAlignment="1">
      <alignment horizontal="center"/>
    </xf>
    <xf numFmtId="311" fontId="31" fillId="0" borderId="38" xfId="4667" applyNumberFormat="1" applyFont="1" applyFill="1" applyBorder="1" applyAlignment="1">
      <alignment horizontal="center"/>
    </xf>
    <xf numFmtId="0" fontId="31" fillId="0" borderId="0" xfId="4667" applyNumberFormat="1" applyFont="1" applyFill="1" applyBorder="1" applyAlignment="1">
      <alignment horizontal="center"/>
    </xf>
    <xf numFmtId="0" fontId="31" fillId="0" borderId="38" xfId="4667" applyNumberFormat="1" applyFont="1" applyFill="1" applyBorder="1" applyAlignment="1">
      <alignment horizontal="center"/>
    </xf>
    <xf numFmtId="0" fontId="31"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6" fillId="3" borderId="0" xfId="1" applyNumberFormat="1" applyFont="1" applyFill="1"/>
    <xf numFmtId="192" fontId="186" fillId="3" borderId="0" xfId="0" applyNumberFormat="1" applyFont="1" applyFill="1" applyAlignment="1">
      <alignment horizontal="center"/>
    </xf>
    <xf numFmtId="0" fontId="31" fillId="0" borderId="4" xfId="4671" applyFont="1" applyBorder="1" applyAlignment="1">
      <alignment horizontal="left"/>
    </xf>
    <xf numFmtId="164" fontId="196" fillId="0" borderId="0" xfId="4597" applyNumberFormat="1" applyFont="1" applyAlignment="1">
      <alignment horizontal="left"/>
    </xf>
    <xf numFmtId="43" fontId="166" fillId="2" borderId="0" xfId="4665" applyFont="1" applyFill="1" applyAlignment="1" applyProtection="1">
      <protection locked="0"/>
    </xf>
    <xf numFmtId="43" fontId="31" fillId="2" borderId="0" xfId="4665" applyFont="1" applyFill="1"/>
    <xf numFmtId="0" fontId="166" fillId="0" borderId="0" xfId="4" applyFont="1"/>
    <xf numFmtId="14" fontId="31" fillId="0" borderId="0" xfId="0" applyNumberFormat="1" applyFont="1"/>
    <xf numFmtId="0" fontId="2" fillId="0" borderId="0" xfId="4695"/>
    <xf numFmtId="0" fontId="197" fillId="0" borderId="0" xfId="4695" applyFont="1"/>
    <xf numFmtId="0" fontId="194" fillId="0" borderId="0" xfId="4" applyFont="1" applyAlignment="1">
      <alignment horizontal="center"/>
    </xf>
    <xf numFmtId="0" fontId="194" fillId="0" borderId="0" xfId="4" applyFont="1"/>
    <xf numFmtId="164" fontId="194" fillId="0" borderId="0" xfId="4696" applyNumberFormat="1" applyFont="1" applyFill="1" applyAlignment="1"/>
    <xf numFmtId="172" fontId="178" fillId="0" borderId="0" xfId="4695" applyNumberFormat="1" applyFont="1"/>
    <xf numFmtId="164" fontId="194" fillId="0" borderId="0" xfId="4696" applyNumberFormat="1" applyFont="1" applyFill="1" applyAlignment="1">
      <alignment horizontal="center"/>
    </xf>
    <xf numFmtId="172" fontId="178" fillId="0" borderId="0" xfId="4695" applyNumberFormat="1" applyFont="1" applyAlignment="1">
      <alignment horizontal="center"/>
    </xf>
    <xf numFmtId="172" fontId="194" fillId="0" borderId="0" xfId="4695" applyNumberFormat="1" applyFont="1" applyAlignment="1">
      <alignment horizontal="center"/>
    </xf>
    <xf numFmtId="192" fontId="194" fillId="3" borderId="0" xfId="4695" applyNumberFormat="1" applyFont="1" applyFill="1" applyAlignment="1">
      <alignment horizontal="center"/>
    </xf>
    <xf numFmtId="192" fontId="194" fillId="3" borderId="0" xfId="4695" quotePrefix="1" applyNumberFormat="1" applyFont="1" applyFill="1" applyAlignment="1">
      <alignment horizontal="center"/>
    </xf>
    <xf numFmtId="172" fontId="194" fillId="0" borderId="0" xfId="4695" applyNumberFormat="1" applyFont="1" applyAlignment="1">
      <alignment horizontal="right"/>
    </xf>
    <xf numFmtId="164" fontId="178" fillId="0" borderId="0" xfId="4696" applyNumberFormat="1" applyFont="1" applyAlignment="1">
      <alignment horizontal="center"/>
    </xf>
    <xf numFmtId="192" fontId="194" fillId="0" borderId="0" xfId="4695" applyNumberFormat="1" applyFont="1" applyAlignment="1">
      <alignment horizontal="center"/>
    </xf>
    <xf numFmtId="192" fontId="194" fillId="0" borderId="0" xfId="4695" quotePrefix="1" applyNumberFormat="1" applyFont="1" applyAlignment="1">
      <alignment horizontal="center"/>
    </xf>
    <xf numFmtId="0" fontId="194" fillId="0" borderId="1" xfId="4" applyFont="1" applyBorder="1" applyAlignment="1">
      <alignment horizontal="center"/>
    </xf>
    <xf numFmtId="3" fontId="178" fillId="0" borderId="1" xfId="4695" applyNumberFormat="1" applyFont="1" applyBorder="1" applyAlignment="1">
      <alignment horizontal="center"/>
    </xf>
    <xf numFmtId="172" fontId="194" fillId="0" borderId="0" xfId="4695" applyNumberFormat="1" applyFont="1"/>
    <xf numFmtId="164" fontId="194" fillId="0" borderId="0" xfId="4696" applyNumberFormat="1" applyFont="1" applyFill="1"/>
    <xf numFmtId="172" fontId="194" fillId="0" borderId="17" xfId="4695" applyNumberFormat="1" applyFont="1" applyBorder="1"/>
    <xf numFmtId="172" fontId="194" fillId="0" borderId="17" xfId="4695" applyNumberFormat="1" applyFont="1" applyBorder="1" applyAlignment="1">
      <alignment horizontal="center" wrapText="1"/>
    </xf>
    <xf numFmtId="172" fontId="194" fillId="0" borderId="0" xfId="4695" applyNumberFormat="1" applyFont="1" applyAlignment="1">
      <alignment horizontal="center" wrapText="1"/>
    </xf>
    <xf numFmtId="0" fontId="178" fillId="0" borderId="0" xfId="4" applyFont="1" applyAlignment="1">
      <alignment horizontal="center"/>
    </xf>
    <xf numFmtId="3" fontId="178" fillId="0" borderId="0" xfId="4695" applyNumberFormat="1" applyFont="1"/>
    <xf numFmtId="3" fontId="178" fillId="3" borderId="0" xfId="4695" quotePrefix="1" applyNumberFormat="1" applyFont="1" applyFill="1" applyAlignment="1">
      <alignment horizontal="right"/>
    </xf>
    <xf numFmtId="174" fontId="178" fillId="3" borderId="0" xfId="4697" applyNumberFormat="1" applyFont="1" applyFill="1" applyAlignment="1"/>
    <xf numFmtId="3" fontId="178" fillId="0" borderId="0" xfId="4695" applyNumberFormat="1" applyFont="1" applyAlignment="1">
      <alignment horizontal="center"/>
    </xf>
    <xf numFmtId="164" fontId="178" fillId="0" borderId="0" xfId="4696" applyNumberFormat="1" applyFont="1" applyFill="1" applyBorder="1" applyAlignment="1">
      <alignment horizontal="center"/>
    </xf>
    <xf numFmtId="174" fontId="178" fillId="0" borderId="0" xfId="4697" applyNumberFormat="1" applyFont="1" applyFill="1" applyBorder="1" applyAlignment="1"/>
    <xf numFmtId="3" fontId="178" fillId="0" borderId="0" xfId="4698" applyNumberFormat="1" applyFont="1"/>
    <xf numFmtId="3" fontId="178" fillId="3" borderId="0" xfId="4695" applyNumberFormat="1" applyFont="1" applyFill="1"/>
    <xf numFmtId="3" fontId="199" fillId="3" borderId="0" xfId="4695" applyNumberFormat="1" applyFont="1" applyFill="1"/>
    <xf numFmtId="174" fontId="178" fillId="3" borderId="3" xfId="4697" applyNumberFormat="1" applyFont="1" applyFill="1" applyBorder="1" applyAlignment="1">
      <alignment horizontal="center"/>
    </xf>
    <xf numFmtId="164" fontId="178" fillId="3" borderId="3" xfId="4696" applyNumberFormat="1" applyFont="1" applyFill="1" applyBorder="1" applyAlignment="1">
      <alignment horizontal="center"/>
    </xf>
    <xf numFmtId="3" fontId="194" fillId="0" borderId="0" xfId="4695" applyNumberFormat="1" applyFont="1"/>
    <xf numFmtId="174" fontId="194" fillId="0" borderId="4" xfId="4697" applyNumberFormat="1" applyFont="1" applyFill="1" applyBorder="1" applyAlignment="1"/>
    <xf numFmtId="174" fontId="194" fillId="0" borderId="0" xfId="4697" applyNumberFormat="1" applyFont="1" applyFill="1" applyBorder="1" applyAlignment="1">
      <alignment horizontal="center"/>
    </xf>
    <xf numFmtId="174" fontId="194" fillId="0" borderId="0" xfId="4697" applyNumberFormat="1" applyFont="1" applyFill="1" applyBorder="1" applyAlignment="1"/>
    <xf numFmtId="174" fontId="178" fillId="0" borderId="0" xfId="4697" applyNumberFormat="1" applyFont="1" applyFill="1" applyBorder="1" applyAlignment="1">
      <alignment horizontal="center"/>
    </xf>
    <xf numFmtId="3" fontId="178" fillId="3" borderId="0" xfId="4695" applyNumberFormat="1" applyFont="1" applyFill="1" applyAlignment="1">
      <alignment horizontal="right"/>
    </xf>
    <xf numFmtId="3" fontId="178" fillId="3" borderId="3" xfId="4695" applyNumberFormat="1" applyFont="1" applyFill="1" applyBorder="1" applyAlignment="1">
      <alignment horizontal="right"/>
    </xf>
    <xf numFmtId="174" fontId="178" fillId="3" borderId="3" xfId="4697" applyNumberFormat="1" applyFont="1" applyFill="1" applyBorder="1" applyAlignment="1"/>
    <xf numFmtId="174" fontId="178" fillId="0" borderId="3" xfId="4697" applyNumberFormat="1" applyFont="1" applyFill="1" applyBorder="1" applyAlignment="1"/>
    <xf numFmtId="174" fontId="178" fillId="3" borderId="0" xfId="4697" applyNumberFormat="1" applyFont="1" applyFill="1" applyBorder="1" applyAlignment="1">
      <alignment horizontal="center"/>
    </xf>
    <xf numFmtId="3" fontId="194" fillId="0" borderId="0" xfId="4695" applyNumberFormat="1" applyFont="1" applyAlignment="1">
      <alignment wrapText="1"/>
    </xf>
    <xf numFmtId="43" fontId="200" fillId="0" borderId="0" xfId="4697" applyFont="1" applyFill="1" applyBorder="1" applyAlignment="1">
      <alignment horizontal="left"/>
    </xf>
    <xf numFmtId="174" fontId="194" fillId="0" borderId="3" xfId="4697" applyNumberFormat="1" applyFont="1" applyFill="1" applyBorder="1" applyAlignment="1"/>
    <xf numFmtId="43" fontId="200" fillId="0" borderId="3" xfId="4697" applyFont="1" applyFill="1" applyBorder="1" applyAlignment="1">
      <alignment horizontal="left"/>
    </xf>
    <xf numFmtId="172" fontId="201" fillId="0" borderId="0" xfId="0" applyFont="1"/>
    <xf numFmtId="164" fontId="194" fillId="0" borderId="0" xfId="4666" applyNumberFormat="1" applyFont="1" applyFill="1" applyBorder="1" applyAlignment="1">
      <alignment horizontal="center"/>
    </xf>
    <xf numFmtId="0" fontId="202" fillId="0" borderId="0" xfId="4" applyFont="1" applyAlignment="1">
      <alignment horizontal="center"/>
    </xf>
    <xf numFmtId="0" fontId="178" fillId="0" borderId="0" xfId="4" applyFont="1" applyAlignment="1">
      <alignment horizontal="center" vertical="top"/>
    </xf>
    <xf numFmtId="0" fontId="204" fillId="0" borderId="0" xfId="4695" applyFont="1" applyAlignment="1">
      <alignment wrapText="1"/>
    </xf>
    <xf numFmtId="0" fontId="2" fillId="0" borderId="0" xfId="4695" applyAlignment="1">
      <alignment wrapText="1"/>
    </xf>
    <xf numFmtId="0" fontId="2" fillId="0" borderId="0" xfId="4695" applyAlignment="1">
      <alignment vertical="top" wrapText="1"/>
    </xf>
    <xf numFmtId="0" fontId="178" fillId="0" borderId="0" xfId="4698" applyFont="1" applyAlignment="1">
      <alignment horizontal="left" vertical="top"/>
    </xf>
    <xf numFmtId="0" fontId="178" fillId="0" borderId="0" xfId="4698" applyFont="1" applyAlignment="1">
      <alignment horizontal="center" vertical="top"/>
    </xf>
    <xf numFmtId="0" fontId="178" fillId="0" borderId="0" xfId="4698" applyFont="1" applyAlignment="1">
      <alignment vertical="top" wrapText="1"/>
    </xf>
    <xf numFmtId="0" fontId="194" fillId="0" borderId="0" xfId="4698" applyFont="1" applyAlignment="1">
      <alignment vertical="top" wrapText="1"/>
    </xf>
    <xf numFmtId="49" fontId="178" fillId="3" borderId="0" xfId="4697" quotePrefix="1" applyNumberFormat="1" applyFont="1" applyFill="1" applyAlignment="1">
      <alignment horizontal="center"/>
    </xf>
    <xf numFmtId="174" fontId="178" fillId="3" borderId="0" xfId="4697" applyNumberFormat="1" applyFont="1" applyFill="1" applyAlignment="1">
      <alignment horizontal="center"/>
    </xf>
    <xf numFmtId="0" fontId="178" fillId="0" borderId="0" xfId="4698" applyFont="1" applyAlignment="1">
      <alignment horizontal="center" wrapText="1"/>
    </xf>
    <xf numFmtId="0" fontId="178" fillId="0" borderId="0" xfId="4698" applyFont="1" applyAlignment="1">
      <alignment wrapText="1"/>
    </xf>
    <xf numFmtId="0" fontId="178" fillId="0" borderId="0" xfId="4698" applyFont="1" applyAlignment="1">
      <alignment horizontal="left" wrapText="1"/>
    </xf>
    <xf numFmtId="10" fontId="178" fillId="3" borderId="0" xfId="4698" applyNumberFormat="1" applyFont="1" applyFill="1" applyAlignment="1">
      <alignment horizontal="center" vertical="top" shrinkToFit="1"/>
    </xf>
    <xf numFmtId="10" fontId="178" fillId="3" borderId="0" xfId="4696" applyNumberFormat="1" applyFont="1" applyFill="1" applyAlignment="1">
      <alignment horizontal="center" vertical="top"/>
    </xf>
    <xf numFmtId="0" fontId="194" fillId="0" borderId="0" xfId="4698" applyFont="1" applyAlignment="1">
      <alignment horizontal="center" vertical="center" wrapText="1"/>
    </xf>
    <xf numFmtId="0" fontId="178" fillId="0" borderId="0" xfId="4698" applyFont="1" applyAlignment="1">
      <alignment vertical="center" wrapText="1"/>
    </xf>
    <xf numFmtId="0" fontId="194" fillId="0" borderId="59" xfId="4698" applyFont="1" applyBorder="1" applyAlignment="1">
      <alignment horizontal="center" vertical="center" wrapText="1"/>
    </xf>
    <xf numFmtId="0" fontId="178" fillId="0" borderId="61" xfId="4698" applyFont="1" applyBorder="1" applyAlignment="1">
      <alignment vertical="center" wrapText="1"/>
    </xf>
    <xf numFmtId="0" fontId="194" fillId="0" borderId="35" xfId="4698" quotePrefix="1" applyFont="1" applyBorder="1" applyAlignment="1">
      <alignment horizontal="center" vertical="center" wrapText="1"/>
    </xf>
    <xf numFmtId="0" fontId="194" fillId="0" borderId="35" xfId="4698" quotePrefix="1" applyFont="1" applyBorder="1" applyAlignment="1">
      <alignment horizontal="center" vertical="center"/>
    </xf>
    <xf numFmtId="0" fontId="205" fillId="0" borderId="0" xfId="4698" applyFont="1" applyAlignment="1">
      <alignment vertical="top" wrapText="1"/>
    </xf>
    <xf numFmtId="0" fontId="194" fillId="0" borderId="62" xfId="4698" applyFont="1" applyBorder="1" applyAlignment="1">
      <alignment horizontal="center" vertical="center" wrapText="1"/>
    </xf>
    <xf numFmtId="0" fontId="194" fillId="0" borderId="35" xfId="4698" applyFont="1" applyBorder="1" applyAlignment="1">
      <alignment horizontal="center" vertical="center" wrapText="1"/>
    </xf>
    <xf numFmtId="0" fontId="178" fillId="0" borderId="0" xfId="4698" applyFont="1" applyAlignment="1">
      <alignment horizontal="left" vertical="center"/>
    </xf>
    <xf numFmtId="1" fontId="194" fillId="0" borderId="0" xfId="4698" applyNumberFormat="1" applyFont="1" applyAlignment="1">
      <alignment horizontal="center" vertical="top" shrinkToFit="1"/>
    </xf>
    <xf numFmtId="0" fontId="206" fillId="0" borderId="0" xfId="4698" applyFont="1" applyAlignment="1">
      <alignment vertical="top" wrapText="1"/>
    </xf>
    <xf numFmtId="0" fontId="178" fillId="0" borderId="63" xfId="4698" applyFont="1" applyBorder="1" applyAlignment="1">
      <alignment horizontal="left" wrapText="1"/>
    </xf>
    <xf numFmtId="174" fontId="178" fillId="3" borderId="0" xfId="4697" applyNumberFormat="1" applyFont="1" applyFill="1" applyAlignment="1">
      <alignment vertical="top" shrinkToFit="1"/>
    </xf>
    <xf numFmtId="174" fontId="178" fillId="0" borderId="0" xfId="4697" applyNumberFormat="1" applyFont="1" applyAlignment="1">
      <alignment vertical="top" shrinkToFit="1"/>
    </xf>
    <xf numFmtId="174" fontId="178" fillId="0" borderId="0" xfId="4697" applyNumberFormat="1" applyFont="1" applyAlignment="1">
      <alignment horizontal="left" vertical="top"/>
    </xf>
    <xf numFmtId="174" fontId="178" fillId="0" borderId="0" xfId="4698" applyNumberFormat="1" applyFont="1" applyAlignment="1">
      <alignment horizontal="left" vertical="top"/>
    </xf>
    <xf numFmtId="43" fontId="178" fillId="0" borderId="0" xfId="4697" applyFont="1" applyAlignment="1">
      <alignment horizontal="left" vertical="top"/>
    </xf>
    <xf numFmtId="174" fontId="178" fillId="3" borderId="0" xfId="4697" applyNumberFormat="1" applyFont="1" applyFill="1" applyBorder="1" applyAlignment="1">
      <alignment vertical="top" shrinkToFit="1"/>
    </xf>
    <xf numFmtId="174" fontId="178" fillId="0" borderId="0" xfId="4697" applyNumberFormat="1" applyFont="1" applyBorder="1" applyAlignment="1">
      <alignment vertical="top" shrinkToFit="1"/>
    </xf>
    <xf numFmtId="10" fontId="207" fillId="0" borderId="0" xfId="4696" applyNumberFormat="1" applyFont="1" applyFill="1" applyAlignment="1">
      <alignment horizontal="center" vertical="top"/>
    </xf>
    <xf numFmtId="43" fontId="178" fillId="0" borderId="0" xfId="4698" applyNumberFormat="1" applyFont="1" applyAlignment="1">
      <alignment horizontal="left" vertical="top"/>
    </xf>
    <xf numFmtId="174" fontId="178" fillId="3" borderId="3" xfId="4697" applyNumberFormat="1" applyFont="1" applyFill="1" applyBorder="1" applyAlignment="1">
      <alignment wrapText="1"/>
    </xf>
    <xf numFmtId="174" fontId="178" fillId="0" borderId="3" xfId="4697" applyNumberFormat="1" applyFont="1" applyBorder="1" applyAlignment="1">
      <alignment vertical="top" shrinkToFit="1"/>
    </xf>
    <xf numFmtId="174" fontId="178" fillId="0" borderId="3" xfId="4697" applyNumberFormat="1" applyFont="1" applyBorder="1" applyAlignment="1">
      <alignment horizontal="left" vertical="top"/>
    </xf>
    <xf numFmtId="174" fontId="178" fillId="0" borderId="3" xfId="4698" applyNumberFormat="1" applyFont="1" applyBorder="1" applyAlignment="1">
      <alignment horizontal="left" vertical="top"/>
    </xf>
    <xf numFmtId="0" fontId="178" fillId="0" borderId="0" xfId="4698" applyFont="1" applyAlignment="1">
      <alignment horizontal="left" vertical="center" wrapText="1"/>
    </xf>
    <xf numFmtId="174" fontId="178" fillId="0" borderId="0" xfId="4697" applyNumberFormat="1" applyFont="1" applyAlignment="1">
      <alignment vertical="center" wrapText="1"/>
    </xf>
    <xf numFmtId="0" fontId="208" fillId="0" borderId="0" xfId="4698" applyFont="1" applyAlignment="1">
      <alignment vertical="top" wrapText="1"/>
    </xf>
    <xf numFmtId="174" fontId="178" fillId="3" borderId="3" xfId="4697" applyNumberFormat="1" applyFont="1" applyFill="1" applyBorder="1" applyAlignment="1">
      <alignment vertical="top" shrinkToFit="1"/>
    </xf>
    <xf numFmtId="174" fontId="178" fillId="0" borderId="0" xfId="4697" applyNumberFormat="1" applyFont="1" applyBorder="1" applyAlignment="1">
      <alignment horizontal="left" vertical="top"/>
    </xf>
    <xf numFmtId="174" fontId="178" fillId="0" borderId="2" xfId="4697" applyNumberFormat="1" applyFont="1" applyBorder="1" applyAlignment="1">
      <alignment vertical="top" shrinkToFit="1"/>
    </xf>
    <xf numFmtId="0" fontId="194" fillId="0" borderId="0" xfId="4698" applyFont="1" applyAlignment="1">
      <alignment horizontal="left" vertical="top" wrapText="1"/>
    </xf>
    <xf numFmtId="1" fontId="194" fillId="0" borderId="0" xfId="4698" applyNumberFormat="1" applyFont="1" applyAlignment="1">
      <alignment horizontal="center" vertical="center" shrinkToFit="1"/>
    </xf>
    <xf numFmtId="0" fontId="206" fillId="0" borderId="0" xfId="4698" applyFont="1" applyAlignment="1">
      <alignment vertical="center" wrapText="1"/>
    </xf>
    <xf numFmtId="0" fontId="194" fillId="0" borderId="0" xfId="4698" applyFont="1" applyAlignment="1">
      <alignment vertical="center" wrapText="1"/>
    </xf>
    <xf numFmtId="174" fontId="178" fillId="0" borderId="0" xfId="4697" applyNumberFormat="1" applyFont="1" applyBorder="1" applyAlignment="1">
      <alignment vertical="center" wrapText="1"/>
    </xf>
    <xf numFmtId="174" fontId="178" fillId="0" borderId="0" xfId="4697" applyNumberFormat="1" applyFont="1" applyFill="1" applyAlignment="1">
      <alignment horizontal="left" vertical="top"/>
    </xf>
    <xf numFmtId="174" fontId="207" fillId="0" borderId="0" xfId="4698" applyNumberFormat="1" applyFont="1" applyAlignment="1">
      <alignment horizontal="left" vertical="top"/>
    </xf>
    <xf numFmtId="174" fontId="178" fillId="0" borderId="64" xfId="4697" applyNumberFormat="1" applyFont="1" applyBorder="1" applyAlignment="1">
      <alignment vertical="top" shrinkToFit="1"/>
    </xf>
    <xf numFmtId="174" fontId="178" fillId="0" borderId="61" xfId="4697" applyNumberFormat="1" applyFont="1" applyBorder="1" applyAlignment="1">
      <alignment vertical="top" shrinkToFit="1"/>
    </xf>
    <xf numFmtId="174" fontId="178" fillId="0" borderId="64" xfId="4697" applyNumberFormat="1" applyFont="1" applyFill="1" applyBorder="1" applyAlignment="1">
      <alignment vertical="top" shrinkToFit="1"/>
    </xf>
    <xf numFmtId="174" fontId="178" fillId="0" borderId="64" xfId="4697" applyNumberFormat="1" applyFont="1" applyBorder="1" applyAlignment="1">
      <alignment wrapText="1"/>
    </xf>
    <xf numFmtId="0" fontId="178" fillId="0" borderId="0" xfId="4695" applyFont="1"/>
    <xf numFmtId="39" fontId="178" fillId="0" borderId="0" xfId="4695" applyNumberFormat="1" applyFont="1"/>
    <xf numFmtId="0" fontId="178" fillId="0" borderId="0" xfId="4698" applyFont="1" applyAlignment="1">
      <alignment horizontal="center" vertical="top" wrapText="1"/>
    </xf>
    <xf numFmtId="43" fontId="207" fillId="0" borderId="0" xfId="4697" applyFont="1" applyAlignment="1">
      <alignment horizontal="left" vertical="top"/>
    </xf>
    <xf numFmtId="0" fontId="207" fillId="0" borderId="0" xfId="4698" applyFont="1" applyAlignment="1">
      <alignment horizontal="left" vertical="top"/>
    </xf>
    <xf numFmtId="174" fontId="178" fillId="3" borderId="0" xfId="4699" applyNumberFormat="1" applyFont="1" applyFill="1" applyAlignment="1"/>
    <xf numFmtId="9" fontId="31" fillId="0" borderId="0" xfId="4475" applyFont="1" applyFill="1"/>
    <xf numFmtId="10" fontId="31" fillId="77" borderId="0" xfId="1" applyNumberFormat="1" applyFont="1" applyFill="1" applyAlignment="1" applyProtection="1">
      <protection locked="0"/>
    </xf>
    <xf numFmtId="174" fontId="178" fillId="77" borderId="0" xfId="4692" applyNumberFormat="1" applyFont="1" applyFill="1" applyBorder="1" applyAlignment="1">
      <alignment vertical="center" wrapText="1"/>
    </xf>
    <xf numFmtId="164" fontId="178" fillId="77" borderId="0" xfId="4666" applyNumberFormat="1" applyFont="1" applyFill="1"/>
    <xf numFmtId="14" fontId="166" fillId="80" borderId="0" xfId="122" applyNumberFormat="1" applyFont="1" applyFill="1" applyProtection="1">
      <protection locked="0"/>
    </xf>
    <xf numFmtId="172" fontId="10" fillId="0" borderId="0" xfId="0" applyFont="1" applyAlignment="1">
      <alignment vertical="top" wrapText="1"/>
    </xf>
    <xf numFmtId="172" fontId="10" fillId="0" borderId="0" xfId="0" applyFont="1" applyAlignment="1">
      <alignment horizontal="left" vertical="top" wrapText="1"/>
    </xf>
    <xf numFmtId="172" fontId="174" fillId="0" borderId="0" xfId="0" applyFont="1" applyAlignment="1">
      <alignment horizontal="center"/>
    </xf>
    <xf numFmtId="172" fontId="31" fillId="0" borderId="0" xfId="0" applyFont="1" applyAlignment="1">
      <alignment horizontal="left" vertical="top" wrapText="1"/>
    </xf>
    <xf numFmtId="172" fontId="31" fillId="0" borderId="0" xfId="0" applyFont="1" applyAlignment="1">
      <alignment horizontal="left" wrapText="1"/>
    </xf>
    <xf numFmtId="0" fontId="31" fillId="0" borderId="0" xfId="0" applyNumberFormat="1" applyFont="1" applyAlignment="1" applyProtection="1">
      <alignment horizontal="right"/>
      <protection locked="0"/>
    </xf>
    <xf numFmtId="0" fontId="123" fillId="0" borderId="0" xfId="0" applyNumberFormat="1" applyFont="1" applyAlignment="1" applyProtection="1">
      <alignment horizontal="right"/>
      <protection locked="0"/>
    </xf>
    <xf numFmtId="0" fontId="31" fillId="0" borderId="0" xfId="0" applyNumberFormat="1" applyFont="1" applyAlignment="1" applyProtection="1">
      <alignment vertical="top" wrapText="1"/>
      <protection locked="0"/>
    </xf>
    <xf numFmtId="0" fontId="31" fillId="0" borderId="0" xfId="4597" applyNumberFormat="1" applyFont="1" applyAlignment="1" applyProtection="1">
      <alignment horizontal="left" vertical="top" wrapText="1"/>
      <protection locked="0"/>
    </xf>
    <xf numFmtId="0" fontId="31" fillId="0" borderId="0" xfId="0" applyNumberFormat="1" applyFont="1" applyAlignment="1" applyProtection="1">
      <alignment horizontal="left" vertical="top" wrapText="1"/>
      <protection locked="0"/>
    </xf>
    <xf numFmtId="0" fontId="31" fillId="0" borderId="0" xfId="4664" applyNumberFormat="1" applyFont="1" applyAlignment="1">
      <alignment horizontal="left" vertical="top" wrapText="1"/>
    </xf>
    <xf numFmtId="172" fontId="31" fillId="0" borderId="0" xfId="0" applyFont="1" applyAlignment="1">
      <alignment horizontal="left"/>
    </xf>
    <xf numFmtId="0" fontId="31" fillId="0" borderId="0" xfId="0" applyNumberFormat="1" applyFont="1" applyAlignment="1" applyProtection="1">
      <alignment horizontal="right"/>
    </xf>
    <xf numFmtId="0" fontId="31" fillId="0" borderId="0" xfId="0" applyNumberFormat="1" applyFont="1" applyProtection="1">
      <protection locked="0"/>
    </xf>
    <xf numFmtId="3" fontId="31" fillId="0" borderId="0" xfId="0" applyNumberFormat="1" applyFont="1" applyAlignment="1" applyProtection="1">
      <alignment horizontal="right"/>
      <protection locked="0"/>
    </xf>
    <xf numFmtId="0" fontId="31" fillId="0" borderId="1" xfId="0" applyNumberFormat="1" applyFont="1" applyBorder="1" applyAlignment="1" applyProtection="1">
      <alignment horizontal="center"/>
      <protection locked="0"/>
    </xf>
    <xf numFmtId="172" fontId="167" fillId="0" borderId="0" xfId="4597" applyFont="1" applyAlignment="1">
      <alignment horizontal="left" vertical="top" wrapText="1"/>
    </xf>
    <xf numFmtId="0" fontId="31" fillId="0" borderId="0" xfId="0" applyNumberFormat="1" applyFont="1" applyAlignment="1">
      <alignment horizontal="left" vertical="top" wrapText="1"/>
    </xf>
    <xf numFmtId="172" fontId="167" fillId="0" borderId="0" xfId="0" applyFont="1" applyAlignment="1">
      <alignment horizontal="left" vertical="top" wrapText="1"/>
    </xf>
    <xf numFmtId="0" fontId="31" fillId="0" borderId="0" xfId="4595" applyFont="1" applyAlignment="1">
      <alignment vertical="top" wrapText="1"/>
    </xf>
    <xf numFmtId="0" fontId="31" fillId="0" borderId="0" xfId="4597" quotePrefix="1" applyNumberFormat="1" applyFont="1" applyAlignment="1">
      <alignment horizontal="left" vertical="top" wrapText="1"/>
    </xf>
    <xf numFmtId="0" fontId="31" fillId="0" borderId="0" xfId="0" applyNumberFormat="1" applyFont="1" applyAlignment="1" applyProtection="1">
      <alignment horizontal="left" vertical="center" wrapText="1"/>
      <protection locked="0"/>
    </xf>
    <xf numFmtId="0" fontId="31" fillId="0" borderId="0" xfId="2138" applyFont="1" applyFill="1" applyAlignment="1">
      <alignment horizontal="left" vertical="top" wrapText="1"/>
    </xf>
    <xf numFmtId="0" fontId="123" fillId="0" borderId="0" xfId="4155" applyNumberFormat="1" applyFont="1" applyAlignment="1" applyProtection="1">
      <alignment horizontal="center"/>
      <protection locked="0"/>
    </xf>
    <xf numFmtId="172" fontId="123" fillId="0" borderId="0" xfId="0" applyFont="1" applyAlignment="1">
      <alignment horizontal="center"/>
    </xf>
    <xf numFmtId="0" fontId="132" fillId="0" borderId="4" xfId="4473" applyFont="1" applyBorder="1" applyAlignment="1">
      <alignment horizontal="center"/>
    </xf>
    <xf numFmtId="172" fontId="123" fillId="0" borderId="3" xfId="0" applyFont="1" applyBorder="1" applyAlignment="1">
      <alignment horizontal="center"/>
    </xf>
    <xf numFmtId="0" fontId="31" fillId="0" borderId="0" xfId="4" applyFont="1" applyAlignment="1">
      <alignment vertical="top" wrapText="1"/>
    </xf>
    <xf numFmtId="0" fontId="123" fillId="0" borderId="0" xfId="4" applyFont="1" applyAlignment="1">
      <alignment horizontal="center"/>
    </xf>
    <xf numFmtId="49" fontId="123" fillId="0" borderId="0" xfId="4" applyNumberFormat="1" applyFont="1" applyAlignment="1">
      <alignment horizontal="center"/>
    </xf>
    <xf numFmtId="172" fontId="31" fillId="0" borderId="0" xfId="0" applyFont="1" applyAlignment="1">
      <alignment horizontal="left" vertical="top"/>
    </xf>
    <xf numFmtId="172" fontId="31" fillId="0" borderId="0" xfId="0" applyFont="1" applyAlignment="1">
      <alignment horizontal="left" vertical="center"/>
    </xf>
    <xf numFmtId="0" fontId="203" fillId="0" borderId="0" xfId="4695" applyFont="1" applyAlignment="1">
      <alignment horizontal="left" vertical="top" wrapText="1"/>
    </xf>
    <xf numFmtId="0" fontId="194" fillId="0" borderId="0" xfId="4" applyFont="1" applyAlignment="1">
      <alignment horizontal="center"/>
    </xf>
    <xf numFmtId="3" fontId="178" fillId="0" borderId="1" xfId="4695" applyNumberFormat="1" applyFont="1" applyBorder="1" applyAlignment="1">
      <alignment horizontal="center"/>
    </xf>
    <xf numFmtId="172" fontId="194" fillId="0" borderId="17" xfId="4695" applyNumberFormat="1" applyFont="1" applyBorder="1" applyAlignment="1">
      <alignment horizontal="center"/>
    </xf>
    <xf numFmtId="3" fontId="194" fillId="0" borderId="48" xfId="4695" applyNumberFormat="1" applyFont="1" applyBorder="1" applyAlignment="1">
      <alignment horizontal="center"/>
    </xf>
    <xf numFmtId="3" fontId="194" fillId="0" borderId="15" xfId="4695" applyNumberFormat="1" applyFont="1" applyBorder="1" applyAlignment="1">
      <alignment horizontal="center"/>
    </xf>
    <xf numFmtId="0" fontId="203" fillId="81" borderId="0" xfId="4695" applyFont="1" applyFill="1" applyAlignment="1">
      <alignment horizontal="left" vertical="top" wrapText="1"/>
    </xf>
    <xf numFmtId="0" fontId="207" fillId="0" borderId="0" xfId="4698" applyFont="1" applyAlignment="1">
      <alignment horizontal="left" vertical="top" wrapText="1"/>
    </xf>
    <xf numFmtId="0" fontId="178" fillId="0" borderId="0" xfId="4698" applyFont="1" applyAlignment="1">
      <alignment horizontal="left" vertical="top" wrapText="1"/>
    </xf>
    <xf numFmtId="0" fontId="194" fillId="0" borderId="0" xfId="4" applyFont="1" applyAlignment="1">
      <alignment horizontal="center" vertical="center"/>
    </xf>
    <xf numFmtId="0" fontId="194" fillId="0" borderId="0" xfId="4698" applyFont="1" applyAlignment="1">
      <alignment horizontal="center" vertical="center"/>
    </xf>
    <xf numFmtId="49" fontId="194" fillId="0" borderId="0" xfId="4" applyNumberFormat="1" applyFont="1" applyAlignment="1">
      <alignment horizontal="center"/>
    </xf>
    <xf numFmtId="0" fontId="194" fillId="0" borderId="59" xfId="4698" applyFont="1" applyBorder="1" applyAlignment="1">
      <alignment horizontal="center" vertical="center" wrapText="1"/>
    </xf>
    <xf numFmtId="0" fontId="194" fillId="0" borderId="21" xfId="4698" applyFont="1" applyBorder="1" applyAlignment="1">
      <alignment horizontal="center" vertical="center" wrapText="1"/>
    </xf>
    <xf numFmtId="0" fontId="194" fillId="0" borderId="60" xfId="4698" applyFont="1" applyBorder="1" applyAlignment="1">
      <alignment horizontal="center" vertical="center" wrapText="1"/>
    </xf>
    <xf numFmtId="0" fontId="123" fillId="0" borderId="48" xfId="4598" applyFont="1" applyBorder="1" applyAlignment="1">
      <alignment horizontal="center"/>
    </xf>
    <xf numFmtId="0" fontId="123" fillId="0" borderId="15" xfId="4598" applyFont="1" applyBorder="1" applyAlignment="1">
      <alignment horizontal="center"/>
    </xf>
    <xf numFmtId="0" fontId="123" fillId="0" borderId="49" xfId="4598" applyFont="1" applyBorder="1" applyAlignment="1">
      <alignment horizontal="center"/>
    </xf>
    <xf numFmtId="172" fontId="123" fillId="0" borderId="48" xfId="0" applyFont="1" applyBorder="1" applyAlignment="1">
      <alignment horizontal="center"/>
    </xf>
    <xf numFmtId="172" fontId="123" fillId="0" borderId="15" xfId="0" applyFont="1" applyBorder="1" applyAlignment="1">
      <alignment horizontal="center"/>
    </xf>
    <xf numFmtId="172" fontId="123" fillId="0" borderId="49" xfId="0" applyFont="1" applyBorder="1" applyAlignment="1">
      <alignment horizontal="center"/>
    </xf>
    <xf numFmtId="0" fontId="165" fillId="0" borderId="0" xfId="4228" applyFont="1" applyAlignment="1">
      <alignment horizontal="left" vertical="top" wrapText="1"/>
    </xf>
    <xf numFmtId="0" fontId="31" fillId="0" borderId="0" xfId="4228" applyFont="1" applyAlignment="1">
      <alignment horizontal="left" vertical="top" wrapText="1"/>
    </xf>
    <xf numFmtId="0" fontId="31" fillId="0" borderId="0" xfId="4" applyFont="1" applyAlignment="1">
      <alignment horizontal="left" vertical="top" wrapText="1"/>
    </xf>
    <xf numFmtId="172" fontId="179" fillId="0" borderId="0" xfId="0" applyFont="1" applyAlignment="1">
      <alignment horizontal="left"/>
    </xf>
    <xf numFmtId="172" fontId="31" fillId="0" borderId="0" xfId="0" applyFont="1" applyAlignment="1" applyProtection="1">
      <alignment horizontal="center"/>
      <protection locked="0"/>
    </xf>
    <xf numFmtId="172" fontId="180" fillId="0" borderId="3" xfId="0" applyFont="1" applyBorder="1" applyAlignment="1">
      <alignment horizontal="center"/>
    </xf>
    <xf numFmtId="0" fontId="123" fillId="0" borderId="0" xfId="4598" applyFont="1" applyAlignment="1">
      <alignment horizontal="center"/>
    </xf>
    <xf numFmtId="49" fontId="123" fillId="0" borderId="0" xfId="4597" applyNumberFormat="1" applyFont="1" applyAlignment="1">
      <alignment horizontal="center"/>
    </xf>
    <xf numFmtId="0" fontId="31" fillId="0" borderId="0" xfId="4476" applyFont="1" applyAlignment="1">
      <alignment horizontal="left" vertical="top" wrapText="1"/>
    </xf>
    <xf numFmtId="0" fontId="31" fillId="0" borderId="0" xfId="4476" applyFont="1" applyAlignment="1">
      <alignment horizontal="left" vertical="top"/>
    </xf>
    <xf numFmtId="0" fontId="31" fillId="0" borderId="0" xfId="0" applyNumberFormat="1" applyFont="1" applyAlignment="1" applyProtection="1">
      <alignment horizontal="center"/>
      <protection locked="0"/>
    </xf>
    <xf numFmtId="0" fontId="167" fillId="0" borderId="0" xfId="0" applyNumberFormat="1" applyFont="1" applyAlignment="1">
      <alignment horizontal="left" vertical="top" wrapText="1"/>
    </xf>
    <xf numFmtId="0" fontId="167" fillId="0" borderId="0" xfId="0" applyNumberFormat="1" applyFont="1" applyAlignment="1">
      <alignment horizontal="left"/>
    </xf>
    <xf numFmtId="172" fontId="31" fillId="0" borderId="0" xfId="0" applyFont="1" applyAlignment="1" applyProtection="1">
      <alignment horizontal="left"/>
      <protection locked="0"/>
    </xf>
    <xf numFmtId="172" fontId="123" fillId="0" borderId="0" xfId="4667" applyNumberFormat="1" applyFont="1" applyAlignment="1">
      <alignment horizontal="center"/>
    </xf>
    <xf numFmtId="172" fontId="123" fillId="0" borderId="0" xfId="4667" applyNumberFormat="1" applyFont="1" applyBorder="1" applyAlignment="1">
      <alignment horizontal="center"/>
    </xf>
    <xf numFmtId="172" fontId="123" fillId="0" borderId="3" xfId="4667" applyNumberFormat="1" applyFont="1" applyBorder="1" applyAlignment="1">
      <alignment horizontal="center"/>
    </xf>
    <xf numFmtId="172" fontId="123" fillId="0" borderId="52" xfId="4667" applyNumberFormat="1" applyFont="1" applyFill="1" applyBorder="1" applyAlignment="1">
      <alignment horizontal="center"/>
    </xf>
    <xf numFmtId="172" fontId="123" fillId="0" borderId="3" xfId="4667" applyNumberFormat="1" applyFont="1" applyFill="1" applyBorder="1" applyAlignment="1">
      <alignment horizontal="center"/>
    </xf>
    <xf numFmtId="172" fontId="123" fillId="0" borderId="53" xfId="4667" applyNumberFormat="1" applyFont="1" applyFill="1" applyBorder="1" applyAlignment="1">
      <alignment horizontal="center"/>
    </xf>
    <xf numFmtId="172" fontId="191" fillId="0" borderId="0" xfId="4667" applyNumberFormat="1" applyFont="1" applyAlignment="1">
      <alignment horizontal="center"/>
    </xf>
    <xf numFmtId="172" fontId="31" fillId="0" borderId="0" xfId="4667" applyNumberFormat="1" applyFont="1" applyBorder="1" applyAlignment="1">
      <alignment horizontal="center"/>
    </xf>
    <xf numFmtId="172" fontId="31" fillId="0" borderId="0" xfId="4667" applyNumberFormat="1" applyFont="1" applyFill="1" applyBorder="1" applyAlignment="1">
      <alignment horizontal="center"/>
    </xf>
    <xf numFmtId="172" fontId="31" fillId="0" borderId="38" xfId="4667" applyNumberFormat="1" applyFont="1" applyFill="1" applyBorder="1" applyAlignment="1">
      <alignment horizontal="center"/>
    </xf>
    <xf numFmtId="0" fontId="31" fillId="0" borderId="51" xfId="4352" quotePrefix="1" applyNumberFormat="1" applyFont="1" applyBorder="1" applyAlignment="1">
      <alignment horizontal="center"/>
    </xf>
    <xf numFmtId="0" fontId="31" fillId="0" borderId="4" xfId="4352" quotePrefix="1" applyNumberFormat="1" applyFont="1" applyBorder="1" applyAlignment="1">
      <alignment horizontal="center"/>
    </xf>
    <xf numFmtId="0" fontId="31" fillId="0" borderId="47" xfId="4352" quotePrefix="1" applyNumberFormat="1" applyFont="1" applyBorder="1" applyAlignment="1">
      <alignment horizontal="center"/>
    </xf>
    <xf numFmtId="172" fontId="31" fillId="0" borderId="0" xfId="4667" quotePrefix="1" applyNumberFormat="1" applyFont="1" applyFill="1" applyAlignment="1">
      <alignment horizontal="left" vertical="top" wrapText="1"/>
    </xf>
    <xf numFmtId="172" fontId="123" fillId="0" borderId="0" xfId="4667" applyNumberFormat="1" applyFont="1" applyFill="1" applyAlignment="1">
      <alignment horizontal="center"/>
    </xf>
    <xf numFmtId="172" fontId="123" fillId="0" borderId="0" xfId="4667" applyNumberFormat="1" applyFont="1" applyFill="1" applyAlignment="1">
      <alignment horizontal="left" vertical="top" wrapText="1"/>
    </xf>
    <xf numFmtId="172" fontId="31" fillId="0" borderId="0" xfId="4667" applyNumberFormat="1" applyFont="1" applyFill="1" applyAlignment="1">
      <alignment horizontal="left" vertical="top" wrapText="1"/>
    </xf>
    <xf numFmtId="172" fontId="123" fillId="0" borderId="0" xfId="4667" applyNumberFormat="1" applyFont="1" applyFill="1" applyAlignment="1">
      <alignment wrapText="1"/>
    </xf>
    <xf numFmtId="172" fontId="31"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0" fontId="166" fillId="3" borderId="0" xfId="4671" applyFont="1" applyFill="1" applyAlignment="1">
      <alignment horizontal="left"/>
    </xf>
    <xf numFmtId="0" fontId="166" fillId="3" borderId="0" xfId="4671" applyFont="1" applyFill="1" applyAlignment="1">
      <alignment horizontal="center"/>
    </xf>
    <xf numFmtId="0" fontId="31" fillId="0" borderId="0" xfId="4671" applyFont="1" applyAlignment="1">
      <alignment horizontal="left"/>
    </xf>
  </cellXfs>
  <cellStyles count="4700">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3" xfId="217" xr:uid="{00000000-0005-0000-0000-00002F000000}"/>
    <cellStyle name="20% - Accent1 2" xfId="16" xr:uid="{00000000-0005-0000-0000-000030000000}"/>
    <cellStyle name="20% - Accent1 2 10" xfId="218" xr:uid="{00000000-0005-0000-0000-000031000000}"/>
    <cellStyle name="20% - Accent1 2 2" xfId="219" xr:uid="{00000000-0005-0000-0000-000032000000}"/>
    <cellStyle name="20% - Accent1 2 2 2" xfId="220" xr:uid="{00000000-0005-0000-0000-000033000000}"/>
    <cellStyle name="20% - Accent1 2 2 2 2" xfId="221" xr:uid="{00000000-0005-0000-0000-000034000000}"/>
    <cellStyle name="20% - Accent1 2 2 3" xfId="222" xr:uid="{00000000-0005-0000-0000-000035000000}"/>
    <cellStyle name="20% - Accent1 2 3" xfId="223" xr:uid="{00000000-0005-0000-0000-000036000000}"/>
    <cellStyle name="20% - Accent1 2 3 2" xfId="224" xr:uid="{00000000-0005-0000-0000-000037000000}"/>
    <cellStyle name="20% - Accent1 2 3 2 2" xfId="225" xr:uid="{00000000-0005-0000-0000-000038000000}"/>
    <cellStyle name="20% - Accent1 2 3 3" xfId="226" xr:uid="{00000000-0005-0000-0000-000039000000}"/>
    <cellStyle name="20% - Accent1 2 4" xfId="227" xr:uid="{00000000-0005-0000-0000-00003A000000}"/>
    <cellStyle name="20% - Accent1 2 4 2" xfId="228" xr:uid="{00000000-0005-0000-0000-00003B000000}"/>
    <cellStyle name="20% - Accent1 2 4 2 2" xfId="229" xr:uid="{00000000-0005-0000-0000-00003C000000}"/>
    <cellStyle name="20% - Accent1 2 4 3" xfId="230" xr:uid="{00000000-0005-0000-0000-00003D000000}"/>
    <cellStyle name="20% - Accent1 2 5" xfId="231" xr:uid="{00000000-0005-0000-0000-00003E000000}"/>
    <cellStyle name="20% - Accent1 2 5 2" xfId="232" xr:uid="{00000000-0005-0000-0000-00003F000000}"/>
    <cellStyle name="20% - Accent1 2 5 2 2" xfId="233" xr:uid="{00000000-0005-0000-0000-000040000000}"/>
    <cellStyle name="20% - Accent1 2 5 3" xfId="234" xr:uid="{00000000-0005-0000-0000-000041000000}"/>
    <cellStyle name="20% - Accent1 2 6" xfId="235" xr:uid="{00000000-0005-0000-0000-000042000000}"/>
    <cellStyle name="20% - Accent1 2 6 2" xfId="236" xr:uid="{00000000-0005-0000-0000-000043000000}"/>
    <cellStyle name="20% - Accent1 2 6 2 2" xfId="237" xr:uid="{00000000-0005-0000-0000-000044000000}"/>
    <cellStyle name="20% - Accent1 2 6 3" xfId="238" xr:uid="{00000000-0005-0000-0000-000045000000}"/>
    <cellStyle name="20% - Accent1 2 7" xfId="239" xr:uid="{00000000-0005-0000-0000-000046000000}"/>
    <cellStyle name="20% - Accent1 2 7 2" xfId="240" xr:uid="{00000000-0005-0000-0000-000047000000}"/>
    <cellStyle name="20% - Accent1 2 7 2 2" xfId="241" xr:uid="{00000000-0005-0000-0000-000048000000}"/>
    <cellStyle name="20% - Accent1 2 7 3" xfId="242" xr:uid="{00000000-0005-0000-0000-000049000000}"/>
    <cellStyle name="20% - Accent1 2 8" xfId="243" xr:uid="{00000000-0005-0000-0000-00004A000000}"/>
    <cellStyle name="20% - Accent1 2 8 2" xfId="244" xr:uid="{00000000-0005-0000-0000-00004B000000}"/>
    <cellStyle name="20% - Accent1 2 8 2 2" xfId="245" xr:uid="{00000000-0005-0000-0000-00004C000000}"/>
    <cellStyle name="20% - Accent1 2 8 3" xfId="246" xr:uid="{00000000-0005-0000-0000-00004D000000}"/>
    <cellStyle name="20% - Accent1 2 9" xfId="247" xr:uid="{00000000-0005-0000-0000-00004E000000}"/>
    <cellStyle name="20% - Accent1 2 9 2" xfId="248" xr:uid="{00000000-0005-0000-0000-00004F000000}"/>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3" xfId="268" xr:uid="{00000000-0005-0000-0000-000063000000}"/>
    <cellStyle name="20% - Accent2 2" xfId="17" xr:uid="{00000000-0005-0000-0000-000064000000}"/>
    <cellStyle name="20% - Accent2 2 10" xfId="269" xr:uid="{00000000-0005-0000-0000-000065000000}"/>
    <cellStyle name="20% - Accent2 2 2" xfId="270" xr:uid="{00000000-0005-0000-0000-000066000000}"/>
    <cellStyle name="20% - Accent2 2 2 2" xfId="271" xr:uid="{00000000-0005-0000-0000-000067000000}"/>
    <cellStyle name="20% - Accent2 2 2 2 2" xfId="272" xr:uid="{00000000-0005-0000-0000-000068000000}"/>
    <cellStyle name="20% - Accent2 2 2 3" xfId="273" xr:uid="{00000000-0005-0000-0000-000069000000}"/>
    <cellStyle name="20% - Accent2 2 3" xfId="274" xr:uid="{00000000-0005-0000-0000-00006A000000}"/>
    <cellStyle name="20% - Accent2 2 3 2" xfId="275" xr:uid="{00000000-0005-0000-0000-00006B000000}"/>
    <cellStyle name="20% - Accent2 2 3 2 2" xfId="276" xr:uid="{00000000-0005-0000-0000-00006C000000}"/>
    <cellStyle name="20% - Accent2 2 3 3" xfId="277" xr:uid="{00000000-0005-0000-0000-00006D000000}"/>
    <cellStyle name="20% - Accent2 2 4" xfId="278" xr:uid="{00000000-0005-0000-0000-00006E000000}"/>
    <cellStyle name="20% - Accent2 2 4 2" xfId="279" xr:uid="{00000000-0005-0000-0000-00006F000000}"/>
    <cellStyle name="20% - Accent2 2 4 2 2" xfId="280" xr:uid="{00000000-0005-0000-0000-000070000000}"/>
    <cellStyle name="20% - Accent2 2 4 3" xfId="281" xr:uid="{00000000-0005-0000-0000-000071000000}"/>
    <cellStyle name="20% - Accent2 2 5" xfId="282" xr:uid="{00000000-0005-0000-0000-000072000000}"/>
    <cellStyle name="20% - Accent2 2 5 2" xfId="283" xr:uid="{00000000-0005-0000-0000-000073000000}"/>
    <cellStyle name="20% - Accent2 2 5 2 2" xfId="284" xr:uid="{00000000-0005-0000-0000-000074000000}"/>
    <cellStyle name="20% - Accent2 2 5 3" xfId="285" xr:uid="{00000000-0005-0000-0000-000075000000}"/>
    <cellStyle name="20% - Accent2 2 6" xfId="286" xr:uid="{00000000-0005-0000-0000-000076000000}"/>
    <cellStyle name="20% - Accent2 2 6 2" xfId="287" xr:uid="{00000000-0005-0000-0000-000077000000}"/>
    <cellStyle name="20% - Accent2 2 6 2 2" xfId="288" xr:uid="{00000000-0005-0000-0000-000078000000}"/>
    <cellStyle name="20% - Accent2 2 6 3" xfId="289" xr:uid="{00000000-0005-0000-0000-000079000000}"/>
    <cellStyle name="20% - Accent2 2 7" xfId="290" xr:uid="{00000000-0005-0000-0000-00007A000000}"/>
    <cellStyle name="20% - Accent2 2 7 2" xfId="291" xr:uid="{00000000-0005-0000-0000-00007B000000}"/>
    <cellStyle name="20% - Accent2 2 7 2 2" xfId="292" xr:uid="{00000000-0005-0000-0000-00007C000000}"/>
    <cellStyle name="20% - Accent2 2 7 3" xfId="293" xr:uid="{00000000-0005-0000-0000-00007D000000}"/>
    <cellStyle name="20% - Accent2 2 8" xfId="294" xr:uid="{00000000-0005-0000-0000-00007E000000}"/>
    <cellStyle name="20% - Accent2 2 8 2" xfId="295" xr:uid="{00000000-0005-0000-0000-00007F000000}"/>
    <cellStyle name="20% - Accent2 2 8 2 2" xfId="296" xr:uid="{00000000-0005-0000-0000-000080000000}"/>
    <cellStyle name="20% - Accent2 2 8 3" xfId="297" xr:uid="{00000000-0005-0000-0000-000081000000}"/>
    <cellStyle name="20% - Accent2 2 9" xfId="298" xr:uid="{00000000-0005-0000-0000-000082000000}"/>
    <cellStyle name="20% - Accent2 2 9 2" xfId="299" xr:uid="{00000000-0005-0000-0000-00008300000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3" xfId="319" xr:uid="{00000000-0005-0000-0000-000098000000}"/>
    <cellStyle name="20% - Accent3 2 3" xfId="320" xr:uid="{00000000-0005-0000-0000-000099000000}"/>
    <cellStyle name="20% - Accent3 2 3 2" xfId="321" xr:uid="{00000000-0005-0000-0000-00009A000000}"/>
    <cellStyle name="20% - Accent3 2 3 2 2" xfId="322" xr:uid="{00000000-0005-0000-0000-00009B000000}"/>
    <cellStyle name="20% - Accent3 2 3 3" xfId="323" xr:uid="{00000000-0005-0000-0000-00009C000000}"/>
    <cellStyle name="20% - Accent3 2 4" xfId="324" xr:uid="{00000000-0005-0000-0000-00009D000000}"/>
    <cellStyle name="20% - Accent3 2 4 2" xfId="325" xr:uid="{00000000-0005-0000-0000-00009E000000}"/>
    <cellStyle name="20% - Accent3 2 4 2 2" xfId="326" xr:uid="{00000000-0005-0000-0000-00009F000000}"/>
    <cellStyle name="20% - Accent3 2 4 3" xfId="327" xr:uid="{00000000-0005-0000-0000-0000A0000000}"/>
    <cellStyle name="20% - Accent3 2 5" xfId="328" xr:uid="{00000000-0005-0000-0000-0000A1000000}"/>
    <cellStyle name="20% - Accent3 2 5 2" xfId="329" xr:uid="{00000000-0005-0000-0000-0000A2000000}"/>
    <cellStyle name="20% - Accent3 2 5 2 2" xfId="330" xr:uid="{00000000-0005-0000-0000-0000A3000000}"/>
    <cellStyle name="20% - Accent3 2 5 3" xfId="331" xr:uid="{00000000-0005-0000-0000-0000A4000000}"/>
    <cellStyle name="20% - Accent3 2 6" xfId="332" xr:uid="{00000000-0005-0000-0000-0000A5000000}"/>
    <cellStyle name="20% - Accent3 2 6 2" xfId="333" xr:uid="{00000000-0005-0000-0000-0000A6000000}"/>
    <cellStyle name="20% - Accent3 2 6 2 2" xfId="334" xr:uid="{00000000-0005-0000-0000-0000A7000000}"/>
    <cellStyle name="20% - Accent3 2 6 3" xfId="335" xr:uid="{00000000-0005-0000-0000-0000A8000000}"/>
    <cellStyle name="20% - Accent3 2 7" xfId="336" xr:uid="{00000000-0005-0000-0000-0000A9000000}"/>
    <cellStyle name="20% - Accent3 2 7 2" xfId="337" xr:uid="{00000000-0005-0000-0000-0000AA000000}"/>
    <cellStyle name="20% - Accent3 2 7 2 2" xfId="338" xr:uid="{00000000-0005-0000-0000-0000AB000000}"/>
    <cellStyle name="20% - Accent3 2 7 3" xfId="339" xr:uid="{00000000-0005-0000-0000-0000AC000000}"/>
    <cellStyle name="20% - Accent3 2 8" xfId="340" xr:uid="{00000000-0005-0000-0000-0000AD000000}"/>
    <cellStyle name="20% - Accent3 2 8 2" xfId="341" xr:uid="{00000000-0005-0000-0000-0000AE000000}"/>
    <cellStyle name="20% - Accent3 2 9" xfId="342" xr:uid="{00000000-0005-0000-0000-0000AF000000}"/>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3" xfId="362" xr:uid="{00000000-0005-0000-0000-0000C4000000}"/>
    <cellStyle name="20% - Accent4 2 3" xfId="363" xr:uid="{00000000-0005-0000-0000-0000C5000000}"/>
    <cellStyle name="20% - Accent4 2 3 2" xfId="364" xr:uid="{00000000-0005-0000-0000-0000C6000000}"/>
    <cellStyle name="20% - Accent4 2 3 2 2" xfId="365" xr:uid="{00000000-0005-0000-0000-0000C7000000}"/>
    <cellStyle name="20% - Accent4 2 3 3" xfId="366" xr:uid="{00000000-0005-0000-0000-0000C8000000}"/>
    <cellStyle name="20% - Accent4 2 4" xfId="367" xr:uid="{00000000-0005-0000-0000-0000C9000000}"/>
    <cellStyle name="20% - Accent4 2 4 2" xfId="368" xr:uid="{00000000-0005-0000-0000-0000CA000000}"/>
    <cellStyle name="20% - Accent4 2 4 2 2" xfId="369" xr:uid="{00000000-0005-0000-0000-0000CB000000}"/>
    <cellStyle name="20% - Accent4 2 4 3" xfId="370" xr:uid="{00000000-0005-0000-0000-0000CC000000}"/>
    <cellStyle name="20% - Accent4 2 5" xfId="371" xr:uid="{00000000-0005-0000-0000-0000CD000000}"/>
    <cellStyle name="20% - Accent4 2 5 2" xfId="372" xr:uid="{00000000-0005-0000-0000-0000CE000000}"/>
    <cellStyle name="20% - Accent4 2 5 2 2" xfId="373" xr:uid="{00000000-0005-0000-0000-0000CF000000}"/>
    <cellStyle name="20% - Accent4 2 5 3" xfId="374" xr:uid="{00000000-0005-0000-0000-0000D0000000}"/>
    <cellStyle name="20% - Accent4 2 6" xfId="375" xr:uid="{00000000-0005-0000-0000-0000D1000000}"/>
    <cellStyle name="20% - Accent4 2 6 2" xfId="376" xr:uid="{00000000-0005-0000-0000-0000D2000000}"/>
    <cellStyle name="20% - Accent4 2 6 2 2" xfId="377" xr:uid="{00000000-0005-0000-0000-0000D3000000}"/>
    <cellStyle name="20% - Accent4 2 6 3" xfId="378" xr:uid="{00000000-0005-0000-0000-0000D4000000}"/>
    <cellStyle name="20% - Accent4 2 7" xfId="379" xr:uid="{00000000-0005-0000-0000-0000D5000000}"/>
    <cellStyle name="20% - Accent4 2 7 2" xfId="380" xr:uid="{00000000-0005-0000-0000-0000D6000000}"/>
    <cellStyle name="20% - Accent4 2 7 2 2" xfId="381" xr:uid="{00000000-0005-0000-0000-0000D7000000}"/>
    <cellStyle name="20% - Accent4 2 7 3" xfId="382" xr:uid="{00000000-0005-0000-0000-0000D8000000}"/>
    <cellStyle name="20% - Accent4 2 8" xfId="383" xr:uid="{00000000-0005-0000-0000-0000D9000000}"/>
    <cellStyle name="20% - Accent4 2 8 2" xfId="384" xr:uid="{00000000-0005-0000-0000-0000DA000000}"/>
    <cellStyle name="20% - Accent4 2 9" xfId="385" xr:uid="{00000000-0005-0000-0000-0000DB000000}"/>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3" xfId="405" xr:uid="{00000000-0005-0000-0000-0000F0000000}"/>
    <cellStyle name="20% - Accent5 2 3" xfId="406" xr:uid="{00000000-0005-0000-0000-0000F1000000}"/>
    <cellStyle name="20% - Accent5 2 3 2" xfId="407" xr:uid="{00000000-0005-0000-0000-0000F2000000}"/>
    <cellStyle name="20% - Accent5 2 3 2 2" xfId="408" xr:uid="{00000000-0005-0000-0000-0000F3000000}"/>
    <cellStyle name="20% - Accent5 2 3 3" xfId="409" xr:uid="{00000000-0005-0000-0000-0000F4000000}"/>
    <cellStyle name="20% - Accent5 2 4" xfId="410" xr:uid="{00000000-0005-0000-0000-0000F5000000}"/>
    <cellStyle name="20% - Accent5 2 4 2" xfId="411" xr:uid="{00000000-0005-0000-0000-0000F6000000}"/>
    <cellStyle name="20% - Accent5 2 4 2 2" xfId="412" xr:uid="{00000000-0005-0000-0000-0000F7000000}"/>
    <cellStyle name="20% - Accent5 2 4 3" xfId="413" xr:uid="{00000000-0005-0000-0000-0000F8000000}"/>
    <cellStyle name="20% - Accent5 2 5" xfId="414" xr:uid="{00000000-0005-0000-0000-0000F9000000}"/>
    <cellStyle name="20% - Accent5 2 5 2" xfId="415" xr:uid="{00000000-0005-0000-0000-0000FA000000}"/>
    <cellStyle name="20% - Accent5 2 5 2 2" xfId="416" xr:uid="{00000000-0005-0000-0000-0000FB000000}"/>
    <cellStyle name="20% - Accent5 2 5 3" xfId="417" xr:uid="{00000000-0005-0000-0000-0000FC000000}"/>
    <cellStyle name="20% - Accent5 2 6" xfId="418" xr:uid="{00000000-0005-0000-0000-0000FD000000}"/>
    <cellStyle name="20% - Accent5 2 6 2" xfId="419" xr:uid="{00000000-0005-0000-0000-0000FE000000}"/>
    <cellStyle name="20% - Accent5 2 6 2 2" xfId="420" xr:uid="{00000000-0005-0000-0000-0000FF000000}"/>
    <cellStyle name="20% - Accent5 2 6 3" xfId="421" xr:uid="{00000000-0005-0000-0000-000000010000}"/>
    <cellStyle name="20% - Accent5 2 7" xfId="422" xr:uid="{00000000-0005-0000-0000-000001010000}"/>
    <cellStyle name="20% - Accent5 2 7 2" xfId="423" xr:uid="{00000000-0005-0000-0000-000002010000}"/>
    <cellStyle name="20% - Accent5 2 7 2 2" xfId="424" xr:uid="{00000000-0005-0000-0000-000003010000}"/>
    <cellStyle name="20% - Accent5 2 7 3" xfId="425" xr:uid="{00000000-0005-0000-0000-000004010000}"/>
    <cellStyle name="20% - Accent5 2 8" xfId="426" xr:uid="{00000000-0005-0000-0000-000005010000}"/>
    <cellStyle name="20% - Accent5 2 8 2" xfId="427" xr:uid="{00000000-0005-0000-0000-000006010000}"/>
    <cellStyle name="20% - Accent5 2 9" xfId="428" xr:uid="{00000000-0005-0000-0000-000007010000}"/>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3" xfId="448" xr:uid="{00000000-0005-0000-0000-00001C010000}"/>
    <cellStyle name="20% - Accent6 2 3" xfId="449" xr:uid="{00000000-0005-0000-0000-00001D010000}"/>
    <cellStyle name="20% - Accent6 2 3 2" xfId="450" xr:uid="{00000000-0005-0000-0000-00001E010000}"/>
    <cellStyle name="20% - Accent6 2 3 2 2" xfId="451" xr:uid="{00000000-0005-0000-0000-00001F010000}"/>
    <cellStyle name="20% - Accent6 2 3 3" xfId="452" xr:uid="{00000000-0005-0000-0000-000020010000}"/>
    <cellStyle name="20% - Accent6 2 4" xfId="453" xr:uid="{00000000-0005-0000-0000-000021010000}"/>
    <cellStyle name="20% - Accent6 2 4 2" xfId="454" xr:uid="{00000000-0005-0000-0000-000022010000}"/>
    <cellStyle name="20% - Accent6 2 4 2 2" xfId="455" xr:uid="{00000000-0005-0000-0000-000023010000}"/>
    <cellStyle name="20% - Accent6 2 4 3" xfId="456" xr:uid="{00000000-0005-0000-0000-000024010000}"/>
    <cellStyle name="20% - Accent6 2 5" xfId="457" xr:uid="{00000000-0005-0000-0000-000025010000}"/>
    <cellStyle name="20% - Accent6 2 5 2" xfId="458" xr:uid="{00000000-0005-0000-0000-000026010000}"/>
    <cellStyle name="20% - Accent6 2 5 2 2" xfId="459" xr:uid="{00000000-0005-0000-0000-000027010000}"/>
    <cellStyle name="20% - Accent6 2 5 3" xfId="460" xr:uid="{00000000-0005-0000-0000-000028010000}"/>
    <cellStyle name="20% - Accent6 2 6" xfId="461" xr:uid="{00000000-0005-0000-0000-000029010000}"/>
    <cellStyle name="20% - Accent6 2 6 2" xfId="462" xr:uid="{00000000-0005-0000-0000-00002A010000}"/>
    <cellStyle name="20% - Accent6 2 6 2 2" xfId="463" xr:uid="{00000000-0005-0000-0000-00002B010000}"/>
    <cellStyle name="20% - Accent6 2 6 3" xfId="464" xr:uid="{00000000-0005-0000-0000-00002C010000}"/>
    <cellStyle name="20% - Accent6 2 7" xfId="465" xr:uid="{00000000-0005-0000-0000-00002D010000}"/>
    <cellStyle name="20% - Accent6 2 7 2" xfId="466" xr:uid="{00000000-0005-0000-0000-00002E010000}"/>
    <cellStyle name="20% - Accent6 2 7 2 2" xfId="467" xr:uid="{00000000-0005-0000-0000-00002F010000}"/>
    <cellStyle name="20% - Accent6 2 7 3" xfId="468" xr:uid="{00000000-0005-0000-0000-000030010000}"/>
    <cellStyle name="20% - Accent6 2 8" xfId="469" xr:uid="{00000000-0005-0000-0000-000031010000}"/>
    <cellStyle name="20% - Accent6 2 8 2" xfId="470" xr:uid="{00000000-0005-0000-0000-000032010000}"/>
    <cellStyle name="20% - Accent6 2 9" xfId="471" xr:uid="{00000000-0005-0000-0000-000033010000}"/>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3" xfId="491" xr:uid="{00000000-0005-0000-0000-000048010000}"/>
    <cellStyle name="40% - Accent1 2 3" xfId="492" xr:uid="{00000000-0005-0000-0000-000049010000}"/>
    <cellStyle name="40% - Accent1 2 3 2" xfId="493" xr:uid="{00000000-0005-0000-0000-00004A010000}"/>
    <cellStyle name="40% - Accent1 2 3 2 2" xfId="494" xr:uid="{00000000-0005-0000-0000-00004B010000}"/>
    <cellStyle name="40% - Accent1 2 3 3" xfId="495" xr:uid="{00000000-0005-0000-0000-00004C010000}"/>
    <cellStyle name="40% - Accent1 2 4" xfId="496" xr:uid="{00000000-0005-0000-0000-00004D010000}"/>
    <cellStyle name="40% - Accent1 2 4 2" xfId="497" xr:uid="{00000000-0005-0000-0000-00004E010000}"/>
    <cellStyle name="40% - Accent1 2 4 2 2" xfId="498" xr:uid="{00000000-0005-0000-0000-00004F010000}"/>
    <cellStyle name="40% - Accent1 2 4 3" xfId="499" xr:uid="{00000000-0005-0000-0000-000050010000}"/>
    <cellStyle name="40% - Accent1 2 5" xfId="500" xr:uid="{00000000-0005-0000-0000-000051010000}"/>
    <cellStyle name="40% - Accent1 2 5 2" xfId="501" xr:uid="{00000000-0005-0000-0000-000052010000}"/>
    <cellStyle name="40% - Accent1 2 5 2 2" xfId="502" xr:uid="{00000000-0005-0000-0000-000053010000}"/>
    <cellStyle name="40% - Accent1 2 5 3" xfId="503" xr:uid="{00000000-0005-0000-0000-000054010000}"/>
    <cellStyle name="40% - Accent1 2 6" xfId="504" xr:uid="{00000000-0005-0000-0000-000055010000}"/>
    <cellStyle name="40% - Accent1 2 6 2" xfId="505" xr:uid="{00000000-0005-0000-0000-000056010000}"/>
    <cellStyle name="40% - Accent1 2 6 2 2" xfId="506" xr:uid="{00000000-0005-0000-0000-000057010000}"/>
    <cellStyle name="40% - Accent1 2 6 3" xfId="507" xr:uid="{00000000-0005-0000-0000-000058010000}"/>
    <cellStyle name="40% - Accent1 2 7" xfId="508" xr:uid="{00000000-0005-0000-0000-000059010000}"/>
    <cellStyle name="40% - Accent1 2 7 2" xfId="509" xr:uid="{00000000-0005-0000-0000-00005A010000}"/>
    <cellStyle name="40% - Accent1 2 7 2 2" xfId="510" xr:uid="{00000000-0005-0000-0000-00005B010000}"/>
    <cellStyle name="40% - Accent1 2 7 3" xfId="511" xr:uid="{00000000-0005-0000-0000-00005C010000}"/>
    <cellStyle name="40% - Accent1 2 8" xfId="512" xr:uid="{00000000-0005-0000-0000-00005D010000}"/>
    <cellStyle name="40% - Accent1 2 8 2" xfId="513" xr:uid="{00000000-0005-0000-0000-00005E010000}"/>
    <cellStyle name="40% - Accent1 2 9" xfId="514" xr:uid="{00000000-0005-0000-0000-00005F010000}"/>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3" xfId="534" xr:uid="{00000000-0005-0000-0000-000074010000}"/>
    <cellStyle name="40% - Accent2 2 3" xfId="535" xr:uid="{00000000-0005-0000-0000-000075010000}"/>
    <cellStyle name="40% - Accent2 2 3 2" xfId="536" xr:uid="{00000000-0005-0000-0000-000076010000}"/>
    <cellStyle name="40% - Accent2 2 3 2 2" xfId="537" xr:uid="{00000000-0005-0000-0000-000077010000}"/>
    <cellStyle name="40% - Accent2 2 3 3" xfId="538" xr:uid="{00000000-0005-0000-0000-000078010000}"/>
    <cellStyle name="40% - Accent2 2 4" xfId="539" xr:uid="{00000000-0005-0000-0000-000079010000}"/>
    <cellStyle name="40% - Accent2 2 4 2" xfId="540" xr:uid="{00000000-0005-0000-0000-00007A010000}"/>
    <cellStyle name="40% - Accent2 2 4 2 2" xfId="541" xr:uid="{00000000-0005-0000-0000-00007B010000}"/>
    <cellStyle name="40% - Accent2 2 4 3" xfId="542" xr:uid="{00000000-0005-0000-0000-00007C010000}"/>
    <cellStyle name="40% - Accent2 2 5" xfId="543" xr:uid="{00000000-0005-0000-0000-00007D010000}"/>
    <cellStyle name="40% - Accent2 2 5 2" xfId="544" xr:uid="{00000000-0005-0000-0000-00007E010000}"/>
    <cellStyle name="40% - Accent2 2 5 2 2" xfId="545" xr:uid="{00000000-0005-0000-0000-00007F010000}"/>
    <cellStyle name="40% - Accent2 2 5 3" xfId="546" xr:uid="{00000000-0005-0000-0000-000080010000}"/>
    <cellStyle name="40% - Accent2 2 6" xfId="547" xr:uid="{00000000-0005-0000-0000-000081010000}"/>
    <cellStyle name="40% - Accent2 2 6 2" xfId="548" xr:uid="{00000000-0005-0000-0000-000082010000}"/>
    <cellStyle name="40% - Accent2 2 6 2 2" xfId="549" xr:uid="{00000000-0005-0000-0000-000083010000}"/>
    <cellStyle name="40% - Accent2 2 6 3" xfId="550" xr:uid="{00000000-0005-0000-0000-000084010000}"/>
    <cellStyle name="40% - Accent2 2 7" xfId="551" xr:uid="{00000000-0005-0000-0000-000085010000}"/>
    <cellStyle name="40% - Accent2 2 7 2" xfId="552" xr:uid="{00000000-0005-0000-0000-000086010000}"/>
    <cellStyle name="40% - Accent2 2 7 2 2" xfId="553" xr:uid="{00000000-0005-0000-0000-000087010000}"/>
    <cellStyle name="40% - Accent2 2 7 3" xfId="554" xr:uid="{00000000-0005-0000-0000-000088010000}"/>
    <cellStyle name="40% - Accent2 2 8" xfId="555" xr:uid="{00000000-0005-0000-0000-000089010000}"/>
    <cellStyle name="40% - Accent2 2 8 2" xfId="556" xr:uid="{00000000-0005-0000-0000-00008A010000}"/>
    <cellStyle name="40% - Accent2 2 9" xfId="557" xr:uid="{00000000-0005-0000-0000-00008B01000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3" xfId="577" xr:uid="{00000000-0005-0000-0000-0000A0010000}"/>
    <cellStyle name="40% - Accent3 2 3" xfId="578" xr:uid="{00000000-0005-0000-0000-0000A1010000}"/>
    <cellStyle name="40% - Accent3 2 3 2" xfId="579" xr:uid="{00000000-0005-0000-0000-0000A2010000}"/>
    <cellStyle name="40% - Accent3 2 3 2 2" xfId="580" xr:uid="{00000000-0005-0000-0000-0000A3010000}"/>
    <cellStyle name="40% - Accent3 2 3 3" xfId="581" xr:uid="{00000000-0005-0000-0000-0000A4010000}"/>
    <cellStyle name="40% - Accent3 2 4" xfId="582" xr:uid="{00000000-0005-0000-0000-0000A5010000}"/>
    <cellStyle name="40% - Accent3 2 4 2" xfId="583" xr:uid="{00000000-0005-0000-0000-0000A6010000}"/>
    <cellStyle name="40% - Accent3 2 4 2 2" xfId="584" xr:uid="{00000000-0005-0000-0000-0000A7010000}"/>
    <cellStyle name="40% - Accent3 2 4 3" xfId="585" xr:uid="{00000000-0005-0000-0000-0000A8010000}"/>
    <cellStyle name="40% - Accent3 2 5" xfId="586" xr:uid="{00000000-0005-0000-0000-0000A9010000}"/>
    <cellStyle name="40% - Accent3 2 5 2" xfId="587" xr:uid="{00000000-0005-0000-0000-0000AA010000}"/>
    <cellStyle name="40% - Accent3 2 5 2 2" xfId="588" xr:uid="{00000000-0005-0000-0000-0000AB010000}"/>
    <cellStyle name="40% - Accent3 2 5 3" xfId="589" xr:uid="{00000000-0005-0000-0000-0000AC010000}"/>
    <cellStyle name="40% - Accent3 2 6" xfId="590" xr:uid="{00000000-0005-0000-0000-0000AD010000}"/>
    <cellStyle name="40% - Accent3 2 6 2" xfId="591" xr:uid="{00000000-0005-0000-0000-0000AE010000}"/>
    <cellStyle name="40% - Accent3 2 6 2 2" xfId="592" xr:uid="{00000000-0005-0000-0000-0000AF010000}"/>
    <cellStyle name="40% - Accent3 2 6 3" xfId="593" xr:uid="{00000000-0005-0000-0000-0000B0010000}"/>
    <cellStyle name="40% - Accent3 2 7" xfId="594" xr:uid="{00000000-0005-0000-0000-0000B1010000}"/>
    <cellStyle name="40% - Accent3 2 7 2" xfId="595" xr:uid="{00000000-0005-0000-0000-0000B2010000}"/>
    <cellStyle name="40% - Accent3 2 7 2 2" xfId="596" xr:uid="{00000000-0005-0000-0000-0000B3010000}"/>
    <cellStyle name="40% - Accent3 2 7 3" xfId="597" xr:uid="{00000000-0005-0000-0000-0000B4010000}"/>
    <cellStyle name="40% - Accent3 2 8" xfId="598" xr:uid="{00000000-0005-0000-0000-0000B5010000}"/>
    <cellStyle name="40% - Accent3 2 8 2" xfId="599" xr:uid="{00000000-0005-0000-0000-0000B6010000}"/>
    <cellStyle name="40% - Accent3 2 9" xfId="600" xr:uid="{00000000-0005-0000-0000-0000B7010000}"/>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3" xfId="620" xr:uid="{00000000-0005-0000-0000-0000CC010000}"/>
    <cellStyle name="40% - Accent4 2 3" xfId="621" xr:uid="{00000000-0005-0000-0000-0000CD010000}"/>
    <cellStyle name="40% - Accent4 2 3 2" xfId="622" xr:uid="{00000000-0005-0000-0000-0000CE010000}"/>
    <cellStyle name="40% - Accent4 2 3 2 2" xfId="623" xr:uid="{00000000-0005-0000-0000-0000CF010000}"/>
    <cellStyle name="40% - Accent4 2 3 3" xfId="624" xr:uid="{00000000-0005-0000-0000-0000D0010000}"/>
    <cellStyle name="40% - Accent4 2 4" xfId="625" xr:uid="{00000000-0005-0000-0000-0000D1010000}"/>
    <cellStyle name="40% - Accent4 2 4 2" xfId="626" xr:uid="{00000000-0005-0000-0000-0000D2010000}"/>
    <cellStyle name="40% - Accent4 2 4 2 2" xfId="627" xr:uid="{00000000-0005-0000-0000-0000D3010000}"/>
    <cellStyle name="40% - Accent4 2 4 3" xfId="628" xr:uid="{00000000-0005-0000-0000-0000D4010000}"/>
    <cellStyle name="40% - Accent4 2 5" xfId="629" xr:uid="{00000000-0005-0000-0000-0000D5010000}"/>
    <cellStyle name="40% - Accent4 2 5 2" xfId="630" xr:uid="{00000000-0005-0000-0000-0000D6010000}"/>
    <cellStyle name="40% - Accent4 2 5 2 2" xfId="631" xr:uid="{00000000-0005-0000-0000-0000D7010000}"/>
    <cellStyle name="40% - Accent4 2 5 3" xfId="632" xr:uid="{00000000-0005-0000-0000-0000D8010000}"/>
    <cellStyle name="40% - Accent4 2 6" xfId="633" xr:uid="{00000000-0005-0000-0000-0000D9010000}"/>
    <cellStyle name="40% - Accent4 2 6 2" xfId="634" xr:uid="{00000000-0005-0000-0000-0000DA010000}"/>
    <cellStyle name="40% - Accent4 2 6 2 2" xfId="635" xr:uid="{00000000-0005-0000-0000-0000DB010000}"/>
    <cellStyle name="40% - Accent4 2 6 3" xfId="636" xr:uid="{00000000-0005-0000-0000-0000DC010000}"/>
    <cellStyle name="40% - Accent4 2 7" xfId="637" xr:uid="{00000000-0005-0000-0000-0000DD010000}"/>
    <cellStyle name="40% - Accent4 2 7 2" xfId="638" xr:uid="{00000000-0005-0000-0000-0000DE010000}"/>
    <cellStyle name="40% - Accent4 2 7 2 2" xfId="639" xr:uid="{00000000-0005-0000-0000-0000DF010000}"/>
    <cellStyle name="40% - Accent4 2 7 3" xfId="640" xr:uid="{00000000-0005-0000-0000-0000E0010000}"/>
    <cellStyle name="40% - Accent4 2 8" xfId="641" xr:uid="{00000000-0005-0000-0000-0000E1010000}"/>
    <cellStyle name="40% - Accent4 2 8 2" xfId="642" xr:uid="{00000000-0005-0000-0000-0000E2010000}"/>
    <cellStyle name="40% - Accent4 2 9" xfId="643" xr:uid="{00000000-0005-0000-0000-0000E3010000}"/>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3" xfId="663" xr:uid="{00000000-0005-0000-0000-0000F8010000}"/>
    <cellStyle name="40% - Accent5 2 3" xfId="664" xr:uid="{00000000-0005-0000-0000-0000F9010000}"/>
    <cellStyle name="40% - Accent5 2 3 2" xfId="665" xr:uid="{00000000-0005-0000-0000-0000FA010000}"/>
    <cellStyle name="40% - Accent5 2 3 2 2" xfId="666" xr:uid="{00000000-0005-0000-0000-0000FB010000}"/>
    <cellStyle name="40% - Accent5 2 3 3" xfId="667" xr:uid="{00000000-0005-0000-0000-0000FC010000}"/>
    <cellStyle name="40% - Accent5 2 4" xfId="668" xr:uid="{00000000-0005-0000-0000-0000FD010000}"/>
    <cellStyle name="40% - Accent5 2 4 2" xfId="669" xr:uid="{00000000-0005-0000-0000-0000FE010000}"/>
    <cellStyle name="40% - Accent5 2 4 2 2" xfId="670" xr:uid="{00000000-0005-0000-0000-0000FF010000}"/>
    <cellStyle name="40% - Accent5 2 4 3" xfId="671" xr:uid="{00000000-0005-0000-0000-000000020000}"/>
    <cellStyle name="40% - Accent5 2 5" xfId="672" xr:uid="{00000000-0005-0000-0000-000001020000}"/>
    <cellStyle name="40% - Accent5 2 5 2" xfId="673" xr:uid="{00000000-0005-0000-0000-000002020000}"/>
    <cellStyle name="40% - Accent5 2 5 2 2" xfId="674" xr:uid="{00000000-0005-0000-0000-000003020000}"/>
    <cellStyle name="40% - Accent5 2 5 3" xfId="675" xr:uid="{00000000-0005-0000-0000-000004020000}"/>
    <cellStyle name="40% - Accent5 2 6" xfId="676" xr:uid="{00000000-0005-0000-0000-000005020000}"/>
    <cellStyle name="40% - Accent5 2 6 2" xfId="677" xr:uid="{00000000-0005-0000-0000-000006020000}"/>
    <cellStyle name="40% - Accent5 2 6 2 2" xfId="678" xr:uid="{00000000-0005-0000-0000-000007020000}"/>
    <cellStyle name="40% - Accent5 2 6 3" xfId="679" xr:uid="{00000000-0005-0000-0000-000008020000}"/>
    <cellStyle name="40% - Accent5 2 7" xfId="680" xr:uid="{00000000-0005-0000-0000-000009020000}"/>
    <cellStyle name="40% - Accent5 2 7 2" xfId="681" xr:uid="{00000000-0005-0000-0000-00000A020000}"/>
    <cellStyle name="40% - Accent5 2 7 2 2" xfId="682" xr:uid="{00000000-0005-0000-0000-00000B020000}"/>
    <cellStyle name="40% - Accent5 2 7 3" xfId="683" xr:uid="{00000000-0005-0000-0000-00000C020000}"/>
    <cellStyle name="40% - Accent5 2 8" xfId="684" xr:uid="{00000000-0005-0000-0000-00000D020000}"/>
    <cellStyle name="40% - Accent5 2 8 2" xfId="685" xr:uid="{00000000-0005-0000-0000-00000E020000}"/>
    <cellStyle name="40% - Accent5 2 9" xfId="686" xr:uid="{00000000-0005-0000-0000-00000F020000}"/>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3" xfId="706" xr:uid="{00000000-0005-0000-0000-000024020000}"/>
    <cellStyle name="40% - Accent6 2 3" xfId="707" xr:uid="{00000000-0005-0000-0000-000025020000}"/>
    <cellStyle name="40% - Accent6 2 3 2" xfId="708" xr:uid="{00000000-0005-0000-0000-000026020000}"/>
    <cellStyle name="40% - Accent6 2 3 2 2" xfId="709" xr:uid="{00000000-0005-0000-0000-000027020000}"/>
    <cellStyle name="40% - Accent6 2 3 3" xfId="710" xr:uid="{00000000-0005-0000-0000-000028020000}"/>
    <cellStyle name="40% - Accent6 2 4" xfId="711" xr:uid="{00000000-0005-0000-0000-000029020000}"/>
    <cellStyle name="40% - Accent6 2 4 2" xfId="712" xr:uid="{00000000-0005-0000-0000-00002A020000}"/>
    <cellStyle name="40% - Accent6 2 4 2 2" xfId="713" xr:uid="{00000000-0005-0000-0000-00002B020000}"/>
    <cellStyle name="40% - Accent6 2 4 3" xfId="714" xr:uid="{00000000-0005-0000-0000-00002C020000}"/>
    <cellStyle name="40% - Accent6 2 5" xfId="715" xr:uid="{00000000-0005-0000-0000-00002D020000}"/>
    <cellStyle name="40% - Accent6 2 5 2" xfId="716" xr:uid="{00000000-0005-0000-0000-00002E020000}"/>
    <cellStyle name="40% - Accent6 2 5 2 2" xfId="717" xr:uid="{00000000-0005-0000-0000-00002F020000}"/>
    <cellStyle name="40% - Accent6 2 5 3" xfId="718" xr:uid="{00000000-0005-0000-0000-000030020000}"/>
    <cellStyle name="40% - Accent6 2 6" xfId="719" xr:uid="{00000000-0005-0000-0000-000031020000}"/>
    <cellStyle name="40% - Accent6 2 6 2" xfId="720" xr:uid="{00000000-0005-0000-0000-000032020000}"/>
    <cellStyle name="40% - Accent6 2 6 2 2" xfId="721" xr:uid="{00000000-0005-0000-0000-000033020000}"/>
    <cellStyle name="40% - Accent6 2 6 3" xfId="722" xr:uid="{00000000-0005-0000-0000-000034020000}"/>
    <cellStyle name="40% - Accent6 2 7" xfId="723" xr:uid="{00000000-0005-0000-0000-000035020000}"/>
    <cellStyle name="40% - Accent6 2 7 2" xfId="724" xr:uid="{00000000-0005-0000-0000-000036020000}"/>
    <cellStyle name="40% - Accent6 2 7 2 2" xfId="725" xr:uid="{00000000-0005-0000-0000-000037020000}"/>
    <cellStyle name="40% - Accent6 2 7 3" xfId="726" xr:uid="{00000000-0005-0000-0000-000038020000}"/>
    <cellStyle name="40% - Accent6 2 8" xfId="727" xr:uid="{00000000-0005-0000-0000-000039020000}"/>
    <cellStyle name="40% - Accent6 2 8 2" xfId="728" xr:uid="{00000000-0005-0000-0000-00003A020000}"/>
    <cellStyle name="40% - Accent6 2 9" xfId="729" xr:uid="{00000000-0005-0000-0000-00003B020000}"/>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4" xfId="4174" xr:uid="{00000000-0005-0000-0000-0000CC030000}"/>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5" xfId="4499" xr:uid="{00000000-0005-0000-0000-0000DA030000}"/>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3" xfId="4678" xr:uid="{00000000-0005-0000-0000-0000E0030000}"/>
    <cellStyle name="Comma 13" xfId="1043" xr:uid="{00000000-0005-0000-0000-0000E1030000}"/>
    <cellStyle name="Comma 13 2" xfId="4681" xr:uid="{00000000-0005-0000-0000-0000E2030000}"/>
    <cellStyle name="Comma 13 2 2" xfId="4691" xr:uid="{00000000-0005-0000-0000-0000E3030000}"/>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3" xfId="1051" xr:uid="{00000000-0005-0000-0000-0000ED030000}"/>
    <cellStyle name="Comma 2 3 2" xfId="1052" xr:uid="{00000000-0005-0000-0000-0000EE030000}"/>
    <cellStyle name="Comma 2 3 2 2" xfId="1053" xr:uid="{00000000-0005-0000-0000-0000EF030000}"/>
    <cellStyle name="Comma 2 3 3" xfId="1054" xr:uid="{00000000-0005-0000-0000-0000F0030000}"/>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4" xfId="4502" xr:uid="{00000000-0005-0000-0000-000058040000}"/>
    <cellStyle name="Comma 8 2 5" xfId="4503" xr:uid="{00000000-0005-0000-0000-000059040000}"/>
    <cellStyle name="Comma 8 3" xfId="4504" xr:uid="{00000000-0005-0000-0000-00005A040000}"/>
    <cellStyle name="Comma 8 4" xfId="4505" xr:uid="{00000000-0005-0000-0000-00005B040000}"/>
    <cellStyle name="Comma 8 5" xfId="4506" xr:uid="{00000000-0005-0000-0000-00005C040000}"/>
    <cellStyle name="Comma 8 6" xfId="4507" xr:uid="{00000000-0005-0000-0000-00005D040000}"/>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6" xfId="4697" xr:uid="{F5E6A9FF-7BC2-4414-A29E-3D2C5C949C12}"/>
    <cellStyle name="Comma 96 2" xfId="4699" xr:uid="{1D4432AB-FB89-46E4-9040-D358FD1B344D}"/>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3" xfId="1328" xr:uid="{00000000-0005-0000-0000-00002B050000}"/>
    <cellStyle name="Currency 2 3 3 2" xfId="1329" xr:uid="{00000000-0005-0000-0000-00002C050000}"/>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3" xfId="2284" xr:uid="{00000000-0005-0000-0000-000067090000}"/>
    <cellStyle name="Normal 17 2 3" xfId="2285" xr:uid="{00000000-0005-0000-0000-000068090000}"/>
    <cellStyle name="Normal 17 2 3 2" xfId="2286" xr:uid="{00000000-0005-0000-0000-000069090000}"/>
    <cellStyle name="Normal 17 2 3 2 2" xfId="2287" xr:uid="{00000000-0005-0000-0000-00006A090000}"/>
    <cellStyle name="Normal 17 2 3 3" xfId="2288" xr:uid="{00000000-0005-0000-0000-00006B090000}"/>
    <cellStyle name="Normal 17 2 4" xfId="2289" xr:uid="{00000000-0005-0000-0000-00006C090000}"/>
    <cellStyle name="Normal 17 2 4 2" xfId="2290" xr:uid="{00000000-0005-0000-0000-00006D090000}"/>
    <cellStyle name="Normal 17 2 5" xfId="2291" xr:uid="{00000000-0005-0000-0000-00006E090000}"/>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3" xfId="2474" xr:uid="{00000000-0005-0000-0000-0000260A0000}"/>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452BC43B-EC81-4F9E-BF82-0A6EDF35308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1" xfId="4328" xr:uid="{00000000-0005-0000-0000-0000A50E0000}"/>
    <cellStyle name="Normal 52" xfId="4329" xr:uid="{00000000-0005-0000-0000-0000A60E0000}"/>
    <cellStyle name="Normal 53" xfId="4330" xr:uid="{00000000-0005-0000-0000-0000A70E0000}"/>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9" xfId="4338" xr:uid="{00000000-0005-0000-0000-0000AF0E0000}"/>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3" xfId="4533" xr:uid="{00000000-0005-0000-0000-0000B60E0000}"/>
    <cellStyle name="Normal 6 2 2 2 2 4" xfId="4534" xr:uid="{00000000-0005-0000-0000-0000B70E0000}"/>
    <cellStyle name="Normal 6 2 2 2 3" xfId="4535" xr:uid="{00000000-0005-0000-0000-0000B80E0000}"/>
    <cellStyle name="Normal 6 2 2 2 4" xfId="4536" xr:uid="{00000000-0005-0000-0000-0000B90E0000}"/>
    <cellStyle name="Normal 6 2 2 2 5" xfId="4537" xr:uid="{00000000-0005-0000-0000-0000BA0E0000}"/>
    <cellStyle name="Normal 6 2 2 3" xfId="4538" xr:uid="{00000000-0005-0000-0000-0000BB0E0000}"/>
    <cellStyle name="Normal 6 2 2 3 2" xfId="4539" xr:uid="{00000000-0005-0000-0000-0000BC0E0000}"/>
    <cellStyle name="Normal 6 2 2 3 3" xfId="4540" xr:uid="{00000000-0005-0000-0000-0000BD0E0000}"/>
    <cellStyle name="Normal 6 2 2 3 4" xfId="4541" xr:uid="{00000000-0005-0000-0000-0000BE0E0000}"/>
    <cellStyle name="Normal 6 2 2 4" xfId="4542" xr:uid="{00000000-0005-0000-0000-0000BF0E0000}"/>
    <cellStyle name="Normal 6 2 2 5" xfId="4543" xr:uid="{00000000-0005-0000-0000-0000C00E0000}"/>
    <cellStyle name="Normal 6 2 2 6" xfId="4544" xr:uid="{00000000-0005-0000-0000-0000C10E0000}"/>
    <cellStyle name="Normal 6 2 3" xfId="4545" xr:uid="{00000000-0005-0000-0000-0000C20E0000}"/>
    <cellStyle name="Normal 6 2 3 2" xfId="4546" xr:uid="{00000000-0005-0000-0000-0000C30E0000}"/>
    <cellStyle name="Normal 6 2 3 2 2" xfId="4547" xr:uid="{00000000-0005-0000-0000-0000C40E0000}"/>
    <cellStyle name="Normal 6 2 3 2 3" xfId="4548" xr:uid="{00000000-0005-0000-0000-0000C50E0000}"/>
    <cellStyle name="Normal 6 2 3 2 4" xfId="4549" xr:uid="{00000000-0005-0000-0000-0000C60E0000}"/>
    <cellStyle name="Normal 6 2 3 3" xfId="4550" xr:uid="{00000000-0005-0000-0000-0000C70E0000}"/>
    <cellStyle name="Normal 6 2 3 4" xfId="4551" xr:uid="{00000000-0005-0000-0000-0000C80E0000}"/>
    <cellStyle name="Normal 6 2 3 5" xfId="4552" xr:uid="{00000000-0005-0000-0000-0000C90E0000}"/>
    <cellStyle name="Normal 6 2 4" xfId="4553" xr:uid="{00000000-0005-0000-0000-0000CA0E0000}"/>
    <cellStyle name="Normal 6 2 4 2" xfId="4554" xr:uid="{00000000-0005-0000-0000-0000CB0E0000}"/>
    <cellStyle name="Normal 6 2 4 3" xfId="4555" xr:uid="{00000000-0005-0000-0000-0000CC0E0000}"/>
    <cellStyle name="Normal 6 2 4 4" xfId="4556" xr:uid="{00000000-0005-0000-0000-0000CD0E0000}"/>
    <cellStyle name="Normal 6 2 5" xfId="4557" xr:uid="{00000000-0005-0000-0000-0000CE0E0000}"/>
    <cellStyle name="Normal 6 2 6" xfId="4558" xr:uid="{00000000-0005-0000-0000-0000CF0E0000}"/>
    <cellStyle name="Normal 6 2 7" xfId="4559" xr:uid="{00000000-0005-0000-0000-0000D00E0000}"/>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3" xfId="4562" xr:uid="{00000000-0005-0000-0000-0000D50E0000}"/>
    <cellStyle name="Normal 6 3 2 2 4" xfId="4563" xr:uid="{00000000-0005-0000-0000-0000D60E0000}"/>
    <cellStyle name="Normal 6 3 2 3" xfId="4564" xr:uid="{00000000-0005-0000-0000-0000D70E0000}"/>
    <cellStyle name="Normal 6 3 2 4" xfId="4565" xr:uid="{00000000-0005-0000-0000-0000D80E0000}"/>
    <cellStyle name="Normal 6 3 2 5" xfId="4566" xr:uid="{00000000-0005-0000-0000-0000D90E0000}"/>
    <cellStyle name="Normal 6 3 3" xfId="4567" xr:uid="{00000000-0005-0000-0000-0000DA0E0000}"/>
    <cellStyle name="Normal 6 3 3 2" xfId="4568" xr:uid="{00000000-0005-0000-0000-0000DB0E0000}"/>
    <cellStyle name="Normal 6 3 3 3" xfId="4569" xr:uid="{00000000-0005-0000-0000-0000DC0E0000}"/>
    <cellStyle name="Normal 6 3 3 4" xfId="4570" xr:uid="{00000000-0005-0000-0000-0000DD0E0000}"/>
    <cellStyle name="Normal 6 3 4" xfId="4571" xr:uid="{00000000-0005-0000-0000-0000DE0E0000}"/>
    <cellStyle name="Normal 6 3 5" xfId="4572" xr:uid="{00000000-0005-0000-0000-0000DF0E0000}"/>
    <cellStyle name="Normal 6 3 6" xfId="4573" xr:uid="{00000000-0005-0000-0000-0000E00E0000}"/>
    <cellStyle name="Normal 6 4" xfId="3621" xr:uid="{00000000-0005-0000-0000-0000E10E0000}"/>
    <cellStyle name="Normal 6 4 2" xfId="3622" xr:uid="{00000000-0005-0000-0000-0000E20E0000}"/>
    <cellStyle name="Normal 6 4 2 2" xfId="4574" xr:uid="{00000000-0005-0000-0000-0000E30E0000}"/>
    <cellStyle name="Normal 6 4 2 3" xfId="4575" xr:uid="{00000000-0005-0000-0000-0000E40E0000}"/>
    <cellStyle name="Normal 6 4 2 4" xfId="4576" xr:uid="{00000000-0005-0000-0000-0000E50E0000}"/>
    <cellStyle name="Normal 6 4 3" xfId="4577" xr:uid="{00000000-0005-0000-0000-0000E60E0000}"/>
    <cellStyle name="Normal 6 4 4" xfId="4578" xr:uid="{00000000-0005-0000-0000-0000E70E0000}"/>
    <cellStyle name="Normal 6 4 5" xfId="4579" xr:uid="{00000000-0005-0000-0000-0000E80E0000}"/>
    <cellStyle name="Normal 6 5" xfId="3623" xr:uid="{00000000-0005-0000-0000-0000E90E0000}"/>
    <cellStyle name="Normal 6 5 2" xfId="3624" xr:uid="{00000000-0005-0000-0000-0000EA0E0000}"/>
    <cellStyle name="Normal 6 5 3" xfId="4580" xr:uid="{00000000-0005-0000-0000-0000EB0E0000}"/>
    <cellStyle name="Normal 6 5 4" xfId="4581" xr:uid="{00000000-0005-0000-0000-0000EC0E0000}"/>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0" xfId="4339" xr:uid="{00000000-0005-0000-0000-0000F10E0000}"/>
    <cellStyle name="Normal 61" xfId="4340" xr:uid="{00000000-0005-0000-0000-0000F20E0000}"/>
    <cellStyle name="Normal 62" xfId="4341" xr:uid="{00000000-0005-0000-0000-0000F30E0000}"/>
    <cellStyle name="Normal 63" xfId="4342" xr:uid="{00000000-0005-0000-0000-0000F40E0000}"/>
    <cellStyle name="Normal 64" xfId="4343" xr:uid="{00000000-0005-0000-0000-0000F50E0000}"/>
    <cellStyle name="Normal 65" xfId="4470" xr:uid="{00000000-0005-0000-0000-0000F60E0000}"/>
    <cellStyle name="Normal 66" xfId="4667" xr:uid="{00000000-0005-0000-0000-0000F70E0000}"/>
    <cellStyle name="Normal 67" xfId="4671" xr:uid="{00000000-0005-0000-0000-0000F80E0000}"/>
    <cellStyle name="Normal 68" xfId="4695" xr:uid="{F6C58127-D7B3-48D0-A115-6420D9903E06}"/>
    <cellStyle name="Normal 69" xfId="4344" xr:uid="{00000000-0005-0000-0000-0000F90E0000}"/>
    <cellStyle name="Normal 69 3" xfId="4345" xr:uid="{00000000-0005-0000-0000-0000FA0E000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2" xfId="3639" xr:uid="{00000000-0005-0000-0000-0000090F0000}"/>
    <cellStyle name="Normal 8 2 2" xfId="3640" xr:uid="{00000000-0005-0000-0000-00000A0F0000}"/>
    <cellStyle name="Normal 8 2 2 2" xfId="4582" xr:uid="{00000000-0005-0000-0000-00000B0F0000}"/>
    <cellStyle name="Normal 8 2 2 3" xfId="4583" xr:uid="{00000000-0005-0000-0000-00000C0F0000}"/>
    <cellStyle name="Normal 8 2 2 4" xfId="4584" xr:uid="{00000000-0005-0000-0000-00000D0F0000}"/>
    <cellStyle name="Normal 8 2 3" xfId="4585" xr:uid="{00000000-0005-0000-0000-00000E0F0000}"/>
    <cellStyle name="Normal 8 2 4" xfId="4586" xr:uid="{00000000-0005-0000-0000-00000F0F0000}"/>
    <cellStyle name="Normal 8 2 5" xfId="4587" xr:uid="{00000000-0005-0000-0000-0000100F0000}"/>
    <cellStyle name="Normal 8 3" xfId="3641" xr:uid="{00000000-0005-0000-0000-0000110F0000}"/>
    <cellStyle name="Normal 8 3 2" xfId="3642" xr:uid="{00000000-0005-0000-0000-0000120F0000}"/>
    <cellStyle name="Normal 8 3 3" xfId="4588" xr:uid="{00000000-0005-0000-0000-0000130F0000}"/>
    <cellStyle name="Normal 8 3 4" xfId="4589" xr:uid="{00000000-0005-0000-0000-0000140F0000}"/>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4" xfId="4591" xr:uid="{00000000-0005-0000-0000-00003A0F0000}"/>
    <cellStyle name="Normal 9 2 3" xfId="3679" xr:uid="{00000000-0005-0000-0000-00003B0F0000}"/>
    <cellStyle name="Normal 9 2 4" xfId="4592" xr:uid="{00000000-0005-0000-0000-00003C0F0000}"/>
    <cellStyle name="Normal 9 2 5" xfId="4593" xr:uid="{00000000-0005-0000-0000-00003D0F0000}"/>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4" xfId="4652" xr:uid="{00000000-0005-0000-0000-000068110000}"/>
    <cellStyle name="Percent 6 5" xfId="4653" xr:uid="{00000000-0005-0000-0000-000069110000}"/>
    <cellStyle name="Percent 60" xfId="4405" xr:uid="{00000000-0005-0000-0000-00006A110000}"/>
    <cellStyle name="Percent 60 2" xfId="4475" xr:uid="{00000000-0005-0000-0000-00006B110000}"/>
    <cellStyle name="Percent 61" xfId="4406" xr:uid="{00000000-0005-0000-0000-00006C110000}"/>
    <cellStyle name="Percent 62" xfId="4407" xr:uid="{00000000-0005-0000-0000-00006D110000}"/>
    <cellStyle name="Percent 63" xfId="4696" xr:uid="{08E21B8F-E266-4C93-982E-7412FEBB2F09}"/>
    <cellStyle name="Percent 7" xfId="4247" xr:uid="{00000000-0005-0000-0000-00006E110000}"/>
    <cellStyle name="Percent 7 2" xfId="4654" xr:uid="{00000000-0005-0000-0000-00006F110000}"/>
    <cellStyle name="Percent 70" xfId="4408" xr:uid="{00000000-0005-0000-0000-000070110000}"/>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3" xfId="4689" xr:uid="{00000000-0005-0000-0000-000075110000}"/>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CC"/>
      <color rgb="FF000099"/>
      <color rgb="FF800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E58"/>
  <sheetViews>
    <sheetView tabSelected="1" zoomScale="80" zoomScaleNormal="80" workbookViewId="0">
      <selection activeCell="A60" sqref="A60"/>
    </sheetView>
  </sheetViews>
  <sheetFormatPr defaultColWidth="8.81640625" defaultRowHeight="15.6"/>
  <cols>
    <col min="1" max="1" width="23.81640625" style="189" customWidth="1"/>
    <col min="2" max="2" width="36.81640625" style="189" customWidth="1"/>
    <col min="3" max="3" width="67" style="189" bestFit="1" customWidth="1"/>
    <col min="4" max="4" width="18.81640625" style="189" customWidth="1"/>
    <col min="5" max="16384" width="8.81640625" style="189"/>
  </cols>
  <sheetData>
    <row r="1" spans="1:5" ht="20.399999999999999">
      <c r="A1" s="861" t="s">
        <v>317</v>
      </c>
      <c r="B1" s="861"/>
      <c r="C1" s="861"/>
      <c r="D1" s="861"/>
      <c r="E1" s="861"/>
    </row>
    <row r="2" spans="1:5" ht="20.399999999999999">
      <c r="A2" s="861" t="s">
        <v>546</v>
      </c>
      <c r="B2" s="861"/>
      <c r="C2" s="861"/>
      <c r="D2" s="861"/>
      <c r="E2" s="861"/>
    </row>
    <row r="3" spans="1:5">
      <c r="A3" s="190"/>
    </row>
    <row r="4" spans="1:5" ht="20.399999999999999">
      <c r="A4" s="861" t="s">
        <v>303</v>
      </c>
      <c r="B4" s="861"/>
      <c r="C4" s="861"/>
      <c r="D4" s="861"/>
      <c r="E4" s="861"/>
    </row>
    <row r="5" spans="1:5">
      <c r="A5" s="190"/>
      <c r="E5" s="191" t="s">
        <v>672</v>
      </c>
    </row>
    <row r="6" spans="1:5">
      <c r="A6" s="190" t="s">
        <v>304</v>
      </c>
    </row>
    <row r="7" spans="1:5" ht="47.25" customHeight="1">
      <c r="A7" s="859" t="s">
        <v>648</v>
      </c>
      <c r="B7" s="859"/>
      <c r="C7" s="859"/>
      <c r="D7" s="859"/>
      <c r="E7" s="859"/>
    </row>
    <row r="8" spans="1:5">
      <c r="A8" s="192"/>
      <c r="B8" s="192"/>
      <c r="C8" s="192"/>
      <c r="D8" s="192"/>
      <c r="E8" s="192"/>
    </row>
    <row r="9" spans="1:5" ht="36.75" customHeight="1">
      <c r="A9" s="859" t="s">
        <v>649</v>
      </c>
      <c r="B9" s="859"/>
      <c r="C9" s="859"/>
      <c r="D9" s="859"/>
      <c r="E9" s="859"/>
    </row>
    <row r="10" spans="1:5">
      <c r="A10" s="190"/>
    </row>
    <row r="11" spans="1:5" ht="51.75" customHeight="1">
      <c r="A11" s="859" t="s">
        <v>763</v>
      </c>
      <c r="B11" s="859"/>
      <c r="C11" s="859"/>
      <c r="D11" s="859"/>
      <c r="E11" s="859"/>
    </row>
    <row r="12" spans="1:5" ht="32.25" customHeight="1">
      <c r="A12" s="193"/>
      <c r="B12" s="860" t="s">
        <v>305</v>
      </c>
      <c r="C12" s="860"/>
      <c r="D12" s="860"/>
      <c r="E12" s="860"/>
    </row>
    <row r="13" spans="1:5" ht="19.5" customHeight="1">
      <c r="A13" s="194"/>
      <c r="B13" s="195" t="s">
        <v>673</v>
      </c>
      <c r="C13" s="195"/>
      <c r="D13" s="195"/>
      <c r="E13" s="195"/>
    </row>
    <row r="14" spans="1:5">
      <c r="A14" s="190"/>
      <c r="C14" s="189" t="s">
        <v>306</v>
      </c>
    </row>
    <row r="16" spans="1:5" ht="16.2" thickBot="1">
      <c r="A16" s="196" t="s">
        <v>307</v>
      </c>
      <c r="B16" s="196" t="s">
        <v>308</v>
      </c>
      <c r="C16" s="196" t="s">
        <v>191</v>
      </c>
      <c r="D16" s="197" t="s">
        <v>309</v>
      </c>
      <c r="E16" s="196"/>
    </row>
    <row r="17" spans="1:4">
      <c r="D17" s="198"/>
    </row>
    <row r="18" spans="1:4">
      <c r="A18" s="199"/>
      <c r="D18" s="200"/>
    </row>
    <row r="19" spans="1:4">
      <c r="D19" s="198"/>
    </row>
    <row r="20" spans="1:4">
      <c r="A20" s="201" t="s">
        <v>519</v>
      </c>
      <c r="B20" s="189" t="s">
        <v>478</v>
      </c>
      <c r="C20" s="189" t="s">
        <v>539</v>
      </c>
      <c r="D20" s="200" t="s">
        <v>169</v>
      </c>
    </row>
    <row r="21" spans="1:4" ht="17.25" customHeight="1">
      <c r="D21" s="198"/>
    </row>
    <row r="22" spans="1:4">
      <c r="A22" s="201" t="s">
        <v>520</v>
      </c>
      <c r="B22" s="189" t="s">
        <v>530</v>
      </c>
      <c r="C22" s="189" t="s">
        <v>310</v>
      </c>
      <c r="D22" s="200" t="s">
        <v>169</v>
      </c>
    </row>
    <row r="23" spans="1:4">
      <c r="D23" s="200"/>
    </row>
    <row r="24" spans="1:4">
      <c r="A24" s="201" t="s">
        <v>521</v>
      </c>
      <c r="B24" s="189" t="s">
        <v>531</v>
      </c>
      <c r="C24" s="189" t="s">
        <v>540</v>
      </c>
      <c r="D24" s="200" t="s">
        <v>169</v>
      </c>
    </row>
    <row r="25" spans="1:4">
      <c r="D25" s="200"/>
    </row>
    <row r="26" spans="1:4">
      <c r="A26" s="201" t="s">
        <v>522</v>
      </c>
      <c r="B26" s="189" t="s">
        <v>532</v>
      </c>
      <c r="C26" s="189" t="s">
        <v>544</v>
      </c>
      <c r="D26" s="200" t="s">
        <v>169</v>
      </c>
    </row>
    <row r="28" spans="1:4">
      <c r="A28" s="201" t="s">
        <v>1183</v>
      </c>
      <c r="B28" s="189" t="s">
        <v>1185</v>
      </c>
      <c r="C28" s="189" t="s">
        <v>1187</v>
      </c>
      <c r="D28" s="200" t="s">
        <v>169</v>
      </c>
    </row>
    <row r="29" spans="1:4">
      <c r="A29" s="201"/>
      <c r="D29" s="200"/>
    </row>
    <row r="30" spans="1:4">
      <c r="A30" s="201" t="s">
        <v>1184</v>
      </c>
      <c r="B30" s="189" t="s">
        <v>1186</v>
      </c>
      <c r="C30" s="189" t="s">
        <v>1188</v>
      </c>
      <c r="D30" s="200" t="s">
        <v>1189</v>
      </c>
    </row>
    <row r="31" spans="1:4">
      <c r="D31" s="200"/>
    </row>
    <row r="32" spans="1:4">
      <c r="A32" s="201" t="s">
        <v>523</v>
      </c>
      <c r="B32" s="189" t="s">
        <v>533</v>
      </c>
      <c r="C32" s="189" t="s">
        <v>545</v>
      </c>
      <c r="D32" s="200" t="s">
        <v>169</v>
      </c>
    </row>
    <row r="33" spans="1:4">
      <c r="D33" s="200"/>
    </row>
    <row r="34" spans="1:4">
      <c r="A34" s="201" t="s">
        <v>524</v>
      </c>
      <c r="B34" s="189" t="s">
        <v>534</v>
      </c>
      <c r="C34" s="189" t="s">
        <v>541</v>
      </c>
      <c r="D34" s="200" t="s">
        <v>169</v>
      </c>
    </row>
    <row r="35" spans="1:4">
      <c r="D35" s="200"/>
    </row>
    <row r="36" spans="1:4">
      <c r="A36" s="201" t="s">
        <v>525</v>
      </c>
      <c r="B36" s="189" t="s">
        <v>535</v>
      </c>
      <c r="C36" s="189" t="s">
        <v>542</v>
      </c>
      <c r="D36" s="200" t="s">
        <v>169</v>
      </c>
    </row>
    <row r="37" spans="1:4">
      <c r="D37" s="200"/>
    </row>
    <row r="38" spans="1:4">
      <c r="A38" s="189" t="s">
        <v>724</v>
      </c>
      <c r="B38" s="189" t="s">
        <v>684</v>
      </c>
      <c r="C38" s="189" t="s">
        <v>725</v>
      </c>
      <c r="D38" s="200" t="s">
        <v>169</v>
      </c>
    </row>
    <row r="39" spans="1:4">
      <c r="D39" s="200"/>
    </row>
    <row r="40" spans="1:4">
      <c r="A40" s="189" t="s">
        <v>1017</v>
      </c>
      <c r="B40" s="189" t="s">
        <v>1013</v>
      </c>
      <c r="C40" s="189" t="s">
        <v>970</v>
      </c>
      <c r="D40" s="200" t="s">
        <v>169</v>
      </c>
    </row>
    <row r="41" spans="1:4">
      <c r="D41" s="200"/>
    </row>
    <row r="42" spans="1:4">
      <c r="A42" s="189" t="s">
        <v>1016</v>
      </c>
      <c r="B42" s="189" t="s">
        <v>1014</v>
      </c>
      <c r="C42" s="189" t="s">
        <v>1015</v>
      </c>
      <c r="D42" s="200" t="s">
        <v>169</v>
      </c>
    </row>
    <row r="43" spans="1:4">
      <c r="D43" s="200"/>
    </row>
    <row r="44" spans="1:4">
      <c r="A44" s="201" t="s">
        <v>311</v>
      </c>
      <c r="B44" s="189" t="s">
        <v>312</v>
      </c>
      <c r="C44" s="189" t="s">
        <v>313</v>
      </c>
      <c r="D44" s="200" t="s">
        <v>761</v>
      </c>
    </row>
    <row r="45" spans="1:4">
      <c r="D45" s="200"/>
    </row>
    <row r="46" spans="1:4">
      <c r="A46" s="201" t="s">
        <v>526</v>
      </c>
      <c r="B46" s="189" t="s">
        <v>479</v>
      </c>
      <c r="C46" s="189" t="s">
        <v>543</v>
      </c>
      <c r="D46" s="200" t="s">
        <v>762</v>
      </c>
    </row>
    <row r="47" spans="1:4">
      <c r="D47" s="200"/>
    </row>
    <row r="48" spans="1:4">
      <c r="A48" s="201" t="s">
        <v>527</v>
      </c>
      <c r="B48" s="189" t="s">
        <v>536</v>
      </c>
      <c r="C48" s="189" t="s">
        <v>314</v>
      </c>
      <c r="D48" s="200" t="s">
        <v>762</v>
      </c>
    </row>
    <row r="49" spans="1:4">
      <c r="D49" s="200"/>
    </row>
    <row r="50" spans="1:4">
      <c r="A50" s="201" t="s">
        <v>528</v>
      </c>
      <c r="B50" s="189" t="s">
        <v>537</v>
      </c>
      <c r="C50" s="189" t="s">
        <v>315</v>
      </c>
      <c r="D50" s="200" t="s">
        <v>762</v>
      </c>
    </row>
    <row r="51" spans="1:4">
      <c r="D51" s="200"/>
    </row>
    <row r="52" spans="1:4">
      <c r="A52" s="201" t="s">
        <v>529</v>
      </c>
      <c r="B52" s="189" t="s">
        <v>538</v>
      </c>
      <c r="C52" s="189" t="s">
        <v>316</v>
      </c>
      <c r="D52" s="200" t="s">
        <v>762</v>
      </c>
    </row>
    <row r="53" spans="1:4">
      <c r="A53" s="202"/>
      <c r="B53" s="202"/>
      <c r="C53" s="202"/>
      <c r="D53" s="203"/>
    </row>
    <row r="54" spans="1:4">
      <c r="A54" s="201" t="s">
        <v>726</v>
      </c>
      <c r="B54" s="189" t="s">
        <v>727</v>
      </c>
      <c r="C54" s="189" t="s">
        <v>708</v>
      </c>
      <c r="D54" s="200" t="s">
        <v>762</v>
      </c>
    </row>
    <row r="55" spans="1:4">
      <c r="A55" s="202"/>
      <c r="B55" s="202"/>
      <c r="C55" s="202"/>
      <c r="D55" s="203"/>
    </row>
    <row r="56" spans="1:4">
      <c r="A56" s="201" t="s">
        <v>868</v>
      </c>
      <c r="B56" s="189" t="s">
        <v>856</v>
      </c>
      <c r="C56" s="189" t="s">
        <v>869</v>
      </c>
      <c r="D56" s="200" t="s">
        <v>762</v>
      </c>
    </row>
    <row r="57" spans="1:4">
      <c r="A57" s="202"/>
      <c r="B57" s="202"/>
      <c r="C57" s="202"/>
      <c r="D57" s="203"/>
    </row>
    <row r="58" spans="1:4">
      <c r="A58" s="201" t="s">
        <v>735</v>
      </c>
      <c r="B58" s="189" t="s">
        <v>735</v>
      </c>
      <c r="C58" s="189" t="s">
        <v>736</v>
      </c>
      <c r="D58" s="200" t="s">
        <v>761</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H34"/>
  <sheetViews>
    <sheetView workbookViewId="0">
      <selection activeCell="A50" sqref="A50"/>
    </sheetView>
  </sheetViews>
  <sheetFormatPr defaultColWidth="7.08984375" defaultRowHeight="13.2"/>
  <cols>
    <col min="1" max="1" width="2.08984375" style="204" customWidth="1"/>
    <col min="2" max="2" width="4.81640625" style="204" customWidth="1"/>
    <col min="3" max="3" width="11.1796875" style="204" customWidth="1"/>
    <col min="4" max="4" width="9.453125" style="204" bestFit="1" customWidth="1"/>
    <col min="5" max="5" width="11.1796875" style="204" customWidth="1"/>
    <col min="6" max="6" width="13" style="204" customWidth="1"/>
    <col min="7" max="7" width="9.453125" style="204" customWidth="1"/>
    <col min="8" max="8" width="8.1796875" style="215" customWidth="1"/>
    <col min="9" max="248" width="7.08984375" style="204"/>
    <col min="249" max="249" width="10.1796875" style="204" customWidth="1"/>
    <col min="250" max="250" width="3.54296875" style="204" customWidth="1"/>
    <col min="251" max="252" width="1.81640625" style="204" customWidth="1"/>
    <col min="253" max="253" width="4" style="204" customWidth="1"/>
    <col min="254" max="254" width="24.1796875" style="204" customWidth="1"/>
    <col min="255" max="255" width="1.81640625" style="204" customWidth="1"/>
    <col min="256" max="257" width="8.1796875" style="204" customWidth="1"/>
    <col min="258" max="504" width="7.08984375" style="204"/>
    <col min="505" max="505" width="10.1796875" style="204" customWidth="1"/>
    <col min="506" max="506" width="3.54296875" style="204" customWidth="1"/>
    <col min="507" max="508" width="1.81640625" style="204" customWidth="1"/>
    <col min="509" max="509" width="4" style="204" customWidth="1"/>
    <col min="510" max="510" width="24.1796875" style="204" customWidth="1"/>
    <col min="511" max="511" width="1.81640625" style="204" customWidth="1"/>
    <col min="512" max="513" width="8.1796875" style="204" customWidth="1"/>
    <col min="514" max="760" width="7.08984375" style="204"/>
    <col min="761" max="761" width="10.1796875" style="204" customWidth="1"/>
    <col min="762" max="762" width="3.54296875" style="204" customWidth="1"/>
    <col min="763" max="764" width="1.81640625" style="204" customWidth="1"/>
    <col min="765" max="765" width="4" style="204" customWidth="1"/>
    <col min="766" max="766" width="24.1796875" style="204" customWidth="1"/>
    <col min="767" max="767" width="1.81640625" style="204" customWidth="1"/>
    <col min="768" max="769" width="8.1796875" style="204" customWidth="1"/>
    <col min="770" max="1016" width="7.08984375" style="204"/>
    <col min="1017" max="1017" width="10.1796875" style="204" customWidth="1"/>
    <col min="1018" max="1018" width="3.54296875" style="204" customWidth="1"/>
    <col min="1019" max="1020" width="1.81640625" style="204" customWidth="1"/>
    <col min="1021" max="1021" width="4" style="204" customWidth="1"/>
    <col min="1022" max="1022" width="24.1796875" style="204" customWidth="1"/>
    <col min="1023" max="1023" width="1.81640625" style="204" customWidth="1"/>
    <col min="1024" max="1025" width="8.1796875" style="204" customWidth="1"/>
    <col min="1026" max="1272" width="7.08984375" style="204"/>
    <col min="1273" max="1273" width="10.1796875" style="204" customWidth="1"/>
    <col min="1274" max="1274" width="3.54296875" style="204" customWidth="1"/>
    <col min="1275" max="1276" width="1.81640625" style="204" customWidth="1"/>
    <col min="1277" max="1277" width="4" style="204" customWidth="1"/>
    <col min="1278" max="1278" width="24.1796875" style="204" customWidth="1"/>
    <col min="1279" max="1279" width="1.81640625" style="204" customWidth="1"/>
    <col min="1280" max="1281" width="8.1796875" style="204" customWidth="1"/>
    <col min="1282" max="1528" width="7.08984375" style="204"/>
    <col min="1529" max="1529" width="10.1796875" style="204" customWidth="1"/>
    <col min="1530" max="1530" width="3.54296875" style="204" customWidth="1"/>
    <col min="1531" max="1532" width="1.81640625" style="204" customWidth="1"/>
    <col min="1533" max="1533" width="4" style="204" customWidth="1"/>
    <col min="1534" max="1534" width="24.1796875" style="204" customWidth="1"/>
    <col min="1535" max="1535" width="1.81640625" style="204" customWidth="1"/>
    <col min="1536" max="1537" width="8.1796875" style="204" customWidth="1"/>
    <col min="1538" max="1784" width="7.08984375" style="204"/>
    <col min="1785" max="1785" width="10.1796875" style="204" customWidth="1"/>
    <col min="1786" max="1786" width="3.54296875" style="204" customWidth="1"/>
    <col min="1787" max="1788" width="1.81640625" style="204" customWidth="1"/>
    <col min="1789" max="1789" width="4" style="204" customWidth="1"/>
    <col min="1790" max="1790" width="24.1796875" style="204" customWidth="1"/>
    <col min="1791" max="1791" width="1.81640625" style="204" customWidth="1"/>
    <col min="1792" max="1793" width="8.1796875" style="204" customWidth="1"/>
    <col min="1794" max="2040" width="7.08984375" style="204"/>
    <col min="2041" max="2041" width="10.1796875" style="204" customWidth="1"/>
    <col min="2042" max="2042" width="3.54296875" style="204" customWidth="1"/>
    <col min="2043" max="2044" width="1.81640625" style="204" customWidth="1"/>
    <col min="2045" max="2045" width="4" style="204" customWidth="1"/>
    <col min="2046" max="2046" width="24.1796875" style="204" customWidth="1"/>
    <col min="2047" max="2047" width="1.81640625" style="204" customWidth="1"/>
    <col min="2048" max="2049" width="8.1796875" style="204" customWidth="1"/>
    <col min="2050" max="2296" width="7.08984375" style="204"/>
    <col min="2297" max="2297" width="10.1796875" style="204" customWidth="1"/>
    <col min="2298" max="2298" width="3.54296875" style="204" customWidth="1"/>
    <col min="2299" max="2300" width="1.81640625" style="204" customWidth="1"/>
    <col min="2301" max="2301" width="4" style="204" customWidth="1"/>
    <col min="2302" max="2302" width="24.1796875" style="204" customWidth="1"/>
    <col min="2303" max="2303" width="1.81640625" style="204" customWidth="1"/>
    <col min="2304" max="2305" width="8.1796875" style="204" customWidth="1"/>
    <col min="2306" max="2552" width="7.08984375" style="204"/>
    <col min="2553" max="2553" width="10.1796875" style="204" customWidth="1"/>
    <col min="2554" max="2554" width="3.54296875" style="204" customWidth="1"/>
    <col min="2555" max="2556" width="1.81640625" style="204" customWidth="1"/>
    <col min="2557" max="2557" width="4" style="204" customWidth="1"/>
    <col min="2558" max="2558" width="24.1796875" style="204" customWidth="1"/>
    <col min="2559" max="2559" width="1.81640625" style="204" customWidth="1"/>
    <col min="2560" max="2561" width="8.1796875" style="204" customWidth="1"/>
    <col min="2562" max="2808" width="7.08984375" style="204"/>
    <col min="2809" max="2809" width="10.1796875" style="204" customWidth="1"/>
    <col min="2810" max="2810" width="3.54296875" style="204" customWidth="1"/>
    <col min="2811" max="2812" width="1.81640625" style="204" customWidth="1"/>
    <col min="2813" max="2813" width="4" style="204" customWidth="1"/>
    <col min="2814" max="2814" width="24.1796875" style="204" customWidth="1"/>
    <col min="2815" max="2815" width="1.81640625" style="204" customWidth="1"/>
    <col min="2816" max="2817" width="8.1796875" style="204" customWidth="1"/>
    <col min="2818" max="3064" width="7.08984375" style="204"/>
    <col min="3065" max="3065" width="10.1796875" style="204" customWidth="1"/>
    <col min="3066" max="3066" width="3.54296875" style="204" customWidth="1"/>
    <col min="3067" max="3068" width="1.81640625" style="204" customWidth="1"/>
    <col min="3069" max="3069" width="4" style="204" customWidth="1"/>
    <col min="3070" max="3070" width="24.1796875" style="204" customWidth="1"/>
    <col min="3071" max="3071" width="1.81640625" style="204" customWidth="1"/>
    <col min="3072" max="3073" width="8.1796875" style="204" customWidth="1"/>
    <col min="3074" max="3320" width="7.08984375" style="204"/>
    <col min="3321" max="3321" width="10.1796875" style="204" customWidth="1"/>
    <col min="3322" max="3322" width="3.54296875" style="204" customWidth="1"/>
    <col min="3323" max="3324" width="1.81640625" style="204" customWidth="1"/>
    <col min="3325" max="3325" width="4" style="204" customWidth="1"/>
    <col min="3326" max="3326" width="24.1796875" style="204" customWidth="1"/>
    <col min="3327" max="3327" width="1.81640625" style="204" customWidth="1"/>
    <col min="3328" max="3329" width="8.1796875" style="204" customWidth="1"/>
    <col min="3330" max="3576" width="7.08984375" style="204"/>
    <col min="3577" max="3577" width="10.1796875" style="204" customWidth="1"/>
    <col min="3578" max="3578" width="3.54296875" style="204" customWidth="1"/>
    <col min="3579" max="3580" width="1.81640625" style="204" customWidth="1"/>
    <col min="3581" max="3581" width="4" style="204" customWidth="1"/>
    <col min="3582" max="3582" width="24.1796875" style="204" customWidth="1"/>
    <col min="3583" max="3583" width="1.81640625" style="204" customWidth="1"/>
    <col min="3584" max="3585" width="8.1796875" style="204" customWidth="1"/>
    <col min="3586" max="3832" width="7.08984375" style="204"/>
    <col min="3833" max="3833" width="10.1796875" style="204" customWidth="1"/>
    <col min="3834" max="3834" width="3.54296875" style="204" customWidth="1"/>
    <col min="3835" max="3836" width="1.81640625" style="204" customWidth="1"/>
    <col min="3837" max="3837" width="4" style="204" customWidth="1"/>
    <col min="3838" max="3838" width="24.1796875" style="204" customWidth="1"/>
    <col min="3839" max="3839" width="1.81640625" style="204" customWidth="1"/>
    <col min="3840" max="3841" width="8.1796875" style="204" customWidth="1"/>
    <col min="3842" max="4088" width="7.08984375" style="204"/>
    <col min="4089" max="4089" width="10.1796875" style="204" customWidth="1"/>
    <col min="4090" max="4090" width="3.54296875" style="204" customWidth="1"/>
    <col min="4091" max="4092" width="1.81640625" style="204" customWidth="1"/>
    <col min="4093" max="4093" width="4" style="204" customWidth="1"/>
    <col min="4094" max="4094" width="24.1796875" style="204" customWidth="1"/>
    <col min="4095" max="4095" width="1.81640625" style="204" customWidth="1"/>
    <col min="4096" max="4097" width="8.1796875" style="204" customWidth="1"/>
    <col min="4098" max="4344" width="7.08984375" style="204"/>
    <col min="4345" max="4345" width="10.1796875" style="204" customWidth="1"/>
    <col min="4346" max="4346" width="3.54296875" style="204" customWidth="1"/>
    <col min="4347" max="4348" width="1.81640625" style="204" customWidth="1"/>
    <col min="4349" max="4349" width="4" style="204" customWidth="1"/>
    <col min="4350" max="4350" width="24.1796875" style="204" customWidth="1"/>
    <col min="4351" max="4351" width="1.81640625" style="204" customWidth="1"/>
    <col min="4352" max="4353" width="8.1796875" style="204" customWidth="1"/>
    <col min="4354" max="4600" width="7.08984375" style="204"/>
    <col min="4601" max="4601" width="10.1796875" style="204" customWidth="1"/>
    <col min="4602" max="4602" width="3.54296875" style="204" customWidth="1"/>
    <col min="4603" max="4604" width="1.81640625" style="204" customWidth="1"/>
    <col min="4605" max="4605" width="4" style="204" customWidth="1"/>
    <col min="4606" max="4606" width="24.1796875" style="204" customWidth="1"/>
    <col min="4607" max="4607" width="1.81640625" style="204" customWidth="1"/>
    <col min="4608" max="4609" width="8.1796875" style="204" customWidth="1"/>
    <col min="4610" max="4856" width="7.08984375" style="204"/>
    <col min="4857" max="4857" width="10.1796875" style="204" customWidth="1"/>
    <col min="4858" max="4858" width="3.54296875" style="204" customWidth="1"/>
    <col min="4859" max="4860" width="1.81640625" style="204" customWidth="1"/>
    <col min="4861" max="4861" width="4" style="204" customWidth="1"/>
    <col min="4862" max="4862" width="24.1796875" style="204" customWidth="1"/>
    <col min="4863" max="4863" width="1.81640625" style="204" customWidth="1"/>
    <col min="4864" max="4865" width="8.1796875" style="204" customWidth="1"/>
    <col min="4866" max="5112" width="7.08984375" style="204"/>
    <col min="5113" max="5113" width="10.1796875" style="204" customWidth="1"/>
    <col min="5114" max="5114" width="3.54296875" style="204" customWidth="1"/>
    <col min="5115" max="5116" width="1.81640625" style="204" customWidth="1"/>
    <col min="5117" max="5117" width="4" style="204" customWidth="1"/>
    <col min="5118" max="5118" width="24.1796875" style="204" customWidth="1"/>
    <col min="5119" max="5119" width="1.81640625" style="204" customWidth="1"/>
    <col min="5120" max="5121" width="8.1796875" style="204" customWidth="1"/>
    <col min="5122" max="5368" width="7.08984375" style="204"/>
    <col min="5369" max="5369" width="10.1796875" style="204" customWidth="1"/>
    <col min="5370" max="5370" width="3.54296875" style="204" customWidth="1"/>
    <col min="5371" max="5372" width="1.81640625" style="204" customWidth="1"/>
    <col min="5373" max="5373" width="4" style="204" customWidth="1"/>
    <col min="5374" max="5374" width="24.1796875" style="204" customWidth="1"/>
    <col min="5375" max="5375" width="1.81640625" style="204" customWidth="1"/>
    <col min="5376" max="5377" width="8.1796875" style="204" customWidth="1"/>
    <col min="5378" max="5624" width="7.08984375" style="204"/>
    <col min="5625" max="5625" width="10.1796875" style="204" customWidth="1"/>
    <col min="5626" max="5626" width="3.54296875" style="204" customWidth="1"/>
    <col min="5627" max="5628" width="1.81640625" style="204" customWidth="1"/>
    <col min="5629" max="5629" width="4" style="204" customWidth="1"/>
    <col min="5630" max="5630" width="24.1796875" style="204" customWidth="1"/>
    <col min="5631" max="5631" width="1.81640625" style="204" customWidth="1"/>
    <col min="5632" max="5633" width="8.1796875" style="204" customWidth="1"/>
    <col min="5634" max="5880" width="7.08984375" style="204"/>
    <col min="5881" max="5881" width="10.1796875" style="204" customWidth="1"/>
    <col min="5882" max="5882" width="3.54296875" style="204" customWidth="1"/>
    <col min="5883" max="5884" width="1.81640625" style="204" customWidth="1"/>
    <col min="5885" max="5885" width="4" style="204" customWidth="1"/>
    <col min="5886" max="5886" width="24.1796875" style="204" customWidth="1"/>
    <col min="5887" max="5887" width="1.81640625" style="204" customWidth="1"/>
    <col min="5888" max="5889" width="8.1796875" style="204" customWidth="1"/>
    <col min="5890" max="6136" width="7.08984375" style="204"/>
    <col min="6137" max="6137" width="10.1796875" style="204" customWidth="1"/>
    <col min="6138" max="6138" width="3.54296875" style="204" customWidth="1"/>
    <col min="6139" max="6140" width="1.81640625" style="204" customWidth="1"/>
    <col min="6141" max="6141" width="4" style="204" customWidth="1"/>
    <col min="6142" max="6142" width="24.1796875" style="204" customWidth="1"/>
    <col min="6143" max="6143" width="1.81640625" style="204" customWidth="1"/>
    <col min="6144" max="6145" width="8.1796875" style="204" customWidth="1"/>
    <col min="6146" max="6392" width="7.08984375" style="204"/>
    <col min="6393" max="6393" width="10.1796875" style="204" customWidth="1"/>
    <col min="6394" max="6394" width="3.54296875" style="204" customWidth="1"/>
    <col min="6395" max="6396" width="1.81640625" style="204" customWidth="1"/>
    <col min="6397" max="6397" width="4" style="204" customWidth="1"/>
    <col min="6398" max="6398" width="24.1796875" style="204" customWidth="1"/>
    <col min="6399" max="6399" width="1.81640625" style="204" customWidth="1"/>
    <col min="6400" max="6401" width="8.1796875" style="204" customWidth="1"/>
    <col min="6402" max="6648" width="7.08984375" style="204"/>
    <col min="6649" max="6649" width="10.1796875" style="204" customWidth="1"/>
    <col min="6650" max="6650" width="3.54296875" style="204" customWidth="1"/>
    <col min="6651" max="6652" width="1.81640625" style="204" customWidth="1"/>
    <col min="6653" max="6653" width="4" style="204" customWidth="1"/>
    <col min="6654" max="6654" width="24.1796875" style="204" customWidth="1"/>
    <col min="6655" max="6655" width="1.81640625" style="204" customWidth="1"/>
    <col min="6656" max="6657" width="8.1796875" style="204" customWidth="1"/>
    <col min="6658" max="6904" width="7.08984375" style="204"/>
    <col min="6905" max="6905" width="10.1796875" style="204" customWidth="1"/>
    <col min="6906" max="6906" width="3.54296875" style="204" customWidth="1"/>
    <col min="6907" max="6908" width="1.81640625" style="204" customWidth="1"/>
    <col min="6909" max="6909" width="4" style="204" customWidth="1"/>
    <col min="6910" max="6910" width="24.1796875" style="204" customWidth="1"/>
    <col min="6911" max="6911" width="1.81640625" style="204" customWidth="1"/>
    <col min="6912" max="6913" width="8.1796875" style="204" customWidth="1"/>
    <col min="6914" max="7160" width="7.08984375" style="204"/>
    <col min="7161" max="7161" width="10.1796875" style="204" customWidth="1"/>
    <col min="7162" max="7162" width="3.54296875" style="204" customWidth="1"/>
    <col min="7163" max="7164" width="1.81640625" style="204" customWidth="1"/>
    <col min="7165" max="7165" width="4" style="204" customWidth="1"/>
    <col min="7166" max="7166" width="24.1796875" style="204" customWidth="1"/>
    <col min="7167" max="7167" width="1.81640625" style="204" customWidth="1"/>
    <col min="7168" max="7169" width="8.1796875" style="204" customWidth="1"/>
    <col min="7170" max="7416" width="7.08984375" style="204"/>
    <col min="7417" max="7417" width="10.1796875" style="204" customWidth="1"/>
    <col min="7418" max="7418" width="3.54296875" style="204" customWidth="1"/>
    <col min="7419" max="7420" width="1.81640625" style="204" customWidth="1"/>
    <col min="7421" max="7421" width="4" style="204" customWidth="1"/>
    <col min="7422" max="7422" width="24.1796875" style="204" customWidth="1"/>
    <col min="7423" max="7423" width="1.81640625" style="204" customWidth="1"/>
    <col min="7424" max="7425" width="8.1796875" style="204" customWidth="1"/>
    <col min="7426" max="7672" width="7.08984375" style="204"/>
    <col min="7673" max="7673" width="10.1796875" style="204" customWidth="1"/>
    <col min="7674" max="7674" width="3.54296875" style="204" customWidth="1"/>
    <col min="7675" max="7676" width="1.81640625" style="204" customWidth="1"/>
    <col min="7677" max="7677" width="4" style="204" customWidth="1"/>
    <col min="7678" max="7678" width="24.1796875" style="204" customWidth="1"/>
    <col min="7679" max="7679" width="1.81640625" style="204" customWidth="1"/>
    <col min="7680" max="7681" width="8.1796875" style="204" customWidth="1"/>
    <col min="7682" max="7928" width="7.08984375" style="204"/>
    <col min="7929" max="7929" width="10.1796875" style="204" customWidth="1"/>
    <col min="7930" max="7930" width="3.54296875" style="204" customWidth="1"/>
    <col min="7931" max="7932" width="1.81640625" style="204" customWidth="1"/>
    <col min="7933" max="7933" width="4" style="204" customWidth="1"/>
    <col min="7934" max="7934" width="24.1796875" style="204" customWidth="1"/>
    <col min="7935" max="7935" width="1.81640625" style="204" customWidth="1"/>
    <col min="7936" max="7937" width="8.1796875" style="204" customWidth="1"/>
    <col min="7938" max="8184" width="7.08984375" style="204"/>
    <col min="8185" max="8185" width="10.1796875" style="204" customWidth="1"/>
    <col min="8186" max="8186" width="3.54296875" style="204" customWidth="1"/>
    <col min="8187" max="8188" width="1.81640625" style="204" customWidth="1"/>
    <col min="8189" max="8189" width="4" style="204" customWidth="1"/>
    <col min="8190" max="8190" width="24.1796875" style="204" customWidth="1"/>
    <col min="8191" max="8191" width="1.81640625" style="204" customWidth="1"/>
    <col min="8192" max="8193" width="8.1796875" style="204" customWidth="1"/>
    <col min="8194" max="8440" width="7.08984375" style="204"/>
    <col min="8441" max="8441" width="10.1796875" style="204" customWidth="1"/>
    <col min="8442" max="8442" width="3.54296875" style="204" customWidth="1"/>
    <col min="8443" max="8444" width="1.81640625" style="204" customWidth="1"/>
    <col min="8445" max="8445" width="4" style="204" customWidth="1"/>
    <col min="8446" max="8446" width="24.1796875" style="204" customWidth="1"/>
    <col min="8447" max="8447" width="1.81640625" style="204" customWidth="1"/>
    <col min="8448" max="8449" width="8.1796875" style="204" customWidth="1"/>
    <col min="8450" max="8696" width="7.08984375" style="204"/>
    <col min="8697" max="8697" width="10.1796875" style="204" customWidth="1"/>
    <col min="8698" max="8698" width="3.54296875" style="204" customWidth="1"/>
    <col min="8699" max="8700" width="1.81640625" style="204" customWidth="1"/>
    <col min="8701" max="8701" width="4" style="204" customWidth="1"/>
    <col min="8702" max="8702" width="24.1796875" style="204" customWidth="1"/>
    <col min="8703" max="8703" width="1.81640625" style="204" customWidth="1"/>
    <col min="8704" max="8705" width="8.1796875" style="204" customWidth="1"/>
    <col min="8706" max="8952" width="7.08984375" style="204"/>
    <col min="8953" max="8953" width="10.1796875" style="204" customWidth="1"/>
    <col min="8954" max="8954" width="3.54296875" style="204" customWidth="1"/>
    <col min="8955" max="8956" width="1.81640625" style="204" customWidth="1"/>
    <col min="8957" max="8957" width="4" style="204" customWidth="1"/>
    <col min="8958" max="8958" width="24.1796875" style="204" customWidth="1"/>
    <col min="8959" max="8959" width="1.81640625" style="204" customWidth="1"/>
    <col min="8960" max="8961" width="8.1796875" style="204" customWidth="1"/>
    <col min="8962" max="9208" width="7.08984375" style="204"/>
    <col min="9209" max="9209" width="10.1796875" style="204" customWidth="1"/>
    <col min="9210" max="9210" width="3.54296875" style="204" customWidth="1"/>
    <col min="9211" max="9212" width="1.81640625" style="204" customWidth="1"/>
    <col min="9213" max="9213" width="4" style="204" customWidth="1"/>
    <col min="9214" max="9214" width="24.1796875" style="204" customWidth="1"/>
    <col min="9215" max="9215" width="1.81640625" style="204" customWidth="1"/>
    <col min="9216" max="9217" width="8.1796875" style="204" customWidth="1"/>
    <col min="9218" max="9464" width="7.08984375" style="204"/>
    <col min="9465" max="9465" width="10.1796875" style="204" customWidth="1"/>
    <col min="9466" max="9466" width="3.54296875" style="204" customWidth="1"/>
    <col min="9467" max="9468" width="1.81640625" style="204" customWidth="1"/>
    <col min="9469" max="9469" width="4" style="204" customWidth="1"/>
    <col min="9470" max="9470" width="24.1796875" style="204" customWidth="1"/>
    <col min="9471" max="9471" width="1.81640625" style="204" customWidth="1"/>
    <col min="9472" max="9473" width="8.1796875" style="204" customWidth="1"/>
    <col min="9474" max="9720" width="7.08984375" style="204"/>
    <col min="9721" max="9721" width="10.1796875" style="204" customWidth="1"/>
    <col min="9722" max="9722" width="3.54296875" style="204" customWidth="1"/>
    <col min="9723" max="9724" width="1.81640625" style="204" customWidth="1"/>
    <col min="9725" max="9725" width="4" style="204" customWidth="1"/>
    <col min="9726" max="9726" width="24.1796875" style="204" customWidth="1"/>
    <col min="9727" max="9727" width="1.81640625" style="204" customWidth="1"/>
    <col min="9728" max="9729" width="8.1796875" style="204" customWidth="1"/>
    <col min="9730" max="9976" width="7.08984375" style="204"/>
    <col min="9977" max="9977" width="10.1796875" style="204" customWidth="1"/>
    <col min="9978" max="9978" width="3.54296875" style="204" customWidth="1"/>
    <col min="9979" max="9980" width="1.81640625" style="204" customWidth="1"/>
    <col min="9981" max="9981" width="4" style="204" customWidth="1"/>
    <col min="9982" max="9982" width="24.1796875" style="204" customWidth="1"/>
    <col min="9983" max="9983" width="1.81640625" style="204" customWidth="1"/>
    <col min="9984" max="9985" width="8.1796875" style="204" customWidth="1"/>
    <col min="9986" max="10232" width="7.08984375" style="204"/>
    <col min="10233" max="10233" width="10.1796875" style="204" customWidth="1"/>
    <col min="10234" max="10234" width="3.54296875" style="204" customWidth="1"/>
    <col min="10235" max="10236" width="1.81640625" style="204" customWidth="1"/>
    <col min="10237" max="10237" width="4" style="204" customWidth="1"/>
    <col min="10238" max="10238" width="24.1796875" style="204" customWidth="1"/>
    <col min="10239" max="10239" width="1.81640625" style="204" customWidth="1"/>
    <col min="10240" max="10241" width="8.1796875" style="204" customWidth="1"/>
    <col min="10242" max="10488" width="7.08984375" style="204"/>
    <col min="10489" max="10489" width="10.1796875" style="204" customWidth="1"/>
    <col min="10490" max="10490" width="3.54296875" style="204" customWidth="1"/>
    <col min="10491" max="10492" width="1.81640625" style="204" customWidth="1"/>
    <col min="10493" max="10493" width="4" style="204" customWidth="1"/>
    <col min="10494" max="10494" width="24.1796875" style="204" customWidth="1"/>
    <col min="10495" max="10495" width="1.81640625" style="204" customWidth="1"/>
    <col min="10496" max="10497" width="8.1796875" style="204" customWidth="1"/>
    <col min="10498" max="10744" width="7.08984375" style="204"/>
    <col min="10745" max="10745" width="10.1796875" style="204" customWidth="1"/>
    <col min="10746" max="10746" width="3.54296875" style="204" customWidth="1"/>
    <col min="10747" max="10748" width="1.81640625" style="204" customWidth="1"/>
    <col min="10749" max="10749" width="4" style="204" customWidth="1"/>
    <col min="10750" max="10750" width="24.1796875" style="204" customWidth="1"/>
    <col min="10751" max="10751" width="1.81640625" style="204" customWidth="1"/>
    <col min="10752" max="10753" width="8.1796875" style="204" customWidth="1"/>
    <col min="10754" max="11000" width="7.08984375" style="204"/>
    <col min="11001" max="11001" width="10.1796875" style="204" customWidth="1"/>
    <col min="11002" max="11002" width="3.54296875" style="204" customWidth="1"/>
    <col min="11003" max="11004" width="1.81640625" style="204" customWidth="1"/>
    <col min="11005" max="11005" width="4" style="204" customWidth="1"/>
    <col min="11006" max="11006" width="24.1796875" style="204" customWidth="1"/>
    <col min="11007" max="11007" width="1.81640625" style="204" customWidth="1"/>
    <col min="11008" max="11009" width="8.1796875" style="204" customWidth="1"/>
    <col min="11010" max="11256" width="7.08984375" style="204"/>
    <col min="11257" max="11257" width="10.1796875" style="204" customWidth="1"/>
    <col min="11258" max="11258" width="3.54296875" style="204" customWidth="1"/>
    <col min="11259" max="11260" width="1.81640625" style="204" customWidth="1"/>
    <col min="11261" max="11261" width="4" style="204" customWidth="1"/>
    <col min="11262" max="11262" width="24.1796875" style="204" customWidth="1"/>
    <col min="11263" max="11263" width="1.81640625" style="204" customWidth="1"/>
    <col min="11264" max="11265" width="8.1796875" style="204" customWidth="1"/>
    <col min="11266" max="11512" width="7.08984375" style="204"/>
    <col min="11513" max="11513" width="10.1796875" style="204" customWidth="1"/>
    <col min="11514" max="11514" width="3.54296875" style="204" customWidth="1"/>
    <col min="11515" max="11516" width="1.81640625" style="204" customWidth="1"/>
    <col min="11517" max="11517" width="4" style="204" customWidth="1"/>
    <col min="11518" max="11518" width="24.1796875" style="204" customWidth="1"/>
    <col min="11519" max="11519" width="1.81640625" style="204" customWidth="1"/>
    <col min="11520" max="11521" width="8.1796875" style="204" customWidth="1"/>
    <col min="11522" max="11768" width="7.08984375" style="204"/>
    <col min="11769" max="11769" width="10.1796875" style="204" customWidth="1"/>
    <col min="11770" max="11770" width="3.54296875" style="204" customWidth="1"/>
    <col min="11771" max="11772" width="1.81640625" style="204" customWidth="1"/>
    <col min="11773" max="11773" width="4" style="204" customWidth="1"/>
    <col min="11774" max="11774" width="24.1796875" style="204" customWidth="1"/>
    <col min="11775" max="11775" width="1.81640625" style="204" customWidth="1"/>
    <col min="11776" max="11777" width="8.1796875" style="204" customWidth="1"/>
    <col min="11778" max="12024" width="7.08984375" style="204"/>
    <col min="12025" max="12025" width="10.1796875" style="204" customWidth="1"/>
    <col min="12026" max="12026" width="3.54296875" style="204" customWidth="1"/>
    <col min="12027" max="12028" width="1.81640625" style="204" customWidth="1"/>
    <col min="12029" max="12029" width="4" style="204" customWidth="1"/>
    <col min="12030" max="12030" width="24.1796875" style="204" customWidth="1"/>
    <col min="12031" max="12031" width="1.81640625" style="204" customWidth="1"/>
    <col min="12032" max="12033" width="8.1796875" style="204" customWidth="1"/>
    <col min="12034" max="12280" width="7.08984375" style="204"/>
    <col min="12281" max="12281" width="10.1796875" style="204" customWidth="1"/>
    <col min="12282" max="12282" width="3.54296875" style="204" customWidth="1"/>
    <col min="12283" max="12284" width="1.81640625" style="204" customWidth="1"/>
    <col min="12285" max="12285" width="4" style="204" customWidth="1"/>
    <col min="12286" max="12286" width="24.1796875" style="204" customWidth="1"/>
    <col min="12287" max="12287" width="1.81640625" style="204" customWidth="1"/>
    <col min="12288" max="12289" width="8.1796875" style="204" customWidth="1"/>
    <col min="12290" max="12536" width="7.08984375" style="204"/>
    <col min="12537" max="12537" width="10.1796875" style="204" customWidth="1"/>
    <col min="12538" max="12538" width="3.54296875" style="204" customWidth="1"/>
    <col min="12539" max="12540" width="1.81640625" style="204" customWidth="1"/>
    <col min="12541" max="12541" width="4" style="204" customWidth="1"/>
    <col min="12542" max="12542" width="24.1796875" style="204" customWidth="1"/>
    <col min="12543" max="12543" width="1.81640625" style="204" customWidth="1"/>
    <col min="12544" max="12545" width="8.1796875" style="204" customWidth="1"/>
    <col min="12546" max="12792" width="7.08984375" style="204"/>
    <col min="12793" max="12793" width="10.1796875" style="204" customWidth="1"/>
    <col min="12794" max="12794" width="3.54296875" style="204" customWidth="1"/>
    <col min="12795" max="12796" width="1.81640625" style="204" customWidth="1"/>
    <col min="12797" max="12797" width="4" style="204" customWidth="1"/>
    <col min="12798" max="12798" width="24.1796875" style="204" customWidth="1"/>
    <col min="12799" max="12799" width="1.81640625" style="204" customWidth="1"/>
    <col min="12800" max="12801" width="8.1796875" style="204" customWidth="1"/>
    <col min="12802" max="13048" width="7.08984375" style="204"/>
    <col min="13049" max="13049" width="10.1796875" style="204" customWidth="1"/>
    <col min="13050" max="13050" width="3.54296875" style="204" customWidth="1"/>
    <col min="13051" max="13052" width="1.81640625" style="204" customWidth="1"/>
    <col min="13053" max="13053" width="4" style="204" customWidth="1"/>
    <col min="13054" max="13054" width="24.1796875" style="204" customWidth="1"/>
    <col min="13055" max="13055" width="1.81640625" style="204" customWidth="1"/>
    <col min="13056" max="13057" width="8.1796875" style="204" customWidth="1"/>
    <col min="13058" max="13304" width="7.08984375" style="204"/>
    <col min="13305" max="13305" width="10.1796875" style="204" customWidth="1"/>
    <col min="13306" max="13306" width="3.54296875" style="204" customWidth="1"/>
    <col min="13307" max="13308" width="1.81640625" style="204" customWidth="1"/>
    <col min="13309" max="13309" width="4" style="204" customWidth="1"/>
    <col min="13310" max="13310" width="24.1796875" style="204" customWidth="1"/>
    <col min="13311" max="13311" width="1.81640625" style="204" customWidth="1"/>
    <col min="13312" max="13313" width="8.1796875" style="204" customWidth="1"/>
    <col min="13314" max="13560" width="7.08984375" style="204"/>
    <col min="13561" max="13561" width="10.1796875" style="204" customWidth="1"/>
    <col min="13562" max="13562" width="3.54296875" style="204" customWidth="1"/>
    <col min="13563" max="13564" width="1.81640625" style="204" customWidth="1"/>
    <col min="13565" max="13565" width="4" style="204" customWidth="1"/>
    <col min="13566" max="13566" width="24.1796875" style="204" customWidth="1"/>
    <col min="13567" max="13567" width="1.81640625" style="204" customWidth="1"/>
    <col min="13568" max="13569" width="8.1796875" style="204" customWidth="1"/>
    <col min="13570" max="13816" width="7.08984375" style="204"/>
    <col min="13817" max="13817" width="10.1796875" style="204" customWidth="1"/>
    <col min="13818" max="13818" width="3.54296875" style="204" customWidth="1"/>
    <col min="13819" max="13820" width="1.81640625" style="204" customWidth="1"/>
    <col min="13821" max="13821" width="4" style="204" customWidth="1"/>
    <col min="13822" max="13822" width="24.1796875" style="204" customWidth="1"/>
    <col min="13823" max="13823" width="1.81640625" style="204" customWidth="1"/>
    <col min="13824" max="13825" width="8.1796875" style="204" customWidth="1"/>
    <col min="13826" max="14072" width="7.08984375" style="204"/>
    <col min="14073" max="14073" width="10.1796875" style="204" customWidth="1"/>
    <col min="14074" max="14074" width="3.54296875" style="204" customWidth="1"/>
    <col min="14075" max="14076" width="1.81640625" style="204" customWidth="1"/>
    <col min="14077" max="14077" width="4" style="204" customWidth="1"/>
    <col min="14078" max="14078" width="24.1796875" style="204" customWidth="1"/>
    <col min="14079" max="14079" width="1.81640625" style="204" customWidth="1"/>
    <col min="14080" max="14081" width="8.1796875" style="204" customWidth="1"/>
    <col min="14082" max="14328" width="7.08984375" style="204"/>
    <col min="14329" max="14329" width="10.1796875" style="204" customWidth="1"/>
    <col min="14330" max="14330" width="3.54296875" style="204" customWidth="1"/>
    <col min="14331" max="14332" width="1.81640625" style="204" customWidth="1"/>
    <col min="14333" max="14333" width="4" style="204" customWidth="1"/>
    <col min="14334" max="14334" width="24.1796875" style="204" customWidth="1"/>
    <col min="14335" max="14335" width="1.81640625" style="204" customWidth="1"/>
    <col min="14336" max="14337" width="8.1796875" style="204" customWidth="1"/>
    <col min="14338" max="14584" width="7.08984375" style="204"/>
    <col min="14585" max="14585" width="10.1796875" style="204" customWidth="1"/>
    <col min="14586" max="14586" width="3.54296875" style="204" customWidth="1"/>
    <col min="14587" max="14588" width="1.81640625" style="204" customWidth="1"/>
    <col min="14589" max="14589" width="4" style="204" customWidth="1"/>
    <col min="14590" max="14590" width="24.1796875" style="204" customWidth="1"/>
    <col min="14591" max="14591" width="1.81640625" style="204" customWidth="1"/>
    <col min="14592" max="14593" width="8.1796875" style="204" customWidth="1"/>
    <col min="14594" max="14840" width="7.08984375" style="204"/>
    <col min="14841" max="14841" width="10.1796875" style="204" customWidth="1"/>
    <col min="14842" max="14842" width="3.54296875" style="204" customWidth="1"/>
    <col min="14843" max="14844" width="1.81640625" style="204" customWidth="1"/>
    <col min="14845" max="14845" width="4" style="204" customWidth="1"/>
    <col min="14846" max="14846" width="24.1796875" style="204" customWidth="1"/>
    <col min="14847" max="14847" width="1.81640625" style="204" customWidth="1"/>
    <col min="14848" max="14849" width="8.1796875" style="204" customWidth="1"/>
    <col min="14850" max="15096" width="7.08984375" style="204"/>
    <col min="15097" max="15097" width="10.1796875" style="204" customWidth="1"/>
    <col min="15098" max="15098" width="3.54296875" style="204" customWidth="1"/>
    <col min="15099" max="15100" width="1.81640625" style="204" customWidth="1"/>
    <col min="15101" max="15101" width="4" style="204" customWidth="1"/>
    <col min="15102" max="15102" width="24.1796875" style="204" customWidth="1"/>
    <col min="15103" max="15103" width="1.81640625" style="204" customWidth="1"/>
    <col min="15104" max="15105" width="8.1796875" style="204" customWidth="1"/>
    <col min="15106" max="15352" width="7.08984375" style="204"/>
    <col min="15353" max="15353" width="10.1796875" style="204" customWidth="1"/>
    <col min="15354" max="15354" width="3.54296875" style="204" customWidth="1"/>
    <col min="15355" max="15356" width="1.81640625" style="204" customWidth="1"/>
    <col min="15357" max="15357" width="4" style="204" customWidth="1"/>
    <col min="15358" max="15358" width="24.1796875" style="204" customWidth="1"/>
    <col min="15359" max="15359" width="1.81640625" style="204" customWidth="1"/>
    <col min="15360" max="15361" width="8.1796875" style="204" customWidth="1"/>
    <col min="15362" max="15608" width="7.08984375" style="204"/>
    <col min="15609" max="15609" width="10.1796875" style="204" customWidth="1"/>
    <col min="15610" max="15610" width="3.54296875" style="204" customWidth="1"/>
    <col min="15611" max="15612" width="1.81640625" style="204" customWidth="1"/>
    <col min="15613" max="15613" width="4" style="204" customWidth="1"/>
    <col min="15614" max="15614" width="24.1796875" style="204" customWidth="1"/>
    <col min="15615" max="15615" width="1.81640625" style="204" customWidth="1"/>
    <col min="15616" max="15617" width="8.1796875" style="204" customWidth="1"/>
    <col min="15618" max="15864" width="7.08984375" style="204"/>
    <col min="15865" max="15865" width="10.1796875" style="204" customWidth="1"/>
    <col min="15866" max="15866" width="3.54296875" style="204" customWidth="1"/>
    <col min="15867" max="15868" width="1.81640625" style="204" customWidth="1"/>
    <col min="15869" max="15869" width="4" style="204" customWidth="1"/>
    <col min="15870" max="15870" width="24.1796875" style="204" customWidth="1"/>
    <col min="15871" max="15871" width="1.81640625" style="204" customWidth="1"/>
    <col min="15872" max="15873" width="8.1796875" style="204" customWidth="1"/>
    <col min="15874" max="16120" width="7.08984375" style="204"/>
    <col min="16121" max="16121" width="10.1796875" style="204" customWidth="1"/>
    <col min="16122" max="16122" width="3.54296875" style="204" customWidth="1"/>
    <col min="16123" max="16124" width="1.81640625" style="204" customWidth="1"/>
    <col min="16125" max="16125" width="4" style="204" customWidth="1"/>
    <col min="16126" max="16126" width="24.1796875" style="204" customWidth="1"/>
    <col min="16127" max="16127" width="1.81640625" style="204" customWidth="1"/>
    <col min="16128" max="16129" width="8.1796875" style="204" customWidth="1"/>
    <col min="16130" max="16384" width="7.08984375" style="204"/>
  </cols>
  <sheetData>
    <row r="1" spans="1:8" ht="14.25" customHeight="1">
      <c r="A1" s="887" t="s">
        <v>535</v>
      </c>
      <c r="B1" s="887"/>
      <c r="C1" s="887"/>
      <c r="D1" s="887"/>
      <c r="E1" s="887"/>
      <c r="F1" s="887"/>
      <c r="G1" s="887"/>
      <c r="H1" s="216"/>
    </row>
    <row r="2" spans="1:8">
      <c r="A2" s="887" t="s">
        <v>560</v>
      </c>
      <c r="B2" s="887"/>
      <c r="C2" s="887"/>
      <c r="D2" s="887"/>
      <c r="E2" s="887"/>
      <c r="F2" s="887"/>
      <c r="G2" s="887"/>
      <c r="H2" s="216"/>
    </row>
    <row r="3" spans="1:8">
      <c r="A3" s="888" t="str">
        <f>'Act Att-H'!C7</f>
        <v>Cheyenne Light, Fuel &amp; Power</v>
      </c>
      <c r="B3" s="888"/>
      <c r="C3" s="888"/>
      <c r="D3" s="888"/>
      <c r="E3" s="888"/>
      <c r="F3" s="888"/>
      <c r="G3" s="888"/>
      <c r="H3" s="228"/>
    </row>
    <row r="4" spans="1:8">
      <c r="F4" s="2"/>
      <c r="G4" s="205" t="s">
        <v>672</v>
      </c>
    </row>
    <row r="5" spans="1:8">
      <c r="A5" s="216"/>
      <c r="B5" s="216"/>
      <c r="C5" s="216"/>
      <c r="D5" s="216"/>
      <c r="E5" s="216"/>
      <c r="F5" s="216"/>
      <c r="G5" s="216"/>
      <c r="H5" s="216"/>
    </row>
    <row r="6" spans="1:8" ht="60.75" customHeight="1">
      <c r="B6" s="127" t="s">
        <v>4</v>
      </c>
      <c r="C6" s="127" t="s">
        <v>268</v>
      </c>
      <c r="D6" s="229" t="s">
        <v>269</v>
      </c>
      <c r="E6" s="229" t="s">
        <v>931</v>
      </c>
      <c r="F6" s="229" t="s">
        <v>561</v>
      </c>
      <c r="G6" s="229" t="s">
        <v>933</v>
      </c>
      <c r="H6" s="204"/>
    </row>
    <row r="7" spans="1:8" ht="15" customHeight="1">
      <c r="B7" s="225"/>
      <c r="C7" s="230" t="s">
        <v>157</v>
      </c>
      <c r="D7" s="231" t="s">
        <v>158</v>
      </c>
      <c r="E7" s="231" t="s">
        <v>159</v>
      </c>
      <c r="F7" s="231" t="s">
        <v>160</v>
      </c>
      <c r="G7" s="231" t="s">
        <v>161</v>
      </c>
      <c r="H7" s="204"/>
    </row>
    <row r="8" spans="1:8" ht="15" customHeight="1">
      <c r="B8" s="206">
        <v>1</v>
      </c>
      <c r="C8" s="419" t="s">
        <v>165</v>
      </c>
      <c r="D8" s="418">
        <v>2024</v>
      </c>
      <c r="E8" s="721">
        <v>314000</v>
      </c>
      <c r="F8" s="232">
        <f>E8</f>
        <v>314000</v>
      </c>
      <c r="G8" s="233"/>
      <c r="H8" s="204"/>
    </row>
    <row r="9" spans="1:8" ht="15" customHeight="1">
      <c r="B9" s="206">
        <v>2</v>
      </c>
      <c r="C9" s="419" t="s">
        <v>166</v>
      </c>
      <c r="D9" s="420">
        <f>D8</f>
        <v>2024</v>
      </c>
      <c r="E9" s="721">
        <v>300000</v>
      </c>
      <c r="F9" s="232">
        <f t="shared" ref="F9:F15" si="0">E9</f>
        <v>300000</v>
      </c>
      <c r="G9" s="233"/>
      <c r="H9" s="204"/>
    </row>
    <row r="10" spans="1:8" ht="15" customHeight="1">
      <c r="B10" s="206">
        <v>3</v>
      </c>
      <c r="C10" s="419" t="s">
        <v>515</v>
      </c>
      <c r="D10" s="420">
        <f t="shared" ref="D10:D19" si="1">D9</f>
        <v>2024</v>
      </c>
      <c r="E10" s="721">
        <v>298000</v>
      </c>
      <c r="F10" s="232">
        <f t="shared" si="0"/>
        <v>298000</v>
      </c>
      <c r="G10" s="233"/>
      <c r="H10" s="204"/>
    </row>
    <row r="11" spans="1:8" ht="15" customHeight="1">
      <c r="B11" s="206">
        <v>4</v>
      </c>
      <c r="C11" s="419" t="s">
        <v>167</v>
      </c>
      <c r="D11" s="420">
        <f t="shared" si="1"/>
        <v>2024</v>
      </c>
      <c r="E11" s="721">
        <v>302000</v>
      </c>
      <c r="F11" s="232">
        <f t="shared" si="0"/>
        <v>302000</v>
      </c>
      <c r="G11" s="233"/>
      <c r="H11" s="204"/>
    </row>
    <row r="12" spans="1:8" ht="15" customHeight="1">
      <c r="B12" s="206">
        <v>5</v>
      </c>
      <c r="C12" s="419" t="s">
        <v>168</v>
      </c>
      <c r="D12" s="420">
        <f t="shared" si="1"/>
        <v>2024</v>
      </c>
      <c r="E12" s="721">
        <v>290000</v>
      </c>
      <c r="F12" s="232">
        <f t="shared" si="0"/>
        <v>290000</v>
      </c>
      <c r="G12" s="233"/>
      <c r="H12" s="204"/>
    </row>
    <row r="13" spans="1:8" ht="15" customHeight="1">
      <c r="B13" s="206">
        <v>6</v>
      </c>
      <c r="C13" s="419" t="s">
        <v>169</v>
      </c>
      <c r="D13" s="420">
        <f t="shared" si="1"/>
        <v>2024</v>
      </c>
      <c r="E13" s="721">
        <v>293000</v>
      </c>
      <c r="F13" s="232">
        <f t="shared" si="0"/>
        <v>293000</v>
      </c>
      <c r="G13" s="233"/>
      <c r="H13" s="204"/>
    </row>
    <row r="14" spans="1:8" ht="15" customHeight="1">
      <c r="B14" s="206">
        <v>7</v>
      </c>
      <c r="C14" s="419" t="s">
        <v>170</v>
      </c>
      <c r="D14" s="420">
        <f t="shared" si="1"/>
        <v>2024</v>
      </c>
      <c r="E14" s="721">
        <v>308000</v>
      </c>
      <c r="F14" s="232">
        <f t="shared" si="0"/>
        <v>308000</v>
      </c>
      <c r="G14" s="233"/>
      <c r="H14" s="204"/>
    </row>
    <row r="15" spans="1:8" ht="15" customHeight="1">
      <c r="B15" s="206">
        <v>8</v>
      </c>
      <c r="C15" s="419" t="s">
        <v>516</v>
      </c>
      <c r="D15" s="420">
        <f t="shared" si="1"/>
        <v>2024</v>
      </c>
      <c r="E15" s="721">
        <v>309000</v>
      </c>
      <c r="F15" s="232">
        <f t="shared" si="0"/>
        <v>309000</v>
      </c>
      <c r="G15" s="233"/>
      <c r="H15" s="204"/>
    </row>
    <row r="16" spans="1:8" ht="15" customHeight="1">
      <c r="B16" s="206">
        <v>9</v>
      </c>
      <c r="C16" s="419" t="s">
        <v>171</v>
      </c>
      <c r="D16" s="420">
        <f t="shared" si="1"/>
        <v>2024</v>
      </c>
      <c r="E16" s="721">
        <v>294000</v>
      </c>
      <c r="F16" s="234"/>
      <c r="G16" s="235">
        <f>E16/F22</f>
        <v>0.97431648715824359</v>
      </c>
      <c r="H16" s="204"/>
    </row>
    <row r="17" spans="2:8" ht="15.6">
      <c r="B17" s="206">
        <v>10</v>
      </c>
      <c r="C17" s="419" t="s">
        <v>172</v>
      </c>
      <c r="D17" s="420">
        <f t="shared" si="1"/>
        <v>2024</v>
      </c>
      <c r="E17" s="721">
        <v>271000</v>
      </c>
      <c r="F17" s="234"/>
      <c r="G17" s="235">
        <f>E17/F22</f>
        <v>0.89809444904722457</v>
      </c>
      <c r="H17" s="204"/>
    </row>
    <row r="18" spans="2:8" ht="15.6">
      <c r="B18" s="206">
        <v>11</v>
      </c>
      <c r="C18" s="419" t="s">
        <v>173</v>
      </c>
      <c r="D18" s="420">
        <f t="shared" si="1"/>
        <v>2024</v>
      </c>
      <c r="E18" s="721">
        <v>281000</v>
      </c>
      <c r="F18" s="234"/>
      <c r="G18" s="235">
        <f>E18/F22</f>
        <v>0.93123446561723278</v>
      </c>
      <c r="H18" s="204"/>
    </row>
    <row r="19" spans="2:8" ht="15.6">
      <c r="B19" s="206">
        <v>12</v>
      </c>
      <c r="C19" s="419" t="s">
        <v>517</v>
      </c>
      <c r="D19" s="420">
        <f t="shared" si="1"/>
        <v>2024</v>
      </c>
      <c r="E19" s="721">
        <v>286000</v>
      </c>
      <c r="F19" s="234"/>
      <c r="G19" s="235">
        <f>E19/F22</f>
        <v>0.94780447390223699</v>
      </c>
      <c r="H19" s="204"/>
    </row>
    <row r="20" spans="2:8">
      <c r="B20" s="206">
        <v>13</v>
      </c>
      <c r="C20" s="236" t="s">
        <v>9</v>
      </c>
      <c r="D20" s="236"/>
      <c r="E20" s="237">
        <f t="shared" ref="E20" si="2">SUM(E8:E19)</f>
        <v>3546000</v>
      </c>
      <c r="G20" s="235"/>
      <c r="H20" s="204"/>
    </row>
    <row r="21" spans="2:8">
      <c r="B21" s="206">
        <v>14</v>
      </c>
      <c r="C21" s="236" t="s">
        <v>253</v>
      </c>
      <c r="D21" s="236"/>
      <c r="E21" s="238">
        <f t="shared" ref="E21" si="3">E20/12</f>
        <v>295500</v>
      </c>
      <c r="G21" s="239"/>
      <c r="H21" s="204"/>
    </row>
    <row r="22" spans="2:8">
      <c r="B22" s="206">
        <v>15</v>
      </c>
      <c r="C22" s="205" t="s">
        <v>562</v>
      </c>
      <c r="F22" s="232">
        <f>AVERAGE(F8:F15)</f>
        <v>301750</v>
      </c>
      <c r="G22" s="227"/>
      <c r="H22" s="204"/>
    </row>
    <row r="23" spans="2:8">
      <c r="B23" s="206"/>
      <c r="H23" s="226"/>
    </row>
    <row r="24" spans="2:8">
      <c r="B24" s="206" t="s">
        <v>174</v>
      </c>
      <c r="H24" s="226"/>
    </row>
    <row r="25" spans="2:8">
      <c r="B25" s="206" t="s">
        <v>79</v>
      </c>
      <c r="C25" s="204" t="s">
        <v>932</v>
      </c>
      <c r="H25" s="226"/>
    </row>
    <row r="26" spans="2:8">
      <c r="B26" s="206" t="s">
        <v>80</v>
      </c>
      <c r="C26" s="592" t="s">
        <v>934</v>
      </c>
      <c r="H26" s="226"/>
    </row>
    <row r="27" spans="2:8">
      <c r="B27" s="206"/>
      <c r="H27" s="226"/>
    </row>
    <row r="28" spans="2:8">
      <c r="B28" s="206"/>
      <c r="H28" s="226"/>
    </row>
    <row r="29" spans="2:8">
      <c r="B29" s="206"/>
      <c r="H29" s="226"/>
    </row>
    <row r="30" spans="2:8">
      <c r="B30" s="206"/>
      <c r="H30" s="226"/>
    </row>
    <row r="31" spans="2:8">
      <c r="B31" s="206"/>
      <c r="H31" s="226"/>
    </row>
    <row r="32" spans="2:8">
      <c r="B32" s="206"/>
      <c r="H32" s="226"/>
    </row>
    <row r="33" spans="2:5">
      <c r="B33" s="206"/>
    </row>
    <row r="34" spans="2:5">
      <c r="B34" s="206"/>
      <c r="E34" s="205"/>
    </row>
  </sheetData>
  <mergeCells count="3">
    <mergeCell ref="A1:G1"/>
    <mergeCell ref="A2:G2"/>
    <mergeCell ref="A3:G3"/>
  </mergeCells>
  <printOptions horizontalCentered="1"/>
  <pageMargins left="0.75" right="0.75" top="1" bottom="1" header="0.5" footer="0.5"/>
  <pageSetup scale="61" orientation="portrait" r:id="rId1"/>
  <headerFooter alignWithMargins="0"/>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W134"/>
  <sheetViews>
    <sheetView zoomScale="80" zoomScaleNormal="80" workbookViewId="0">
      <selection activeCell="A50" sqref="A50"/>
    </sheetView>
  </sheetViews>
  <sheetFormatPr defaultColWidth="8.81640625" defaultRowHeight="13.8"/>
  <cols>
    <col min="1" max="1" width="5" style="1" bestFit="1" customWidth="1"/>
    <col min="2" max="2" width="6.08984375" style="27" customWidth="1"/>
    <col min="3" max="6" width="12.81640625" style="2" customWidth="1"/>
    <col min="7" max="7" width="1.81640625" style="27" customWidth="1"/>
    <col min="8" max="15" width="12.81640625" style="2" customWidth="1"/>
    <col min="16" max="16" width="10.81640625" style="2" customWidth="1"/>
    <col min="17" max="17" width="8.81640625" style="4"/>
    <col min="18" max="16384" width="8.81640625" style="2"/>
  </cols>
  <sheetData>
    <row r="1" spans="1:23" ht="13.2">
      <c r="A1" s="882" t="s">
        <v>684</v>
      </c>
      <c r="B1" s="882"/>
      <c r="C1" s="882"/>
      <c r="D1" s="882"/>
      <c r="E1" s="882"/>
      <c r="F1" s="882"/>
      <c r="G1" s="882"/>
      <c r="H1" s="882"/>
      <c r="I1" s="882"/>
      <c r="J1" s="882"/>
      <c r="K1" s="882"/>
      <c r="L1" s="882"/>
      <c r="M1" s="882"/>
      <c r="N1" s="882"/>
      <c r="O1" s="882"/>
      <c r="Q1" s="916"/>
      <c r="R1" s="916"/>
      <c r="S1" s="916"/>
      <c r="T1" s="916"/>
      <c r="U1" s="916"/>
      <c r="V1" s="916"/>
      <c r="W1" s="916"/>
    </row>
    <row r="2" spans="1:23">
      <c r="A2" s="918" t="s">
        <v>685</v>
      </c>
      <c r="B2" s="918"/>
      <c r="C2" s="918"/>
      <c r="D2" s="918"/>
      <c r="E2" s="918"/>
      <c r="F2" s="918"/>
      <c r="G2" s="918"/>
      <c r="H2" s="918"/>
      <c r="I2" s="918"/>
      <c r="J2" s="918"/>
      <c r="K2" s="918"/>
      <c r="L2" s="918"/>
      <c r="M2" s="918"/>
      <c r="N2" s="918"/>
      <c r="O2" s="918"/>
    </row>
    <row r="3" spans="1:23">
      <c r="A3" s="919" t="str">
        <f>'Act Att-H'!C7</f>
        <v>Cheyenne Light, Fuel &amp; Power</v>
      </c>
      <c r="B3" s="919"/>
      <c r="C3" s="919"/>
      <c r="D3" s="919"/>
      <c r="E3" s="919"/>
      <c r="F3" s="919"/>
      <c r="G3" s="919"/>
      <c r="H3" s="919"/>
      <c r="I3" s="919"/>
      <c r="J3" s="919"/>
      <c r="K3" s="919"/>
      <c r="L3" s="919"/>
      <c r="M3" s="919"/>
      <c r="N3" s="919"/>
      <c r="O3" s="919"/>
    </row>
    <row r="4" spans="1:23">
      <c r="A4" s="5"/>
      <c r="C4" s="3"/>
      <c r="D4" s="3"/>
      <c r="E4" s="3"/>
      <c r="F4" s="3"/>
      <c r="G4" s="341"/>
      <c r="H4" s="3"/>
      <c r="I4" s="3"/>
      <c r="O4" s="188" t="s">
        <v>672</v>
      </c>
    </row>
    <row r="5" spans="1:23" ht="15" customHeight="1">
      <c r="A5" s="44"/>
      <c r="C5" s="46"/>
      <c r="D5" s="46"/>
      <c r="E5" s="46"/>
      <c r="F5" s="46"/>
      <c r="G5" s="342"/>
    </row>
    <row r="6" spans="1:23" s="311" customFormat="1">
      <c r="A6" s="345" t="s">
        <v>4</v>
      </c>
      <c r="G6" s="320"/>
      <c r="H6" s="353" t="s">
        <v>693</v>
      </c>
      <c r="I6" s="593" t="s">
        <v>939</v>
      </c>
      <c r="P6" s="2"/>
      <c r="Q6" s="4"/>
      <c r="R6" s="2"/>
      <c r="S6" s="2"/>
    </row>
    <row r="7" spans="1:23" s="311" customFormat="1" ht="13.2">
      <c r="A7" s="343">
        <v>1</v>
      </c>
      <c r="B7" s="320"/>
      <c r="G7" s="320"/>
      <c r="H7" s="312" t="s">
        <v>686</v>
      </c>
      <c r="I7" s="333" t="s">
        <v>694</v>
      </c>
      <c r="J7" s="333"/>
      <c r="K7" s="336"/>
      <c r="L7" s="312" t="s">
        <v>686</v>
      </c>
      <c r="M7" s="333" t="s">
        <v>696</v>
      </c>
      <c r="N7" s="333"/>
      <c r="O7" s="359"/>
      <c r="P7" s="2"/>
      <c r="Q7" s="738"/>
      <c r="R7" s="738"/>
      <c r="S7" s="738"/>
      <c r="T7" s="738"/>
      <c r="U7" s="738"/>
      <c r="V7" s="738"/>
    </row>
    <row r="8" spans="1:23" s="311" customFormat="1">
      <c r="A8" s="343">
        <f>A7+1</f>
        <v>2</v>
      </c>
      <c r="B8" s="320"/>
      <c r="G8" s="320"/>
      <c r="H8" s="313" t="s">
        <v>695</v>
      </c>
      <c r="I8" s="334" t="s">
        <v>687</v>
      </c>
      <c r="L8" s="313" t="s">
        <v>695</v>
      </c>
      <c r="M8" s="334" t="s">
        <v>687</v>
      </c>
      <c r="O8" s="314"/>
      <c r="P8" s="2"/>
      <c r="Q8" s="4"/>
      <c r="R8" s="2"/>
      <c r="S8" s="2"/>
    </row>
    <row r="9" spans="1:23" s="311" customFormat="1">
      <c r="A9" s="343">
        <f t="shared" ref="A9:A14" si="0">A8+1</f>
        <v>3</v>
      </c>
      <c r="B9" s="320"/>
      <c r="G9" s="320"/>
      <c r="H9" s="313" t="s">
        <v>688</v>
      </c>
      <c r="I9" s="335">
        <v>0</v>
      </c>
      <c r="J9" s="311" t="s">
        <v>635</v>
      </c>
      <c r="L9" s="313" t="s">
        <v>688</v>
      </c>
      <c r="M9" s="335">
        <v>0</v>
      </c>
      <c r="N9" s="311" t="s">
        <v>635</v>
      </c>
      <c r="O9" s="314"/>
      <c r="P9" s="2"/>
      <c r="Q9" s="4"/>
      <c r="R9" s="2"/>
      <c r="S9" s="2"/>
    </row>
    <row r="10" spans="1:23" s="311" customFormat="1">
      <c r="A10" s="343">
        <f t="shared" si="0"/>
        <v>4</v>
      </c>
      <c r="B10" s="320"/>
      <c r="G10" s="320"/>
      <c r="H10" s="313" t="s">
        <v>689</v>
      </c>
      <c r="I10" s="335">
        <v>0</v>
      </c>
      <c r="J10" s="311" t="s">
        <v>699</v>
      </c>
      <c r="L10" s="313" t="s">
        <v>689</v>
      </c>
      <c r="M10" s="335">
        <v>0</v>
      </c>
      <c r="N10" s="311" t="s">
        <v>699</v>
      </c>
      <c r="O10" s="314"/>
      <c r="P10" s="2"/>
      <c r="Q10" s="4"/>
      <c r="R10" s="2"/>
      <c r="S10" s="2"/>
    </row>
    <row r="11" spans="1:23" s="311" customFormat="1">
      <c r="A11" s="343">
        <f t="shared" si="0"/>
        <v>5</v>
      </c>
      <c r="B11" s="320"/>
      <c r="G11" s="320"/>
      <c r="H11" s="313" t="s">
        <v>712</v>
      </c>
      <c r="I11" s="315">
        <f>I10*'Act Att-H'!E214</f>
        <v>0</v>
      </c>
      <c r="L11" s="313" t="s">
        <v>712</v>
      </c>
      <c r="M11" s="315">
        <f>M10*'Act Att-H'!E214</f>
        <v>0</v>
      </c>
      <c r="O11" s="314"/>
      <c r="P11" s="2"/>
      <c r="Q11" s="4"/>
      <c r="R11" s="2"/>
      <c r="S11" s="2"/>
    </row>
    <row r="12" spans="1:23" s="311" customFormat="1">
      <c r="A12" s="343">
        <f t="shared" si="0"/>
        <v>6</v>
      </c>
      <c r="B12" s="320"/>
      <c r="G12" s="320"/>
      <c r="H12" s="313" t="s">
        <v>690</v>
      </c>
      <c r="I12" s="337"/>
      <c r="L12" s="313" t="s">
        <v>690</v>
      </c>
      <c r="M12" s="337"/>
      <c r="O12" s="314"/>
      <c r="P12" s="2"/>
      <c r="Q12" s="4"/>
      <c r="R12" s="2"/>
      <c r="S12" s="2"/>
    </row>
    <row r="13" spans="1:23" s="311" customFormat="1">
      <c r="A13" s="343">
        <f t="shared" si="0"/>
        <v>7</v>
      </c>
      <c r="G13" s="320"/>
      <c r="H13" s="313"/>
      <c r="L13" s="313"/>
      <c r="O13" s="314"/>
      <c r="P13" s="2"/>
      <c r="Q13" s="4"/>
      <c r="R13" s="2"/>
      <c r="S13" s="2"/>
    </row>
    <row r="14" spans="1:23" s="311" customFormat="1">
      <c r="A14" s="343">
        <f t="shared" si="0"/>
        <v>8</v>
      </c>
      <c r="B14" s="320"/>
      <c r="C14" s="917" t="s">
        <v>9</v>
      </c>
      <c r="D14" s="917"/>
      <c r="E14" s="917"/>
      <c r="F14" s="917"/>
      <c r="G14" s="320"/>
      <c r="H14" s="313"/>
      <c r="L14" s="313"/>
      <c r="O14" s="314"/>
      <c r="P14" s="2"/>
      <c r="Q14" s="4"/>
      <c r="R14" s="2"/>
      <c r="S14" s="2"/>
    </row>
    <row r="15" spans="1:23" s="311" customFormat="1">
      <c r="A15" s="320"/>
      <c r="B15" s="320"/>
      <c r="G15" s="320"/>
      <c r="H15" s="313"/>
      <c r="K15" s="311" t="s">
        <v>1099</v>
      </c>
      <c r="L15" s="313"/>
      <c r="O15" s="314" t="s">
        <v>1099</v>
      </c>
      <c r="P15" s="2"/>
      <c r="Q15" s="4"/>
      <c r="R15" s="2"/>
      <c r="S15" s="2"/>
    </row>
    <row r="16" spans="1:23" s="311" customFormat="1" ht="57" customHeight="1">
      <c r="A16" s="320"/>
      <c r="B16" s="340" t="s">
        <v>269</v>
      </c>
      <c r="C16" s="340" t="s">
        <v>691</v>
      </c>
      <c r="D16" s="340" t="s">
        <v>485</v>
      </c>
      <c r="E16" s="340" t="s">
        <v>692</v>
      </c>
      <c r="F16" s="340" t="s">
        <v>706</v>
      </c>
      <c r="G16" s="360"/>
      <c r="H16" s="319" t="s">
        <v>691</v>
      </c>
      <c r="I16" s="702" t="s">
        <v>1054</v>
      </c>
      <c r="J16" s="320" t="s">
        <v>692</v>
      </c>
      <c r="K16" s="702" t="s">
        <v>1101</v>
      </c>
      <c r="L16" s="319" t="s">
        <v>691</v>
      </c>
      <c r="M16" s="702" t="s">
        <v>1054</v>
      </c>
      <c r="N16" s="320" t="s">
        <v>692</v>
      </c>
      <c r="O16" s="703" t="s">
        <v>1101</v>
      </c>
      <c r="P16" s="2"/>
      <c r="Q16" s="4"/>
      <c r="R16" s="2"/>
      <c r="S16" s="2"/>
    </row>
    <row r="17" spans="1:19" s="311" customFormat="1">
      <c r="A17" s="320"/>
      <c r="B17" s="318" t="s">
        <v>157</v>
      </c>
      <c r="C17" s="318" t="s">
        <v>158</v>
      </c>
      <c r="D17" s="318" t="s">
        <v>702</v>
      </c>
      <c r="E17" s="318" t="s">
        <v>703</v>
      </c>
      <c r="F17" s="318" t="s">
        <v>704</v>
      </c>
      <c r="G17" s="316"/>
      <c r="H17" s="318" t="s">
        <v>714</v>
      </c>
      <c r="I17" s="672" t="s">
        <v>715</v>
      </c>
      <c r="J17" s="318" t="s">
        <v>716</v>
      </c>
      <c r="K17" s="704" t="s">
        <v>717</v>
      </c>
      <c r="L17" s="318" t="s">
        <v>718</v>
      </c>
      <c r="M17" s="672" t="s">
        <v>719</v>
      </c>
      <c r="N17" s="318" t="s">
        <v>720</v>
      </c>
      <c r="O17" s="704" t="s">
        <v>721</v>
      </c>
      <c r="P17" s="2"/>
      <c r="Q17" s="4"/>
      <c r="R17" s="2"/>
      <c r="S17" s="2"/>
    </row>
    <row r="18" spans="1:19" s="311" customFormat="1">
      <c r="A18" s="320"/>
      <c r="B18" s="320"/>
      <c r="G18" s="320"/>
      <c r="H18" s="319"/>
      <c r="I18" s="320"/>
      <c r="J18" s="320"/>
      <c r="K18" s="320"/>
      <c r="L18" s="319"/>
      <c r="M18" s="320"/>
      <c r="N18" s="320"/>
      <c r="O18" s="321"/>
      <c r="P18" s="2"/>
      <c r="Q18" s="4"/>
      <c r="R18" s="2"/>
      <c r="S18" s="2"/>
    </row>
    <row r="19" spans="1:19" s="311" customFormat="1">
      <c r="A19" s="343">
        <f>A14+1</f>
        <v>9</v>
      </c>
      <c r="B19" s="346" t="s">
        <v>1171</v>
      </c>
      <c r="C19" s="322">
        <f>+H19+L19</f>
        <v>0</v>
      </c>
      <c r="D19" s="322">
        <f>+I19+M19</f>
        <v>0</v>
      </c>
      <c r="E19" s="322">
        <f>+J19+N19</f>
        <v>0</v>
      </c>
      <c r="F19" s="322">
        <f>+K19+O19</f>
        <v>0</v>
      </c>
      <c r="G19" s="343"/>
      <c r="H19" s="338">
        <v>0</v>
      </c>
      <c r="I19" s="339">
        <v>0</v>
      </c>
      <c r="J19" s="673">
        <f>+H19-I19</f>
        <v>0</v>
      </c>
      <c r="K19" s="323">
        <f>ROUND(J19*I$11,2)</f>
        <v>0</v>
      </c>
      <c r="L19" s="338">
        <v>0</v>
      </c>
      <c r="M19" s="339">
        <v>0</v>
      </c>
      <c r="N19" s="673">
        <f>+L19-M19</f>
        <v>0</v>
      </c>
      <c r="O19" s="324">
        <f>ROUND(N19*M$11,2)</f>
        <v>0</v>
      </c>
      <c r="P19" s="2"/>
      <c r="Q19" s="4"/>
      <c r="R19" s="2"/>
      <c r="S19" s="2"/>
    </row>
    <row r="20" spans="1:19" s="311" customFormat="1">
      <c r="A20" s="343">
        <f t="shared" ref="A20:A42" si="1">A19+1</f>
        <v>10</v>
      </c>
      <c r="B20" s="346" t="s">
        <v>1171</v>
      </c>
      <c r="C20" s="322">
        <f t="shared" ref="C20:C42" si="2">+H20+L20</f>
        <v>0</v>
      </c>
      <c r="D20" s="322">
        <f t="shared" ref="D20:D42" si="3">+I20+M20</f>
        <v>0</v>
      </c>
      <c r="E20" s="322">
        <f t="shared" ref="E20:E42" si="4">+J20+N20</f>
        <v>0</v>
      </c>
      <c r="F20" s="322">
        <f t="shared" ref="F20:F42" si="5">+K20+O20</f>
        <v>0</v>
      </c>
      <c r="G20" s="343"/>
      <c r="H20" s="338">
        <v>0</v>
      </c>
      <c r="I20" s="673">
        <f>(H20*$I$9)+I19</f>
        <v>0</v>
      </c>
      <c r="J20" s="323">
        <f>+H20-I20</f>
        <v>0</v>
      </c>
      <c r="K20" s="323">
        <f t="shared" ref="K20:K42" si="6">ROUND(J20*I$11,2)</f>
        <v>0</v>
      </c>
      <c r="L20" s="338">
        <v>0</v>
      </c>
      <c r="M20" s="673">
        <f>(L20*$M$9)+M19</f>
        <v>0</v>
      </c>
      <c r="N20" s="323">
        <f>+L20-M20</f>
        <v>0</v>
      </c>
      <c r="O20" s="324">
        <f t="shared" ref="O20:O42" si="7">ROUND(N20*M$11,2)</f>
        <v>0</v>
      </c>
      <c r="P20" s="2"/>
      <c r="Q20" s="4"/>
      <c r="R20" s="2"/>
      <c r="S20" s="2"/>
    </row>
    <row r="21" spans="1:19" s="311" customFormat="1">
      <c r="A21" s="343">
        <f t="shared" si="1"/>
        <v>11</v>
      </c>
      <c r="B21" s="346" t="s">
        <v>1171</v>
      </c>
      <c r="C21" s="322">
        <f t="shared" si="2"/>
        <v>0</v>
      </c>
      <c r="D21" s="322">
        <f t="shared" si="3"/>
        <v>0</v>
      </c>
      <c r="E21" s="322">
        <f t="shared" si="4"/>
        <v>0</v>
      </c>
      <c r="F21" s="322">
        <f t="shared" si="5"/>
        <v>0</v>
      </c>
      <c r="G21" s="343"/>
      <c r="H21" s="338">
        <v>0</v>
      </c>
      <c r="I21" s="673">
        <f t="shared" ref="I21:I42" si="8">(H21*$I$9)+I20</f>
        <v>0</v>
      </c>
      <c r="J21" s="323">
        <f>+H21-I21</f>
        <v>0</v>
      </c>
      <c r="K21" s="323">
        <f t="shared" si="6"/>
        <v>0</v>
      </c>
      <c r="L21" s="338">
        <v>0</v>
      </c>
      <c r="M21" s="673">
        <f t="shared" ref="M21:M42" si="9">(L21*$M$9)+M20</f>
        <v>0</v>
      </c>
      <c r="N21" s="323">
        <f>+L21-M21</f>
        <v>0</v>
      </c>
      <c r="O21" s="324">
        <f t="shared" si="7"/>
        <v>0</v>
      </c>
      <c r="P21" s="2"/>
      <c r="Q21" s="4"/>
      <c r="R21" s="2"/>
      <c r="S21" s="2"/>
    </row>
    <row r="22" spans="1:19" s="311" customFormat="1">
      <c r="A22" s="343">
        <f t="shared" si="1"/>
        <v>12</v>
      </c>
      <c r="B22" s="346" t="s">
        <v>1171</v>
      </c>
      <c r="C22" s="322">
        <f t="shared" si="2"/>
        <v>0</v>
      </c>
      <c r="D22" s="322">
        <f t="shared" si="3"/>
        <v>0</v>
      </c>
      <c r="E22" s="322">
        <f t="shared" si="4"/>
        <v>0</v>
      </c>
      <c r="F22" s="322">
        <f t="shared" si="5"/>
        <v>0</v>
      </c>
      <c r="G22" s="343"/>
      <c r="H22" s="338">
        <v>0</v>
      </c>
      <c r="I22" s="673">
        <f t="shared" si="8"/>
        <v>0</v>
      </c>
      <c r="J22" s="323">
        <f>+H22-I22</f>
        <v>0</v>
      </c>
      <c r="K22" s="323">
        <f t="shared" si="6"/>
        <v>0</v>
      </c>
      <c r="L22" s="338">
        <v>0</v>
      </c>
      <c r="M22" s="673">
        <f t="shared" si="9"/>
        <v>0</v>
      </c>
      <c r="N22" s="323">
        <f>+L22-M22</f>
        <v>0</v>
      </c>
      <c r="O22" s="324">
        <f t="shared" si="7"/>
        <v>0</v>
      </c>
      <c r="P22" s="2"/>
      <c r="Q22" s="4"/>
      <c r="R22" s="2"/>
      <c r="S22" s="2"/>
    </row>
    <row r="23" spans="1:19" s="311" customFormat="1">
      <c r="A23" s="343">
        <f t="shared" si="1"/>
        <v>13</v>
      </c>
      <c r="B23" s="346" t="s">
        <v>1171</v>
      </c>
      <c r="C23" s="322">
        <f t="shared" si="2"/>
        <v>0</v>
      </c>
      <c r="D23" s="322">
        <f t="shared" si="3"/>
        <v>0</v>
      </c>
      <c r="E23" s="322">
        <f t="shared" si="4"/>
        <v>0</v>
      </c>
      <c r="F23" s="322">
        <f t="shared" si="5"/>
        <v>0</v>
      </c>
      <c r="G23" s="343"/>
      <c r="H23" s="338">
        <v>0</v>
      </c>
      <c r="I23" s="673">
        <f t="shared" si="8"/>
        <v>0</v>
      </c>
      <c r="J23" s="323">
        <f t="shared" ref="J23:J42" si="10">+H23-I23</f>
        <v>0</v>
      </c>
      <c r="K23" s="323">
        <f t="shared" si="6"/>
        <v>0</v>
      </c>
      <c r="L23" s="338">
        <v>0</v>
      </c>
      <c r="M23" s="673">
        <f t="shared" si="9"/>
        <v>0</v>
      </c>
      <c r="N23" s="323">
        <f t="shared" ref="N23:N42" si="11">+L23-M23</f>
        <v>0</v>
      </c>
      <c r="O23" s="324">
        <f t="shared" si="7"/>
        <v>0</v>
      </c>
      <c r="P23" s="2"/>
      <c r="Q23" s="4"/>
      <c r="R23" s="2"/>
      <c r="S23" s="2"/>
    </row>
    <row r="24" spans="1:19" s="311" customFormat="1">
      <c r="A24" s="343">
        <f t="shared" si="1"/>
        <v>14</v>
      </c>
      <c r="B24" s="346" t="s">
        <v>1171</v>
      </c>
      <c r="C24" s="322">
        <f t="shared" si="2"/>
        <v>0</v>
      </c>
      <c r="D24" s="322">
        <f t="shared" si="3"/>
        <v>0</v>
      </c>
      <c r="E24" s="322">
        <f t="shared" si="4"/>
        <v>0</v>
      </c>
      <c r="F24" s="322">
        <f t="shared" si="5"/>
        <v>0</v>
      </c>
      <c r="G24" s="343"/>
      <c r="H24" s="338">
        <v>0</v>
      </c>
      <c r="I24" s="673">
        <f t="shared" si="8"/>
        <v>0</v>
      </c>
      <c r="J24" s="323">
        <f t="shared" si="10"/>
        <v>0</v>
      </c>
      <c r="K24" s="323">
        <f t="shared" si="6"/>
        <v>0</v>
      </c>
      <c r="L24" s="338">
        <v>0</v>
      </c>
      <c r="M24" s="673">
        <f t="shared" si="9"/>
        <v>0</v>
      </c>
      <c r="N24" s="323">
        <f t="shared" si="11"/>
        <v>0</v>
      </c>
      <c r="O24" s="324">
        <f t="shared" si="7"/>
        <v>0</v>
      </c>
      <c r="P24" s="2"/>
      <c r="Q24" s="4"/>
      <c r="R24" s="2"/>
      <c r="S24" s="2"/>
    </row>
    <row r="25" spans="1:19" s="311" customFormat="1">
      <c r="A25" s="343">
        <f t="shared" si="1"/>
        <v>15</v>
      </c>
      <c r="B25" s="346" t="s">
        <v>1171</v>
      </c>
      <c r="C25" s="322">
        <f t="shared" si="2"/>
        <v>0</v>
      </c>
      <c r="D25" s="322">
        <f t="shared" si="3"/>
        <v>0</v>
      </c>
      <c r="E25" s="322">
        <f t="shared" si="4"/>
        <v>0</v>
      </c>
      <c r="F25" s="322">
        <f t="shared" si="5"/>
        <v>0</v>
      </c>
      <c r="G25" s="343"/>
      <c r="H25" s="338">
        <v>0</v>
      </c>
      <c r="I25" s="673">
        <f t="shared" si="8"/>
        <v>0</v>
      </c>
      <c r="J25" s="323">
        <f t="shared" si="10"/>
        <v>0</v>
      </c>
      <c r="K25" s="323">
        <f t="shared" si="6"/>
        <v>0</v>
      </c>
      <c r="L25" s="338">
        <v>0</v>
      </c>
      <c r="M25" s="673">
        <f t="shared" si="9"/>
        <v>0</v>
      </c>
      <c r="N25" s="323">
        <f t="shared" si="11"/>
        <v>0</v>
      </c>
      <c r="O25" s="324">
        <f t="shared" si="7"/>
        <v>0</v>
      </c>
      <c r="P25" s="2"/>
      <c r="Q25" s="4"/>
      <c r="R25" s="2"/>
      <c r="S25" s="2"/>
    </row>
    <row r="26" spans="1:19" s="311" customFormat="1">
      <c r="A26" s="343">
        <f t="shared" si="1"/>
        <v>16</v>
      </c>
      <c r="B26" s="346" t="s">
        <v>1171</v>
      </c>
      <c r="C26" s="322">
        <f t="shared" si="2"/>
        <v>0</v>
      </c>
      <c r="D26" s="322">
        <f t="shared" si="3"/>
        <v>0</v>
      </c>
      <c r="E26" s="322">
        <f t="shared" si="4"/>
        <v>0</v>
      </c>
      <c r="F26" s="322">
        <f t="shared" si="5"/>
        <v>0</v>
      </c>
      <c r="G26" s="343"/>
      <c r="H26" s="338">
        <v>0</v>
      </c>
      <c r="I26" s="673">
        <f t="shared" si="8"/>
        <v>0</v>
      </c>
      <c r="J26" s="323">
        <f t="shared" si="10"/>
        <v>0</v>
      </c>
      <c r="K26" s="323">
        <f t="shared" si="6"/>
        <v>0</v>
      </c>
      <c r="L26" s="338">
        <v>0</v>
      </c>
      <c r="M26" s="673">
        <f t="shared" si="9"/>
        <v>0</v>
      </c>
      <c r="N26" s="323">
        <f t="shared" si="11"/>
        <v>0</v>
      </c>
      <c r="O26" s="324">
        <f t="shared" si="7"/>
        <v>0</v>
      </c>
      <c r="P26" s="2"/>
      <c r="Q26" s="4"/>
      <c r="R26" s="2"/>
      <c r="S26" s="2"/>
    </row>
    <row r="27" spans="1:19" s="311" customFormat="1">
      <c r="A27" s="343">
        <f t="shared" si="1"/>
        <v>17</v>
      </c>
      <c r="B27" s="346" t="s">
        <v>1171</v>
      </c>
      <c r="C27" s="322">
        <f t="shared" si="2"/>
        <v>0</v>
      </c>
      <c r="D27" s="322">
        <f t="shared" si="3"/>
        <v>0</v>
      </c>
      <c r="E27" s="322">
        <f t="shared" si="4"/>
        <v>0</v>
      </c>
      <c r="F27" s="322">
        <f t="shared" si="5"/>
        <v>0</v>
      </c>
      <c r="G27" s="343"/>
      <c r="H27" s="338">
        <v>0</v>
      </c>
      <c r="I27" s="673">
        <f t="shared" si="8"/>
        <v>0</v>
      </c>
      <c r="J27" s="323">
        <f t="shared" si="10"/>
        <v>0</v>
      </c>
      <c r="K27" s="323">
        <f t="shared" si="6"/>
        <v>0</v>
      </c>
      <c r="L27" s="338">
        <v>0</v>
      </c>
      <c r="M27" s="673">
        <f t="shared" si="9"/>
        <v>0</v>
      </c>
      <c r="N27" s="323">
        <f t="shared" si="11"/>
        <v>0</v>
      </c>
      <c r="O27" s="324">
        <f t="shared" si="7"/>
        <v>0</v>
      </c>
      <c r="P27" s="2"/>
      <c r="Q27" s="4"/>
      <c r="R27" s="2"/>
      <c r="S27" s="2"/>
    </row>
    <row r="28" spans="1:19" s="311" customFormat="1">
      <c r="A28" s="343">
        <f t="shared" si="1"/>
        <v>18</v>
      </c>
      <c r="B28" s="346" t="s">
        <v>1171</v>
      </c>
      <c r="C28" s="322">
        <f t="shared" si="2"/>
        <v>0</v>
      </c>
      <c r="D28" s="322">
        <f t="shared" si="3"/>
        <v>0</v>
      </c>
      <c r="E28" s="322">
        <f t="shared" si="4"/>
        <v>0</v>
      </c>
      <c r="F28" s="322">
        <f t="shared" si="5"/>
        <v>0</v>
      </c>
      <c r="G28" s="343"/>
      <c r="H28" s="338">
        <v>0</v>
      </c>
      <c r="I28" s="673">
        <f t="shared" si="8"/>
        <v>0</v>
      </c>
      <c r="J28" s="323">
        <f t="shared" si="10"/>
        <v>0</v>
      </c>
      <c r="K28" s="323">
        <f t="shared" si="6"/>
        <v>0</v>
      </c>
      <c r="L28" s="338">
        <v>0</v>
      </c>
      <c r="M28" s="673">
        <f t="shared" si="9"/>
        <v>0</v>
      </c>
      <c r="N28" s="323">
        <f t="shared" si="11"/>
        <v>0</v>
      </c>
      <c r="O28" s="324">
        <f t="shared" si="7"/>
        <v>0</v>
      </c>
      <c r="P28" s="2"/>
      <c r="Q28" s="4"/>
      <c r="R28" s="2"/>
      <c r="S28" s="2"/>
    </row>
    <row r="29" spans="1:19" s="311" customFormat="1">
      <c r="A29" s="343">
        <f t="shared" si="1"/>
        <v>19</v>
      </c>
      <c r="B29" s="346" t="s">
        <v>1171</v>
      </c>
      <c r="C29" s="322">
        <f t="shared" si="2"/>
        <v>0</v>
      </c>
      <c r="D29" s="322">
        <f t="shared" si="3"/>
        <v>0</v>
      </c>
      <c r="E29" s="322">
        <f t="shared" si="4"/>
        <v>0</v>
      </c>
      <c r="F29" s="322">
        <f t="shared" si="5"/>
        <v>0</v>
      </c>
      <c r="G29" s="343"/>
      <c r="H29" s="338">
        <v>0</v>
      </c>
      <c r="I29" s="673">
        <f t="shared" si="8"/>
        <v>0</v>
      </c>
      <c r="J29" s="323">
        <f t="shared" si="10"/>
        <v>0</v>
      </c>
      <c r="K29" s="323">
        <f t="shared" si="6"/>
        <v>0</v>
      </c>
      <c r="L29" s="338">
        <v>0</v>
      </c>
      <c r="M29" s="673">
        <f t="shared" si="9"/>
        <v>0</v>
      </c>
      <c r="N29" s="323">
        <f t="shared" si="11"/>
        <v>0</v>
      </c>
      <c r="O29" s="324">
        <f t="shared" si="7"/>
        <v>0</v>
      </c>
      <c r="P29" s="2"/>
      <c r="Q29" s="4"/>
      <c r="R29" s="2"/>
      <c r="S29" s="2"/>
    </row>
    <row r="30" spans="1:19" s="311" customFormat="1">
      <c r="A30" s="343">
        <f t="shared" si="1"/>
        <v>20</v>
      </c>
      <c r="B30" s="346" t="s">
        <v>1171</v>
      </c>
      <c r="C30" s="322">
        <f t="shared" si="2"/>
        <v>0</v>
      </c>
      <c r="D30" s="322">
        <f t="shared" si="3"/>
        <v>0</v>
      </c>
      <c r="E30" s="322">
        <f t="shared" si="4"/>
        <v>0</v>
      </c>
      <c r="F30" s="322">
        <f t="shared" si="5"/>
        <v>0</v>
      </c>
      <c r="G30" s="343"/>
      <c r="H30" s="338">
        <v>0</v>
      </c>
      <c r="I30" s="673">
        <f t="shared" si="8"/>
        <v>0</v>
      </c>
      <c r="J30" s="323">
        <f t="shared" si="10"/>
        <v>0</v>
      </c>
      <c r="K30" s="323">
        <f t="shared" si="6"/>
        <v>0</v>
      </c>
      <c r="L30" s="338">
        <v>0</v>
      </c>
      <c r="M30" s="673">
        <f t="shared" si="9"/>
        <v>0</v>
      </c>
      <c r="N30" s="323">
        <f t="shared" si="11"/>
        <v>0</v>
      </c>
      <c r="O30" s="324">
        <f t="shared" si="7"/>
        <v>0</v>
      </c>
      <c r="P30" s="2"/>
      <c r="Q30" s="4"/>
      <c r="R30" s="2"/>
      <c r="S30" s="2"/>
    </row>
    <row r="31" spans="1:19" s="311" customFormat="1">
      <c r="A31" s="343">
        <f t="shared" si="1"/>
        <v>21</v>
      </c>
      <c r="B31" s="346" t="s">
        <v>1171</v>
      </c>
      <c r="C31" s="322">
        <f t="shared" si="2"/>
        <v>0</v>
      </c>
      <c r="D31" s="322">
        <f t="shared" si="3"/>
        <v>0</v>
      </c>
      <c r="E31" s="322">
        <f t="shared" si="4"/>
        <v>0</v>
      </c>
      <c r="F31" s="322">
        <f t="shared" si="5"/>
        <v>0</v>
      </c>
      <c r="G31" s="343"/>
      <c r="H31" s="338">
        <v>0</v>
      </c>
      <c r="I31" s="673">
        <f t="shared" si="8"/>
        <v>0</v>
      </c>
      <c r="J31" s="323">
        <f t="shared" si="10"/>
        <v>0</v>
      </c>
      <c r="K31" s="323">
        <f t="shared" si="6"/>
        <v>0</v>
      </c>
      <c r="L31" s="338">
        <v>0</v>
      </c>
      <c r="M31" s="673">
        <f t="shared" si="9"/>
        <v>0</v>
      </c>
      <c r="N31" s="323">
        <f t="shared" si="11"/>
        <v>0</v>
      </c>
      <c r="O31" s="324">
        <f t="shared" si="7"/>
        <v>0</v>
      </c>
      <c r="P31" s="2"/>
      <c r="Q31" s="4"/>
      <c r="R31" s="2"/>
      <c r="S31" s="2"/>
    </row>
    <row r="32" spans="1:19" s="311" customFormat="1">
      <c r="A32" s="343">
        <f t="shared" si="1"/>
        <v>22</v>
      </c>
      <c r="B32" s="346" t="s">
        <v>1171</v>
      </c>
      <c r="C32" s="322">
        <f t="shared" si="2"/>
        <v>0</v>
      </c>
      <c r="D32" s="322">
        <f t="shared" si="3"/>
        <v>0</v>
      </c>
      <c r="E32" s="322">
        <f t="shared" si="4"/>
        <v>0</v>
      </c>
      <c r="F32" s="322">
        <f t="shared" si="5"/>
        <v>0</v>
      </c>
      <c r="G32" s="343"/>
      <c r="H32" s="338">
        <v>0</v>
      </c>
      <c r="I32" s="673">
        <f t="shared" si="8"/>
        <v>0</v>
      </c>
      <c r="J32" s="323">
        <f t="shared" si="10"/>
        <v>0</v>
      </c>
      <c r="K32" s="323">
        <f t="shared" si="6"/>
        <v>0</v>
      </c>
      <c r="L32" s="338">
        <v>0</v>
      </c>
      <c r="M32" s="673">
        <f t="shared" si="9"/>
        <v>0</v>
      </c>
      <c r="N32" s="323">
        <f t="shared" si="11"/>
        <v>0</v>
      </c>
      <c r="O32" s="324">
        <f t="shared" si="7"/>
        <v>0</v>
      </c>
      <c r="P32" s="2"/>
      <c r="Q32" s="4"/>
      <c r="R32" s="2"/>
      <c r="S32" s="2"/>
    </row>
    <row r="33" spans="1:19" s="311" customFormat="1">
      <c r="A33" s="343">
        <f t="shared" si="1"/>
        <v>23</v>
      </c>
      <c r="B33" s="346" t="s">
        <v>1171</v>
      </c>
      <c r="C33" s="322">
        <f t="shared" si="2"/>
        <v>0</v>
      </c>
      <c r="D33" s="322">
        <f t="shared" si="3"/>
        <v>0</v>
      </c>
      <c r="E33" s="322">
        <f t="shared" si="4"/>
        <v>0</v>
      </c>
      <c r="F33" s="322">
        <f t="shared" si="5"/>
        <v>0</v>
      </c>
      <c r="G33" s="343"/>
      <c r="H33" s="338">
        <v>0</v>
      </c>
      <c r="I33" s="673">
        <f t="shared" si="8"/>
        <v>0</v>
      </c>
      <c r="J33" s="323">
        <f t="shared" si="10"/>
        <v>0</v>
      </c>
      <c r="K33" s="323">
        <f t="shared" si="6"/>
        <v>0</v>
      </c>
      <c r="L33" s="338">
        <v>0</v>
      </c>
      <c r="M33" s="673">
        <f t="shared" si="9"/>
        <v>0</v>
      </c>
      <c r="N33" s="323">
        <f t="shared" si="11"/>
        <v>0</v>
      </c>
      <c r="O33" s="324">
        <f t="shared" si="7"/>
        <v>0</v>
      </c>
      <c r="P33" s="2"/>
      <c r="Q33" s="4"/>
      <c r="R33" s="2"/>
      <c r="S33" s="2"/>
    </row>
    <row r="34" spans="1:19" s="311" customFormat="1">
      <c r="A34" s="343">
        <f t="shared" si="1"/>
        <v>24</v>
      </c>
      <c r="B34" s="346" t="s">
        <v>1171</v>
      </c>
      <c r="C34" s="322">
        <f t="shared" si="2"/>
        <v>0</v>
      </c>
      <c r="D34" s="322">
        <f t="shared" si="3"/>
        <v>0</v>
      </c>
      <c r="E34" s="322">
        <f t="shared" si="4"/>
        <v>0</v>
      </c>
      <c r="F34" s="322">
        <f t="shared" si="5"/>
        <v>0</v>
      </c>
      <c r="G34" s="343"/>
      <c r="H34" s="338">
        <v>0</v>
      </c>
      <c r="I34" s="673">
        <f t="shared" si="8"/>
        <v>0</v>
      </c>
      <c r="J34" s="323">
        <f t="shared" si="10"/>
        <v>0</v>
      </c>
      <c r="K34" s="323">
        <f t="shared" si="6"/>
        <v>0</v>
      </c>
      <c r="L34" s="338">
        <v>0</v>
      </c>
      <c r="M34" s="673">
        <f t="shared" si="9"/>
        <v>0</v>
      </c>
      <c r="N34" s="323">
        <f t="shared" si="11"/>
        <v>0</v>
      </c>
      <c r="O34" s="324">
        <f t="shared" si="7"/>
        <v>0</v>
      </c>
      <c r="P34" s="2"/>
      <c r="Q34" s="4"/>
      <c r="R34" s="2"/>
      <c r="S34" s="2"/>
    </row>
    <row r="35" spans="1:19" s="311" customFormat="1">
      <c r="A35" s="343">
        <f t="shared" si="1"/>
        <v>25</v>
      </c>
      <c r="B35" s="346" t="s">
        <v>1171</v>
      </c>
      <c r="C35" s="322">
        <f t="shared" si="2"/>
        <v>0</v>
      </c>
      <c r="D35" s="322">
        <f t="shared" si="3"/>
        <v>0</v>
      </c>
      <c r="E35" s="322">
        <f t="shared" si="4"/>
        <v>0</v>
      </c>
      <c r="F35" s="322">
        <f t="shared" si="5"/>
        <v>0</v>
      </c>
      <c r="G35" s="343"/>
      <c r="H35" s="338">
        <v>0</v>
      </c>
      <c r="I35" s="673">
        <f t="shared" si="8"/>
        <v>0</v>
      </c>
      <c r="J35" s="323">
        <f t="shared" si="10"/>
        <v>0</v>
      </c>
      <c r="K35" s="323">
        <f t="shared" si="6"/>
        <v>0</v>
      </c>
      <c r="L35" s="338">
        <v>0</v>
      </c>
      <c r="M35" s="673">
        <f t="shared" si="9"/>
        <v>0</v>
      </c>
      <c r="N35" s="323">
        <f t="shared" si="11"/>
        <v>0</v>
      </c>
      <c r="O35" s="324">
        <f t="shared" si="7"/>
        <v>0</v>
      </c>
      <c r="P35" s="2"/>
      <c r="Q35" s="4"/>
      <c r="R35" s="2"/>
      <c r="S35" s="2"/>
    </row>
    <row r="36" spans="1:19" s="311" customFormat="1">
      <c r="A36" s="343">
        <f t="shared" si="1"/>
        <v>26</v>
      </c>
      <c r="B36" s="346" t="s">
        <v>1171</v>
      </c>
      <c r="C36" s="322">
        <f t="shared" si="2"/>
        <v>0</v>
      </c>
      <c r="D36" s="322">
        <f t="shared" si="3"/>
        <v>0</v>
      </c>
      <c r="E36" s="322">
        <f t="shared" si="4"/>
        <v>0</v>
      </c>
      <c r="F36" s="322">
        <f t="shared" si="5"/>
        <v>0</v>
      </c>
      <c r="G36" s="343"/>
      <c r="H36" s="338">
        <v>0</v>
      </c>
      <c r="I36" s="673">
        <f t="shared" si="8"/>
        <v>0</v>
      </c>
      <c r="J36" s="323">
        <f t="shared" si="10"/>
        <v>0</v>
      </c>
      <c r="K36" s="323">
        <f t="shared" si="6"/>
        <v>0</v>
      </c>
      <c r="L36" s="338">
        <v>0</v>
      </c>
      <c r="M36" s="673">
        <f t="shared" si="9"/>
        <v>0</v>
      </c>
      <c r="N36" s="323">
        <f t="shared" si="11"/>
        <v>0</v>
      </c>
      <c r="O36" s="324">
        <f t="shared" si="7"/>
        <v>0</v>
      </c>
      <c r="P36" s="2"/>
      <c r="Q36" s="4"/>
      <c r="R36" s="2"/>
      <c r="S36" s="2"/>
    </row>
    <row r="37" spans="1:19" s="311" customFormat="1">
      <c r="A37" s="343">
        <f t="shared" si="1"/>
        <v>27</v>
      </c>
      <c r="B37" s="346" t="s">
        <v>1171</v>
      </c>
      <c r="C37" s="322">
        <f t="shared" si="2"/>
        <v>0</v>
      </c>
      <c r="D37" s="322">
        <f t="shared" si="3"/>
        <v>0</v>
      </c>
      <c r="E37" s="322">
        <f t="shared" si="4"/>
        <v>0</v>
      </c>
      <c r="F37" s="322">
        <f t="shared" si="5"/>
        <v>0</v>
      </c>
      <c r="G37" s="343"/>
      <c r="H37" s="338">
        <v>0</v>
      </c>
      <c r="I37" s="673">
        <f t="shared" si="8"/>
        <v>0</v>
      </c>
      <c r="J37" s="323">
        <f t="shared" si="10"/>
        <v>0</v>
      </c>
      <c r="K37" s="323">
        <f t="shared" si="6"/>
        <v>0</v>
      </c>
      <c r="L37" s="338">
        <v>0</v>
      </c>
      <c r="M37" s="673">
        <f t="shared" si="9"/>
        <v>0</v>
      </c>
      <c r="N37" s="323">
        <f t="shared" si="11"/>
        <v>0</v>
      </c>
      <c r="O37" s="324">
        <f t="shared" si="7"/>
        <v>0</v>
      </c>
      <c r="P37" s="2"/>
      <c r="Q37" s="4"/>
      <c r="R37" s="2"/>
      <c r="S37" s="2"/>
    </row>
    <row r="38" spans="1:19" s="311" customFormat="1">
      <c r="A38" s="343">
        <f t="shared" si="1"/>
        <v>28</v>
      </c>
      <c r="B38" s="346" t="s">
        <v>1171</v>
      </c>
      <c r="C38" s="322">
        <f t="shared" si="2"/>
        <v>0</v>
      </c>
      <c r="D38" s="322">
        <f t="shared" si="3"/>
        <v>0</v>
      </c>
      <c r="E38" s="322">
        <f t="shared" si="4"/>
        <v>0</v>
      </c>
      <c r="F38" s="322">
        <f t="shared" si="5"/>
        <v>0</v>
      </c>
      <c r="G38" s="343"/>
      <c r="H38" s="338">
        <v>0</v>
      </c>
      <c r="I38" s="673">
        <f t="shared" si="8"/>
        <v>0</v>
      </c>
      <c r="J38" s="323">
        <f t="shared" si="10"/>
        <v>0</v>
      </c>
      <c r="K38" s="323">
        <f t="shared" si="6"/>
        <v>0</v>
      </c>
      <c r="L38" s="338">
        <v>0</v>
      </c>
      <c r="M38" s="673">
        <f t="shared" si="9"/>
        <v>0</v>
      </c>
      <c r="N38" s="323">
        <f t="shared" si="11"/>
        <v>0</v>
      </c>
      <c r="O38" s="324">
        <f t="shared" si="7"/>
        <v>0</v>
      </c>
      <c r="P38" s="2"/>
      <c r="Q38" s="4"/>
      <c r="R38" s="2"/>
      <c r="S38" s="2"/>
    </row>
    <row r="39" spans="1:19" s="311" customFormat="1">
      <c r="A39" s="343">
        <f t="shared" si="1"/>
        <v>29</v>
      </c>
      <c r="B39" s="346" t="s">
        <v>1171</v>
      </c>
      <c r="C39" s="322">
        <f t="shared" si="2"/>
        <v>0</v>
      </c>
      <c r="D39" s="322">
        <f t="shared" si="3"/>
        <v>0</v>
      </c>
      <c r="E39" s="322">
        <f t="shared" si="4"/>
        <v>0</v>
      </c>
      <c r="F39" s="322">
        <f t="shared" si="5"/>
        <v>0</v>
      </c>
      <c r="G39" s="343"/>
      <c r="H39" s="338">
        <v>0</v>
      </c>
      <c r="I39" s="673">
        <f t="shared" si="8"/>
        <v>0</v>
      </c>
      <c r="J39" s="323">
        <f t="shared" si="10"/>
        <v>0</v>
      </c>
      <c r="K39" s="323">
        <f t="shared" si="6"/>
        <v>0</v>
      </c>
      <c r="L39" s="338">
        <v>0</v>
      </c>
      <c r="M39" s="673">
        <f t="shared" si="9"/>
        <v>0</v>
      </c>
      <c r="N39" s="323">
        <f t="shared" si="11"/>
        <v>0</v>
      </c>
      <c r="O39" s="324">
        <f t="shared" si="7"/>
        <v>0</v>
      </c>
      <c r="P39" s="2"/>
      <c r="Q39" s="4"/>
      <c r="R39" s="2"/>
      <c r="S39" s="2"/>
    </row>
    <row r="40" spans="1:19" s="311" customFormat="1">
      <c r="A40" s="343">
        <f t="shared" si="1"/>
        <v>30</v>
      </c>
      <c r="B40" s="346" t="s">
        <v>1171</v>
      </c>
      <c r="C40" s="322">
        <f t="shared" si="2"/>
        <v>0</v>
      </c>
      <c r="D40" s="322">
        <f t="shared" si="3"/>
        <v>0</v>
      </c>
      <c r="E40" s="322">
        <f t="shared" si="4"/>
        <v>0</v>
      </c>
      <c r="F40" s="322">
        <f t="shared" si="5"/>
        <v>0</v>
      </c>
      <c r="G40" s="343"/>
      <c r="H40" s="338">
        <v>0</v>
      </c>
      <c r="I40" s="673">
        <f t="shared" si="8"/>
        <v>0</v>
      </c>
      <c r="J40" s="323">
        <f t="shared" si="10"/>
        <v>0</v>
      </c>
      <c r="K40" s="323">
        <f t="shared" si="6"/>
        <v>0</v>
      </c>
      <c r="L40" s="338">
        <v>0</v>
      </c>
      <c r="M40" s="673">
        <f t="shared" si="9"/>
        <v>0</v>
      </c>
      <c r="N40" s="323">
        <f t="shared" si="11"/>
        <v>0</v>
      </c>
      <c r="O40" s="324">
        <f t="shared" si="7"/>
        <v>0</v>
      </c>
      <c r="P40" s="2"/>
      <c r="Q40" s="4"/>
      <c r="R40" s="2"/>
      <c r="S40" s="2"/>
    </row>
    <row r="41" spans="1:19" s="311" customFormat="1">
      <c r="A41" s="343">
        <f t="shared" si="1"/>
        <v>31</v>
      </c>
      <c r="B41" s="346" t="s">
        <v>1171</v>
      </c>
      <c r="C41" s="322">
        <f t="shared" si="2"/>
        <v>0</v>
      </c>
      <c r="D41" s="322">
        <f t="shared" si="3"/>
        <v>0</v>
      </c>
      <c r="E41" s="322">
        <f t="shared" si="4"/>
        <v>0</v>
      </c>
      <c r="F41" s="322">
        <f t="shared" si="5"/>
        <v>0</v>
      </c>
      <c r="G41" s="343"/>
      <c r="H41" s="338">
        <v>0</v>
      </c>
      <c r="I41" s="673">
        <f t="shared" si="8"/>
        <v>0</v>
      </c>
      <c r="J41" s="323">
        <f t="shared" si="10"/>
        <v>0</v>
      </c>
      <c r="K41" s="323">
        <f t="shared" si="6"/>
        <v>0</v>
      </c>
      <c r="L41" s="338">
        <v>0</v>
      </c>
      <c r="M41" s="673">
        <f t="shared" si="9"/>
        <v>0</v>
      </c>
      <c r="N41" s="323">
        <f t="shared" si="11"/>
        <v>0</v>
      </c>
      <c r="O41" s="324">
        <f t="shared" si="7"/>
        <v>0</v>
      </c>
      <c r="P41" s="2"/>
      <c r="Q41" s="4"/>
      <c r="R41" s="2"/>
      <c r="S41" s="2"/>
    </row>
    <row r="42" spans="1:19" s="311" customFormat="1">
      <c r="A42" s="343">
        <f t="shared" si="1"/>
        <v>32</v>
      </c>
      <c r="B42" s="346" t="s">
        <v>1171</v>
      </c>
      <c r="C42" s="322">
        <f t="shared" si="2"/>
        <v>0</v>
      </c>
      <c r="D42" s="322">
        <f t="shared" si="3"/>
        <v>0</v>
      </c>
      <c r="E42" s="322">
        <f t="shared" si="4"/>
        <v>0</v>
      </c>
      <c r="F42" s="322">
        <f t="shared" si="5"/>
        <v>0</v>
      </c>
      <c r="G42" s="343"/>
      <c r="H42" s="338">
        <v>0</v>
      </c>
      <c r="I42" s="673">
        <f t="shared" si="8"/>
        <v>0</v>
      </c>
      <c r="J42" s="323">
        <f t="shared" si="10"/>
        <v>0</v>
      </c>
      <c r="K42" s="323">
        <f t="shared" si="6"/>
        <v>0</v>
      </c>
      <c r="L42" s="338">
        <v>0</v>
      </c>
      <c r="M42" s="673">
        <f t="shared" si="9"/>
        <v>0</v>
      </c>
      <c r="N42" s="323">
        <f t="shared" si="11"/>
        <v>0</v>
      </c>
      <c r="O42" s="324">
        <f t="shared" si="7"/>
        <v>0</v>
      </c>
      <c r="P42" s="2"/>
      <c r="Q42" s="4"/>
      <c r="R42" s="2"/>
      <c r="S42" s="2"/>
    </row>
    <row r="43" spans="1:19" s="311" customFormat="1">
      <c r="A43" s="320"/>
      <c r="B43" s="343"/>
      <c r="G43" s="343"/>
      <c r="H43" s="325"/>
      <c r="I43" s="326"/>
      <c r="J43" s="326"/>
      <c r="K43" s="326"/>
      <c r="L43" s="327"/>
      <c r="M43" s="326"/>
      <c r="N43" s="328"/>
      <c r="O43" s="329"/>
      <c r="P43" s="2"/>
      <c r="Q43" s="4"/>
      <c r="R43" s="2"/>
      <c r="S43" s="2"/>
    </row>
    <row r="44" spans="1:19" s="311" customFormat="1">
      <c r="A44" s="345" t="s">
        <v>174</v>
      </c>
      <c r="B44" s="343"/>
      <c r="G44" s="343"/>
      <c r="H44" s="330"/>
      <c r="I44" s="330"/>
      <c r="J44" s="330"/>
      <c r="K44" s="330"/>
      <c r="L44" s="331"/>
      <c r="M44" s="330"/>
      <c r="N44" s="332"/>
      <c r="O44" s="332"/>
      <c r="P44" s="2"/>
      <c r="Q44" s="4"/>
      <c r="R44" s="2"/>
      <c r="S44" s="2"/>
    </row>
    <row r="45" spans="1:19" s="311" customFormat="1">
      <c r="A45" s="320" t="s">
        <v>79</v>
      </c>
      <c r="B45" s="344" t="s">
        <v>697</v>
      </c>
      <c r="G45" s="343"/>
      <c r="H45" s="330"/>
      <c r="I45" s="330"/>
      <c r="J45" s="330"/>
      <c r="K45" s="330"/>
      <c r="L45" s="331"/>
      <c r="M45" s="330"/>
      <c r="N45" s="332"/>
      <c r="O45" s="332"/>
      <c r="P45" s="2"/>
      <c r="Q45" s="4"/>
      <c r="R45" s="2"/>
      <c r="S45" s="2"/>
    </row>
    <row r="46" spans="1:19" s="16" customFormat="1" ht="15" customHeight="1">
      <c r="A46" s="320" t="s">
        <v>80</v>
      </c>
      <c r="B46" s="344" t="s">
        <v>698</v>
      </c>
      <c r="C46" s="46"/>
      <c r="D46" s="46"/>
      <c r="E46" s="46"/>
      <c r="F46" s="46"/>
      <c r="G46" s="342"/>
      <c r="H46" s="2"/>
      <c r="I46" s="2"/>
      <c r="P46" s="2"/>
      <c r="Q46" s="4"/>
      <c r="R46" s="2"/>
      <c r="S46" s="2"/>
    </row>
    <row r="47" spans="1:19" s="16" customFormat="1">
      <c r="A47" s="320" t="s">
        <v>81</v>
      </c>
      <c r="B47" s="915" t="s">
        <v>1093</v>
      </c>
      <c r="C47" s="915"/>
      <c r="D47" s="915"/>
      <c r="E47" s="915"/>
      <c r="F47" s="915"/>
      <c r="G47" s="915"/>
      <c r="H47" s="915"/>
      <c r="I47" s="915"/>
      <c r="J47" s="915"/>
      <c r="K47" s="915"/>
      <c r="P47" s="2"/>
      <c r="Q47" s="4"/>
      <c r="R47" s="2"/>
      <c r="S47" s="2"/>
    </row>
    <row r="48" spans="1:19" ht="15" customHeight="1">
      <c r="A48" s="320" t="s">
        <v>82</v>
      </c>
      <c r="B48" s="344" t="s">
        <v>1100</v>
      </c>
      <c r="C48" s="46"/>
      <c r="D48" s="46"/>
      <c r="E48" s="46"/>
      <c r="F48" s="46"/>
      <c r="G48" s="342"/>
    </row>
    <row r="49" spans="1:7" ht="15" customHeight="1">
      <c r="A49" s="44"/>
      <c r="B49" s="45"/>
      <c r="C49" s="46"/>
      <c r="D49" s="46"/>
      <c r="E49" s="46"/>
      <c r="F49" s="46"/>
      <c r="G49" s="342"/>
    </row>
    <row r="50" spans="1:7" ht="15" customHeight="1">
      <c r="A50" s="44"/>
      <c r="B50" s="45"/>
      <c r="C50" s="46"/>
      <c r="D50" s="46"/>
      <c r="E50" s="46"/>
      <c r="F50" s="46"/>
      <c r="G50" s="342"/>
    </row>
    <row r="51" spans="1:7" ht="15" customHeight="1">
      <c r="A51" s="44"/>
      <c r="B51" s="45"/>
      <c r="C51" s="46"/>
      <c r="D51" s="46"/>
      <c r="E51" s="46"/>
      <c r="F51" s="46"/>
      <c r="G51" s="342"/>
    </row>
    <row r="52" spans="1:7" ht="15" customHeight="1">
      <c r="A52" s="44"/>
      <c r="B52" s="45"/>
      <c r="C52" s="46"/>
      <c r="D52" s="46"/>
      <c r="E52" s="46"/>
      <c r="F52" s="46"/>
      <c r="G52" s="342"/>
    </row>
    <row r="53" spans="1:7" ht="15" customHeight="1">
      <c r="A53" s="44"/>
      <c r="B53" s="45"/>
      <c r="C53" s="46"/>
      <c r="D53" s="46"/>
      <c r="E53" s="46"/>
      <c r="F53" s="46"/>
      <c r="G53" s="342"/>
    </row>
    <row r="54" spans="1:7">
      <c r="A54" s="44"/>
      <c r="B54" s="45"/>
      <c r="C54" s="46"/>
      <c r="D54" s="46"/>
      <c r="E54" s="46"/>
      <c r="F54" s="46"/>
      <c r="G54" s="342"/>
    </row>
    <row r="55" spans="1:7">
      <c r="A55" s="44"/>
      <c r="B55" s="45"/>
      <c r="C55" s="46"/>
      <c r="D55" s="46"/>
      <c r="E55" s="46"/>
      <c r="F55" s="46"/>
      <c r="G55" s="342"/>
    </row>
    <row r="56" spans="1:7">
      <c r="A56" s="44"/>
      <c r="B56" s="45"/>
      <c r="C56" s="46"/>
      <c r="D56" s="46"/>
      <c r="E56" s="46"/>
      <c r="F56" s="46"/>
      <c r="G56" s="342"/>
    </row>
    <row r="57" spans="1:7">
      <c r="A57" s="44"/>
      <c r="B57" s="45"/>
      <c r="C57" s="46"/>
      <c r="D57" s="46"/>
      <c r="E57" s="46"/>
      <c r="F57" s="46"/>
      <c r="G57" s="342"/>
    </row>
    <row r="58" spans="1:7">
      <c r="A58" s="44"/>
      <c r="B58" s="45"/>
      <c r="C58" s="46"/>
      <c r="D58" s="46"/>
      <c r="E58" s="46"/>
      <c r="F58" s="46"/>
      <c r="G58" s="342"/>
    </row>
    <row r="59" spans="1:7">
      <c r="A59" s="44"/>
      <c r="B59" s="45"/>
      <c r="C59" s="46"/>
      <c r="D59" s="46"/>
      <c r="E59" s="46"/>
      <c r="F59" s="46"/>
      <c r="G59" s="342"/>
    </row>
    <row r="60" spans="1:7">
      <c r="A60" s="44"/>
      <c r="B60" s="45"/>
      <c r="C60" s="46"/>
      <c r="D60" s="46"/>
      <c r="E60" s="46"/>
      <c r="F60" s="46"/>
      <c r="G60" s="342"/>
    </row>
    <row r="61" spans="1:7">
      <c r="A61" s="44"/>
      <c r="B61" s="45"/>
      <c r="C61" s="46"/>
      <c r="D61" s="46"/>
      <c r="E61" s="46"/>
      <c r="F61" s="46"/>
      <c r="G61" s="342"/>
    </row>
    <row r="62" spans="1:7">
      <c r="A62" s="44"/>
      <c r="B62" s="45"/>
      <c r="C62" s="46"/>
      <c r="D62" s="46"/>
      <c r="E62" s="46"/>
      <c r="F62" s="46"/>
      <c r="G62" s="342"/>
    </row>
    <row r="63" spans="1:7">
      <c r="A63" s="44"/>
      <c r="B63" s="45"/>
      <c r="C63" s="46"/>
      <c r="D63" s="46"/>
      <c r="E63" s="46"/>
      <c r="F63" s="46"/>
      <c r="G63" s="342"/>
    </row>
    <row r="64" spans="1:7">
      <c r="A64" s="44"/>
      <c r="B64" s="45"/>
      <c r="C64" s="46"/>
      <c r="D64" s="46"/>
      <c r="E64" s="46"/>
      <c r="F64" s="46"/>
      <c r="G64" s="342"/>
    </row>
    <row r="87" spans="1:17">
      <c r="J87" s="3"/>
    </row>
    <row r="88" spans="1:17">
      <c r="J88" s="3"/>
      <c r="L88" s="6"/>
    </row>
    <row r="89" spans="1:17">
      <c r="J89" s="3"/>
    </row>
    <row r="92" spans="1:17" ht="102" customHeight="1"/>
    <row r="93" spans="1:17" s="16" customFormat="1">
      <c r="A93" s="1"/>
      <c r="B93" s="27"/>
      <c r="C93" s="2"/>
      <c r="D93" s="2"/>
      <c r="E93" s="2"/>
      <c r="F93" s="2"/>
      <c r="G93" s="27"/>
      <c r="H93" s="2"/>
      <c r="I93" s="2"/>
      <c r="Q93" s="15"/>
    </row>
    <row r="94" spans="1:17" s="16" customFormat="1" ht="63.75" customHeight="1">
      <c r="A94" s="1"/>
      <c r="B94" s="27"/>
      <c r="C94" s="2"/>
      <c r="D94" s="2"/>
      <c r="E94" s="2"/>
      <c r="F94" s="2"/>
      <c r="G94" s="27"/>
      <c r="H94" s="2"/>
      <c r="I94" s="2"/>
      <c r="Q94" s="15"/>
    </row>
    <row r="110" spans="1:17" s="16" customFormat="1">
      <c r="A110" s="1"/>
      <c r="B110" s="27"/>
      <c r="C110" s="2"/>
      <c r="D110" s="2"/>
      <c r="E110" s="2"/>
      <c r="F110" s="2"/>
      <c r="G110" s="27"/>
      <c r="H110" s="2"/>
      <c r="I110" s="2"/>
      <c r="J110" s="2"/>
      <c r="Q110" s="15"/>
    </row>
    <row r="111" spans="1:17" s="16" customFormat="1">
      <c r="A111" s="1"/>
      <c r="B111" s="27"/>
      <c r="C111" s="2"/>
      <c r="D111" s="2"/>
      <c r="E111" s="2"/>
      <c r="F111" s="2"/>
      <c r="G111" s="27"/>
      <c r="H111" s="2"/>
      <c r="I111" s="2"/>
      <c r="J111" s="2"/>
      <c r="K111" s="2"/>
      <c r="L111" s="2"/>
      <c r="Q111" s="15"/>
    </row>
    <row r="112" spans="1:17" s="16" customFormat="1">
      <c r="A112" s="1"/>
      <c r="B112" s="27"/>
      <c r="C112" s="2"/>
      <c r="D112" s="2"/>
      <c r="E112" s="2"/>
      <c r="F112" s="2"/>
      <c r="G112" s="27"/>
      <c r="H112" s="2"/>
      <c r="I112" s="2"/>
      <c r="J112" s="2"/>
      <c r="L112" s="2"/>
      <c r="Q112" s="15"/>
    </row>
    <row r="113" spans="1:17" s="16" customFormat="1" ht="82.5" customHeight="1">
      <c r="A113" s="1"/>
      <c r="B113" s="27"/>
      <c r="C113" s="2"/>
      <c r="D113" s="2"/>
      <c r="E113" s="2"/>
      <c r="F113" s="2"/>
      <c r="G113" s="27"/>
      <c r="H113" s="2"/>
      <c r="I113" s="2"/>
      <c r="J113" s="29"/>
      <c r="K113" s="29"/>
      <c r="L113" s="29"/>
      <c r="Q113" s="15"/>
    </row>
    <row r="114" spans="1:17" s="16" customFormat="1">
      <c r="A114" s="1"/>
      <c r="B114" s="27"/>
      <c r="C114" s="2"/>
      <c r="D114" s="2"/>
      <c r="E114" s="2"/>
      <c r="F114" s="2"/>
      <c r="G114" s="27"/>
      <c r="H114" s="2"/>
      <c r="I114" s="2"/>
      <c r="J114" s="2"/>
      <c r="K114" s="2"/>
      <c r="L114" s="2"/>
      <c r="Q114" s="15"/>
    </row>
    <row r="115" spans="1:17" s="16" customFormat="1">
      <c r="A115" s="1"/>
      <c r="B115" s="27"/>
      <c r="C115" s="2"/>
      <c r="D115" s="2"/>
      <c r="E115" s="2"/>
      <c r="F115" s="2"/>
      <c r="G115" s="27"/>
      <c r="H115" s="2"/>
      <c r="I115" s="2"/>
      <c r="J115" s="2"/>
      <c r="K115" s="2"/>
      <c r="L115" s="2"/>
      <c r="Q115" s="15"/>
    </row>
    <row r="116" spans="1:17" s="16" customFormat="1">
      <c r="A116" s="1"/>
      <c r="B116" s="27"/>
      <c r="C116" s="2"/>
      <c r="D116" s="2"/>
      <c r="E116" s="2"/>
      <c r="F116" s="2"/>
      <c r="G116" s="27"/>
      <c r="H116" s="2"/>
      <c r="I116" s="2"/>
      <c r="J116" s="2"/>
      <c r="K116" s="2"/>
      <c r="L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c r="A119" s="1"/>
      <c r="B119" s="27"/>
      <c r="C119" s="2"/>
      <c r="D119" s="2"/>
      <c r="E119" s="2"/>
      <c r="F119" s="2"/>
      <c r="G119" s="27"/>
      <c r="H119" s="2"/>
      <c r="I119" s="2"/>
      <c r="J119" s="2"/>
      <c r="K119" s="2"/>
      <c r="L119" s="2"/>
      <c r="Q119" s="15"/>
    </row>
    <row r="120" spans="1:17" s="16" customFormat="1">
      <c r="A120" s="1"/>
      <c r="B120" s="27"/>
      <c r="C120" s="2"/>
      <c r="D120" s="2"/>
      <c r="E120" s="2"/>
      <c r="F120" s="2"/>
      <c r="G120" s="27"/>
      <c r="H120" s="2"/>
      <c r="I120" s="2"/>
      <c r="J120" s="2"/>
      <c r="K120" s="2"/>
      <c r="Q120" s="15"/>
    </row>
    <row r="121" spans="1:17" s="16" customFormat="1">
      <c r="A121" s="1"/>
      <c r="B121" s="27"/>
      <c r="C121" s="2"/>
      <c r="D121" s="2"/>
      <c r="E121" s="2"/>
      <c r="F121" s="2"/>
      <c r="G121" s="27"/>
      <c r="H121" s="2"/>
      <c r="I121" s="2"/>
      <c r="J121" s="2"/>
      <c r="K121" s="2"/>
      <c r="Q121" s="15"/>
    </row>
    <row r="123" spans="1:17" ht="15" customHeight="1">
      <c r="J123" s="304"/>
      <c r="K123" s="304"/>
    </row>
    <row r="124" spans="1:17" ht="15" customHeight="1">
      <c r="J124" s="304"/>
      <c r="K124" s="304"/>
      <c r="L124" s="6"/>
    </row>
    <row r="125" spans="1:17" ht="30.75" customHeight="1">
      <c r="J125" s="47"/>
      <c r="K125" s="47"/>
    </row>
    <row r="126" spans="1:17">
      <c r="J126" s="47"/>
      <c r="K126" s="47"/>
    </row>
    <row r="127" spans="1:17">
      <c r="J127" s="48"/>
      <c r="K127" s="48"/>
      <c r="L127" s="48"/>
      <c r="M127" s="48"/>
    </row>
    <row r="129" spans="10:14" ht="30.75" customHeight="1">
      <c r="J129" s="305"/>
      <c r="K129" s="305"/>
      <c r="L129" s="305"/>
      <c r="M129" s="305"/>
      <c r="N129" s="305"/>
    </row>
    <row r="130" spans="10:14" ht="15" customHeight="1">
      <c r="J130" s="305"/>
      <c r="K130" s="305"/>
    </row>
    <row r="131" spans="10:14" ht="82.5" customHeight="1">
      <c r="J131" s="305"/>
      <c r="K131" s="305"/>
      <c r="L131" s="305"/>
      <c r="M131" s="305"/>
      <c r="N131" s="305"/>
    </row>
    <row r="132" spans="10:14" ht="15" customHeight="1">
      <c r="J132" s="50"/>
      <c r="K132" s="50"/>
    </row>
    <row r="133" spans="10:14">
      <c r="J133" s="50"/>
      <c r="K133" s="50"/>
    </row>
    <row r="134" spans="10:14" ht="69.75" customHeight="1">
      <c r="J134" s="50"/>
      <c r="K134" s="50"/>
    </row>
  </sheetData>
  <mergeCells count="6">
    <mergeCell ref="B47:K47"/>
    <mergeCell ref="Q1:W1"/>
    <mergeCell ref="C14:F14"/>
    <mergeCell ref="A1:O1"/>
    <mergeCell ref="A2:O2"/>
    <mergeCell ref="A3:O3"/>
  </mergeCells>
  <pageMargins left="0.5" right="0.25" top="1" bottom="1" header="0.5" footer="0.5"/>
  <pageSetup scale="62" fitToHeight="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A1:Q43"/>
  <sheetViews>
    <sheetView workbookViewId="0">
      <selection activeCell="B42" sqref="B42"/>
    </sheetView>
  </sheetViews>
  <sheetFormatPr defaultColWidth="7.08984375" defaultRowHeight="13.2"/>
  <cols>
    <col min="1" max="1" width="2.08984375" style="204" customWidth="1"/>
    <col min="2" max="2" width="4.81640625" style="204" customWidth="1"/>
    <col min="3" max="3" width="17.453125" style="204" customWidth="1"/>
    <col min="4" max="4" width="36.81640625" style="204" bestFit="1" customWidth="1"/>
    <col min="5" max="5" width="10" style="204" customWidth="1"/>
    <col min="6" max="6" width="7.1796875" style="204" customWidth="1"/>
    <col min="7" max="7" width="7.54296875" style="204" customWidth="1"/>
    <col min="8" max="8" width="9.1796875" style="215" customWidth="1"/>
    <col min="9" max="9" width="8.1796875" style="204" customWidth="1"/>
    <col min="10" max="11" width="7.08984375" style="204"/>
    <col min="12" max="12" width="8.81640625" style="204" customWidth="1"/>
    <col min="13" max="13" width="7.453125" style="204" bestFit="1" customWidth="1"/>
    <col min="14"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17" ht="14.25" customHeight="1">
      <c r="A1" s="887" t="s">
        <v>1013</v>
      </c>
      <c r="B1" s="887"/>
      <c r="C1" s="887"/>
      <c r="D1" s="887"/>
      <c r="E1" s="887"/>
      <c r="F1" s="887"/>
      <c r="G1" s="887"/>
      <c r="H1" s="887"/>
      <c r="K1" s="916"/>
      <c r="L1" s="916"/>
      <c r="M1" s="916"/>
      <c r="N1" s="916"/>
      <c r="O1" s="916"/>
      <c r="P1" s="916"/>
      <c r="Q1" s="916"/>
    </row>
    <row r="2" spans="1:17">
      <c r="A2" s="887" t="s">
        <v>970</v>
      </c>
      <c r="B2" s="887"/>
      <c r="C2" s="887"/>
      <c r="D2" s="887"/>
      <c r="E2" s="887"/>
      <c r="F2" s="887"/>
      <c r="G2" s="887"/>
      <c r="H2" s="887"/>
    </row>
    <row r="3" spans="1:17">
      <c r="A3" s="888" t="str">
        <f>'Act Att-H'!C7</f>
        <v>Cheyenne Light, Fuel &amp; Power</v>
      </c>
      <c r="B3" s="888"/>
      <c r="C3" s="888"/>
      <c r="D3" s="888"/>
      <c r="E3" s="888"/>
      <c r="F3" s="888"/>
      <c r="G3" s="888"/>
      <c r="H3" s="888"/>
    </row>
    <row r="4" spans="1:17">
      <c r="F4" s="2"/>
      <c r="H4" s="205" t="s">
        <v>672</v>
      </c>
    </row>
    <row r="5" spans="1:17">
      <c r="A5" s="216"/>
      <c r="B5" s="216"/>
      <c r="C5" s="216"/>
      <c r="D5" s="216"/>
      <c r="E5" s="216"/>
      <c r="F5" s="216"/>
      <c r="G5" s="216"/>
      <c r="H5" s="216"/>
    </row>
    <row r="6" spans="1:17" ht="60.75" customHeight="1">
      <c r="B6" s="127" t="s">
        <v>4</v>
      </c>
      <c r="C6" s="127" t="s">
        <v>1048</v>
      </c>
      <c r="D6" s="127" t="s">
        <v>191</v>
      </c>
      <c r="E6" s="229" t="s">
        <v>1071</v>
      </c>
      <c r="F6" s="229" t="s">
        <v>10</v>
      </c>
      <c r="G6" s="229" t="s">
        <v>1019</v>
      </c>
      <c r="H6" s="229" t="s">
        <v>1020</v>
      </c>
    </row>
    <row r="7" spans="1:17" ht="15" customHeight="1">
      <c r="B7" s="225"/>
      <c r="C7" s="230" t="s">
        <v>157</v>
      </c>
      <c r="D7" s="231" t="s">
        <v>158</v>
      </c>
      <c r="E7" s="231" t="s">
        <v>159</v>
      </c>
      <c r="F7" s="231" t="s">
        <v>160</v>
      </c>
      <c r="G7" s="231" t="s">
        <v>161</v>
      </c>
      <c r="H7" s="231" t="s">
        <v>162</v>
      </c>
    </row>
    <row r="8" spans="1:17">
      <c r="B8" s="206">
        <v>1</v>
      </c>
      <c r="C8" s="419" t="s">
        <v>1021</v>
      </c>
      <c r="D8" s="204" t="s">
        <v>1021</v>
      </c>
      <c r="E8" s="656">
        <v>71795.66</v>
      </c>
      <c r="F8" s="667" t="s">
        <v>11</v>
      </c>
      <c r="G8" s="668">
        <f>'Act Att-H'!$I$174</f>
        <v>0.96104528227842878</v>
      </c>
      <c r="H8" s="663">
        <f t="shared" ref="H8:H32" si="0">G8*E8</f>
        <v>68998.880331066102</v>
      </c>
      <c r="M8" s="419"/>
    </row>
    <row r="9" spans="1:17" ht="15" customHeight="1">
      <c r="B9" s="206">
        <v>2</v>
      </c>
      <c r="C9" s="419" t="s">
        <v>1087</v>
      </c>
      <c r="D9" s="204" t="s">
        <v>1089</v>
      </c>
      <c r="E9" s="661">
        <f>86341.82+66674.2</f>
        <v>153016.02000000002</v>
      </c>
      <c r="F9" s="667" t="s">
        <v>11</v>
      </c>
      <c r="G9" s="668">
        <f>'Act Att-H'!$I$174</f>
        <v>0.96104528227842878</v>
      </c>
      <c r="H9" s="664">
        <f t="shared" si="0"/>
        <v>147055.32413402174</v>
      </c>
      <c r="M9" s="419"/>
    </row>
    <row r="10" spans="1:17" ht="15" customHeight="1">
      <c r="B10" s="206">
        <v>3</v>
      </c>
      <c r="C10" s="419" t="s">
        <v>1022</v>
      </c>
      <c r="D10" s="204" t="s">
        <v>1029</v>
      </c>
      <c r="E10" s="661">
        <f>6213.78</f>
        <v>6213.78</v>
      </c>
      <c r="F10" s="667" t="s">
        <v>100</v>
      </c>
      <c r="G10" s="668">
        <f>'Act Att-H'!$I$191</f>
        <v>9.1201779797052435E-2</v>
      </c>
      <c r="H10" s="664">
        <f t="shared" si="0"/>
        <v>566.70779526732849</v>
      </c>
      <c r="M10" s="419"/>
    </row>
    <row r="11" spans="1:17" ht="15" customHeight="1">
      <c r="B11" s="206">
        <v>4</v>
      </c>
      <c r="C11" s="419" t="s">
        <v>1088</v>
      </c>
      <c r="D11" s="204" t="s">
        <v>1090</v>
      </c>
      <c r="E11" s="661">
        <f>4374.62</f>
        <v>4374.62</v>
      </c>
      <c r="F11" s="667" t="s">
        <v>100</v>
      </c>
      <c r="G11" s="668">
        <f>'Act Att-H'!$I$191</f>
        <v>9.1201779797052435E-2</v>
      </c>
      <c r="H11" s="664">
        <f t="shared" si="0"/>
        <v>398.97312993578151</v>
      </c>
      <c r="M11" s="419"/>
    </row>
    <row r="12" spans="1:17" ht="15" customHeight="1">
      <c r="B12" s="206">
        <v>5</v>
      </c>
      <c r="C12" s="419" t="s">
        <v>1023</v>
      </c>
      <c r="D12" s="204" t="s">
        <v>1030</v>
      </c>
      <c r="E12" s="661">
        <f>4712.41</f>
        <v>4712.41</v>
      </c>
      <c r="F12" s="667" t="s">
        <v>100</v>
      </c>
      <c r="G12" s="668">
        <f>'Act Att-H'!$I$191</f>
        <v>9.1201779797052435E-2</v>
      </c>
      <c r="H12" s="664">
        <f t="shared" ref="H12:H22" si="1">G12*E12</f>
        <v>429.78017913342785</v>
      </c>
      <c r="M12" s="419"/>
    </row>
    <row r="13" spans="1:17" ht="15" customHeight="1">
      <c r="B13" s="206">
        <v>6</v>
      </c>
      <c r="C13" s="419" t="s">
        <v>1024</v>
      </c>
      <c r="D13" s="204" t="s">
        <v>1031</v>
      </c>
      <c r="E13" s="661">
        <f>3412.43</f>
        <v>3412.43</v>
      </c>
      <c r="F13" s="667" t="s">
        <v>27</v>
      </c>
      <c r="G13" s="668">
        <v>0</v>
      </c>
      <c r="H13" s="664">
        <f t="shared" si="1"/>
        <v>0</v>
      </c>
      <c r="M13" s="419"/>
    </row>
    <row r="14" spans="1:17" ht="15" customHeight="1">
      <c r="B14" s="206">
        <v>7</v>
      </c>
      <c r="C14" s="419" t="s">
        <v>1025</v>
      </c>
      <c r="D14" s="204" t="s">
        <v>1032</v>
      </c>
      <c r="E14" s="661">
        <f>177382.29</f>
        <v>177382.29</v>
      </c>
      <c r="F14" s="667" t="s">
        <v>27</v>
      </c>
      <c r="G14" s="668">
        <v>0</v>
      </c>
      <c r="H14" s="664">
        <f t="shared" si="1"/>
        <v>0</v>
      </c>
      <c r="M14" s="419"/>
    </row>
    <row r="15" spans="1:17" ht="15" customHeight="1">
      <c r="B15" s="206">
        <v>8</v>
      </c>
      <c r="C15" s="419" t="s">
        <v>1026</v>
      </c>
      <c r="D15" s="204" t="s">
        <v>1033</v>
      </c>
      <c r="E15" s="661">
        <f>244956.5</f>
        <v>244956.5</v>
      </c>
      <c r="F15" s="667" t="s">
        <v>100</v>
      </c>
      <c r="G15" s="668">
        <f>'Act Att-H'!$I$191</f>
        <v>9.1201779797052435E-2</v>
      </c>
      <c r="H15" s="664">
        <f t="shared" si="1"/>
        <v>22340.468772856675</v>
      </c>
      <c r="M15" s="419"/>
    </row>
    <row r="16" spans="1:17" ht="15" customHeight="1">
      <c r="B16" s="206">
        <v>9</v>
      </c>
      <c r="C16" s="419" t="s">
        <v>1027</v>
      </c>
      <c r="D16" s="204" t="s">
        <v>1034</v>
      </c>
      <c r="E16" s="661">
        <v>0</v>
      </c>
      <c r="F16" s="667" t="s">
        <v>100</v>
      </c>
      <c r="G16" s="668">
        <f>'Act Att-H'!$I$191</f>
        <v>9.1201779797052435E-2</v>
      </c>
      <c r="H16" s="664">
        <f t="shared" si="1"/>
        <v>0</v>
      </c>
      <c r="M16" s="419"/>
    </row>
    <row r="17" spans="2:13">
      <c r="B17" s="206">
        <v>10</v>
      </c>
      <c r="C17" s="419" t="s">
        <v>1028</v>
      </c>
      <c r="D17" s="204" t="s">
        <v>1035</v>
      </c>
      <c r="E17" s="661">
        <f>709250.15</f>
        <v>709250.15</v>
      </c>
      <c r="F17" s="667" t="s">
        <v>27</v>
      </c>
      <c r="G17" s="668">
        <v>0</v>
      </c>
      <c r="H17" s="664">
        <f t="shared" si="1"/>
        <v>0</v>
      </c>
      <c r="M17" s="419"/>
    </row>
    <row r="18" spans="2:13">
      <c r="B18" s="206">
        <v>11</v>
      </c>
      <c r="C18" s="655" t="s">
        <v>1173</v>
      </c>
      <c r="D18" s="657" t="s">
        <v>1174</v>
      </c>
      <c r="E18" s="661">
        <f>25993.15</f>
        <v>25993.15</v>
      </c>
      <c r="F18" s="660" t="s">
        <v>27</v>
      </c>
      <c r="G18" s="668">
        <f t="shared" ref="G18:G32" si="2">IF(F18=0,0, IF(F18="NA", NA, IF(F18="TP",TP, IF(F18="TE",TE,IF(F18="CE",CE,IF(F18="WS",WS,IF(F18="DA",DA, IF(F18="NP",NP))))))))</f>
        <v>0</v>
      </c>
      <c r="H18" s="664">
        <f t="shared" si="1"/>
        <v>0</v>
      </c>
      <c r="L18" s="419"/>
      <c r="M18" s="419"/>
    </row>
    <row r="19" spans="2:13">
      <c r="B19" s="206">
        <v>12</v>
      </c>
      <c r="C19" s="655" t="s">
        <v>1173</v>
      </c>
      <c r="D19" s="657" t="s">
        <v>1175</v>
      </c>
      <c r="E19" s="661">
        <f>820.87</f>
        <v>820.87</v>
      </c>
      <c r="F19" s="660" t="s">
        <v>27</v>
      </c>
      <c r="G19" s="668">
        <f t="shared" si="2"/>
        <v>0</v>
      </c>
      <c r="H19" s="664">
        <f t="shared" si="1"/>
        <v>0</v>
      </c>
      <c r="L19" s="419"/>
      <c r="M19" s="419"/>
    </row>
    <row r="20" spans="2:13">
      <c r="B20" s="206">
        <v>13</v>
      </c>
      <c r="C20" s="655" t="s">
        <v>1173</v>
      </c>
      <c r="D20" s="657" t="s">
        <v>1176</v>
      </c>
      <c r="E20" s="661">
        <f>906.01</f>
        <v>906.01</v>
      </c>
      <c r="F20" s="660" t="s">
        <v>27</v>
      </c>
      <c r="G20" s="668">
        <f t="shared" si="2"/>
        <v>0</v>
      </c>
      <c r="H20" s="664">
        <f t="shared" si="1"/>
        <v>0</v>
      </c>
      <c r="L20" s="419"/>
      <c r="M20" s="419"/>
    </row>
    <row r="21" spans="2:13">
      <c r="B21" s="206">
        <v>14</v>
      </c>
      <c r="C21" s="655" t="s">
        <v>1180</v>
      </c>
      <c r="D21" s="657" t="s">
        <v>1181</v>
      </c>
      <c r="E21" s="661">
        <f>8727.36</f>
        <v>8727.36</v>
      </c>
      <c r="F21" s="660" t="s">
        <v>27</v>
      </c>
      <c r="G21" s="668">
        <f t="shared" si="2"/>
        <v>0</v>
      </c>
      <c r="H21" s="664">
        <f t="shared" si="1"/>
        <v>0</v>
      </c>
      <c r="L21" s="419"/>
      <c r="M21" s="419"/>
    </row>
    <row r="22" spans="2:13">
      <c r="B22" s="206">
        <v>15</v>
      </c>
      <c r="C22" s="858" t="s">
        <v>1352</v>
      </c>
      <c r="D22" s="657" t="s">
        <v>1353</v>
      </c>
      <c r="E22" s="661">
        <f>133621.63</f>
        <v>133621.63</v>
      </c>
      <c r="F22" s="660" t="s">
        <v>100</v>
      </c>
      <c r="G22" s="668">
        <f t="shared" si="2"/>
        <v>9.1201779797052435E-2</v>
      </c>
      <c r="H22" s="664">
        <f t="shared" si="1"/>
        <v>12186.530475383215</v>
      </c>
      <c r="J22" s="226"/>
      <c r="L22" s="419"/>
      <c r="M22" s="419"/>
    </row>
    <row r="23" spans="2:13">
      <c r="B23" s="206">
        <v>16</v>
      </c>
      <c r="C23" s="858" t="s">
        <v>1354</v>
      </c>
      <c r="D23" s="657" t="s">
        <v>1355</v>
      </c>
      <c r="E23" s="661">
        <f>1924.88</f>
        <v>1924.88</v>
      </c>
      <c r="F23" s="660" t="s">
        <v>100</v>
      </c>
      <c r="G23" s="668">
        <f t="shared" si="2"/>
        <v>9.1201779797052435E-2</v>
      </c>
      <c r="H23" s="664">
        <f t="shared" si="0"/>
        <v>175.5524818957503</v>
      </c>
      <c r="L23" s="419"/>
      <c r="M23" s="419"/>
    </row>
    <row r="24" spans="2:13">
      <c r="B24" s="206">
        <v>17</v>
      </c>
      <c r="C24" s="858" t="s">
        <v>1356</v>
      </c>
      <c r="D24" s="657" t="s">
        <v>1357</v>
      </c>
      <c r="E24" s="661">
        <f>671838.56</f>
        <v>671838.56</v>
      </c>
      <c r="F24" s="660" t="s">
        <v>11</v>
      </c>
      <c r="G24" s="668">
        <f t="shared" si="2"/>
        <v>0.96104528227842878</v>
      </c>
      <c r="H24" s="664">
        <f t="shared" si="0"/>
        <v>645667.27854073315</v>
      </c>
      <c r="L24" s="419"/>
      <c r="M24" s="419"/>
    </row>
    <row r="25" spans="2:13">
      <c r="B25" s="206">
        <v>18</v>
      </c>
      <c r="C25" s="655"/>
      <c r="D25" s="657"/>
      <c r="E25" s="661">
        <v>0</v>
      </c>
      <c r="F25" s="660"/>
      <c r="G25" s="668">
        <f t="shared" si="2"/>
        <v>0</v>
      </c>
      <c r="H25" s="664">
        <f t="shared" si="0"/>
        <v>0</v>
      </c>
      <c r="L25" s="419"/>
      <c r="M25" s="419"/>
    </row>
    <row r="26" spans="2:13">
      <c r="B26" s="206">
        <v>19</v>
      </c>
      <c r="C26" s="655"/>
      <c r="D26" s="657"/>
      <c r="E26" s="661">
        <v>0</v>
      </c>
      <c r="F26" s="660"/>
      <c r="G26" s="668">
        <f t="shared" si="2"/>
        <v>0</v>
      </c>
      <c r="H26" s="664">
        <f t="shared" si="0"/>
        <v>0</v>
      </c>
      <c r="L26" s="419"/>
      <c r="M26" s="419"/>
    </row>
    <row r="27" spans="2:13">
      <c r="B27" s="206">
        <v>20</v>
      </c>
      <c r="C27" s="655"/>
      <c r="D27" s="657"/>
      <c r="E27" s="661">
        <v>0</v>
      </c>
      <c r="F27" s="660"/>
      <c r="G27" s="668">
        <f t="shared" si="2"/>
        <v>0</v>
      </c>
      <c r="H27" s="664">
        <f t="shared" si="0"/>
        <v>0</v>
      </c>
      <c r="J27" s="226"/>
      <c r="L27" s="419"/>
      <c r="M27" s="419"/>
    </row>
    <row r="28" spans="2:13">
      <c r="B28" s="206">
        <v>21</v>
      </c>
      <c r="C28" s="655"/>
      <c r="D28" s="657"/>
      <c r="E28" s="661">
        <v>0</v>
      </c>
      <c r="F28" s="660"/>
      <c r="G28" s="668">
        <f t="shared" si="2"/>
        <v>0</v>
      </c>
      <c r="H28" s="664">
        <f t="shared" si="0"/>
        <v>0</v>
      </c>
      <c r="I28" s="226"/>
      <c r="L28" s="419"/>
      <c r="M28" s="419"/>
    </row>
    <row r="29" spans="2:13">
      <c r="B29" s="206">
        <v>22</v>
      </c>
      <c r="C29" s="655"/>
      <c r="D29" s="657"/>
      <c r="E29" s="661">
        <v>0</v>
      </c>
      <c r="F29" s="660"/>
      <c r="G29" s="668">
        <f t="shared" si="2"/>
        <v>0</v>
      </c>
      <c r="H29" s="664">
        <f t="shared" si="0"/>
        <v>0</v>
      </c>
      <c r="I29" s="226"/>
      <c r="L29" s="419"/>
      <c r="M29" s="419"/>
    </row>
    <row r="30" spans="2:13">
      <c r="B30" s="206">
        <v>23</v>
      </c>
      <c r="C30" s="655"/>
      <c r="D30" s="657"/>
      <c r="E30" s="661">
        <v>0</v>
      </c>
      <c r="F30" s="660"/>
      <c r="G30" s="668">
        <f t="shared" si="2"/>
        <v>0</v>
      </c>
      <c r="H30" s="664">
        <f t="shared" si="0"/>
        <v>0</v>
      </c>
      <c r="I30" s="226"/>
      <c r="L30" s="419"/>
      <c r="M30" s="419"/>
    </row>
    <row r="31" spans="2:13">
      <c r="B31" s="206">
        <v>24</v>
      </c>
      <c r="C31" s="655"/>
      <c r="D31" s="657"/>
      <c r="E31" s="661">
        <v>0</v>
      </c>
      <c r="F31" s="660"/>
      <c r="G31" s="668">
        <f t="shared" si="2"/>
        <v>0</v>
      </c>
      <c r="H31" s="664">
        <f t="shared" si="0"/>
        <v>0</v>
      </c>
      <c r="I31" s="226"/>
      <c r="L31" s="419"/>
      <c r="M31" s="419"/>
    </row>
    <row r="32" spans="2:13">
      <c r="B32" s="206">
        <v>25</v>
      </c>
      <c r="C32" s="655"/>
      <c r="D32" s="657"/>
      <c r="E32" s="661">
        <v>0</v>
      </c>
      <c r="F32" s="660"/>
      <c r="G32" s="668">
        <f t="shared" si="2"/>
        <v>0</v>
      </c>
      <c r="H32" s="664">
        <f t="shared" si="0"/>
        <v>0</v>
      </c>
      <c r="I32" s="226"/>
      <c r="L32" s="419"/>
      <c r="M32" s="419"/>
    </row>
    <row r="33" spans="2:9">
      <c r="B33" s="206">
        <v>26</v>
      </c>
      <c r="C33" s="309" t="s">
        <v>9</v>
      </c>
      <c r="D33" s="309" t="s">
        <v>635</v>
      </c>
      <c r="E33" s="435">
        <f>SUM(E8:E32)</f>
        <v>2218946.3199999998</v>
      </c>
      <c r="F33" s="658"/>
      <c r="G33" s="662"/>
      <c r="H33" s="659">
        <f>SUM(H8:H32)</f>
        <v>897819.49584029324</v>
      </c>
      <c r="I33" s="226"/>
    </row>
    <row r="34" spans="2:9">
      <c r="B34" s="206">
        <v>27</v>
      </c>
      <c r="C34" s="204" t="s">
        <v>1075</v>
      </c>
      <c r="D34" s="737"/>
      <c r="E34" s="220">
        <f>'A4-Rate Base'!I70</f>
        <v>2218946.4615384615</v>
      </c>
      <c r="F34" s="677"/>
      <c r="G34" s="677"/>
      <c r="H34" s="677"/>
      <c r="I34" s="226"/>
    </row>
    <row r="35" spans="2:9">
      <c r="B35" s="206">
        <v>28</v>
      </c>
      <c r="C35" s="204" t="s">
        <v>1076</v>
      </c>
      <c r="D35" s="737"/>
      <c r="E35" s="435">
        <f>E34-E33</f>
        <v>0.1415384616702795</v>
      </c>
      <c r="F35" s="677"/>
      <c r="G35" s="677"/>
      <c r="H35" s="677"/>
      <c r="I35" s="226"/>
    </row>
    <row r="36" spans="2:9">
      <c r="B36" s="206"/>
      <c r="H36" s="226"/>
    </row>
    <row r="37" spans="2:9">
      <c r="B37" s="206"/>
      <c r="H37" s="226"/>
    </row>
    <row r="38" spans="2:9">
      <c r="B38" s="381" t="s">
        <v>174</v>
      </c>
      <c r="H38" s="226"/>
    </row>
    <row r="39" spans="2:9">
      <c r="B39" s="206" t="s">
        <v>79</v>
      </c>
      <c r="C39" s="204" t="s">
        <v>1036</v>
      </c>
      <c r="H39" s="226"/>
    </row>
    <row r="40" spans="2:9" ht="147" customHeight="1">
      <c r="B40" s="421" t="s">
        <v>80</v>
      </c>
      <c r="C40" s="914" t="s">
        <v>1133</v>
      </c>
      <c r="D40" s="914"/>
      <c r="E40" s="914"/>
      <c r="F40" s="914"/>
      <c r="G40" s="914"/>
      <c r="H40" s="914"/>
    </row>
    <row r="41" spans="2:9" ht="26.25" customHeight="1">
      <c r="B41" s="421" t="s">
        <v>81</v>
      </c>
      <c r="C41" s="914" t="s">
        <v>1077</v>
      </c>
      <c r="D41" s="914"/>
      <c r="E41" s="914"/>
      <c r="F41" s="914"/>
      <c r="G41" s="914"/>
      <c r="H41" s="914"/>
    </row>
    <row r="42" spans="2:9">
      <c r="B42" s="206"/>
    </row>
    <row r="43" spans="2:9">
      <c r="B43" s="206"/>
      <c r="C43" s="592"/>
    </row>
  </sheetData>
  <mergeCells count="6">
    <mergeCell ref="C41:H41"/>
    <mergeCell ref="K1:Q1"/>
    <mergeCell ref="A1:H1"/>
    <mergeCell ref="A2:H2"/>
    <mergeCell ref="A3:H3"/>
    <mergeCell ref="C40:H40"/>
  </mergeCells>
  <printOptions horizontalCentered="1"/>
  <pageMargins left="0.75" right="0.75" top="1" bottom="1" header="0.5" footer="0.5"/>
  <pageSetup scale="46" orientation="portrait" r:id="rId1"/>
  <headerFooter alignWithMargins="0"/>
  <ignoredErrors>
    <ignoredError sqref="H23:H32 G8:G11 H8:H11 H18:H22 G18:G3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pageSetUpPr fitToPage="1"/>
  </sheetPr>
  <dimension ref="A1:H23"/>
  <sheetViews>
    <sheetView topLeftCell="B1" workbookViewId="0">
      <selection activeCell="B23" sqref="B23"/>
    </sheetView>
  </sheetViews>
  <sheetFormatPr defaultColWidth="7.08984375" defaultRowHeight="13.2"/>
  <cols>
    <col min="1" max="1" width="2.08984375" style="204" customWidth="1"/>
    <col min="2" max="2" width="4.81640625" style="204" customWidth="1"/>
    <col min="3" max="3" width="27.81640625" style="204" customWidth="1"/>
    <col min="4" max="5" width="8.1796875" style="204" bestFit="1" customWidth="1"/>
    <col min="6" max="6" width="7.81640625" style="204" customWidth="1"/>
    <col min="7" max="7" width="7" style="204" customWidth="1"/>
    <col min="8" max="8" width="9.1796875" style="215" customWidth="1"/>
    <col min="9" max="9" width="8.1796875" style="204" customWidth="1"/>
    <col min="10" max="249" width="7.08984375" style="204"/>
    <col min="250" max="250" width="10.1796875" style="204" customWidth="1"/>
    <col min="251" max="251" width="3.54296875" style="204" customWidth="1"/>
    <col min="252" max="253" width="1.81640625" style="204" customWidth="1"/>
    <col min="254" max="254" width="4" style="204" customWidth="1"/>
    <col min="255" max="255" width="24.1796875" style="204" customWidth="1"/>
    <col min="256" max="256" width="1.81640625" style="204" customWidth="1"/>
    <col min="257" max="258" width="8.1796875" style="204" customWidth="1"/>
    <col min="259" max="505" width="7.08984375" style="204"/>
    <col min="506" max="506" width="10.1796875" style="204" customWidth="1"/>
    <col min="507" max="507" width="3.54296875" style="204" customWidth="1"/>
    <col min="508" max="509" width="1.81640625" style="204" customWidth="1"/>
    <col min="510" max="510" width="4" style="204" customWidth="1"/>
    <col min="511" max="511" width="24.1796875" style="204" customWidth="1"/>
    <col min="512" max="512" width="1.81640625" style="204" customWidth="1"/>
    <col min="513" max="514" width="8.1796875" style="204" customWidth="1"/>
    <col min="515" max="761" width="7.08984375" style="204"/>
    <col min="762" max="762" width="10.1796875" style="204" customWidth="1"/>
    <col min="763" max="763" width="3.54296875" style="204" customWidth="1"/>
    <col min="764" max="765" width="1.81640625" style="204" customWidth="1"/>
    <col min="766" max="766" width="4" style="204" customWidth="1"/>
    <col min="767" max="767" width="24.1796875" style="204" customWidth="1"/>
    <col min="768" max="768" width="1.81640625" style="204" customWidth="1"/>
    <col min="769" max="770" width="8.1796875" style="204" customWidth="1"/>
    <col min="771" max="1017" width="7.08984375" style="204"/>
    <col min="1018" max="1018" width="10.1796875" style="204" customWidth="1"/>
    <col min="1019" max="1019" width="3.54296875" style="204" customWidth="1"/>
    <col min="1020" max="1021" width="1.81640625" style="204" customWidth="1"/>
    <col min="1022" max="1022" width="4" style="204" customWidth="1"/>
    <col min="1023" max="1023" width="24.1796875" style="204" customWidth="1"/>
    <col min="1024" max="1024" width="1.81640625" style="204" customWidth="1"/>
    <col min="1025" max="1026" width="8.1796875" style="204" customWidth="1"/>
    <col min="1027" max="1273" width="7.08984375" style="204"/>
    <col min="1274" max="1274" width="10.1796875" style="204" customWidth="1"/>
    <col min="1275" max="1275" width="3.54296875" style="204" customWidth="1"/>
    <col min="1276" max="1277" width="1.81640625" style="204" customWidth="1"/>
    <col min="1278" max="1278" width="4" style="204" customWidth="1"/>
    <col min="1279" max="1279" width="24.1796875" style="204" customWidth="1"/>
    <col min="1280" max="1280" width="1.81640625" style="204" customWidth="1"/>
    <col min="1281" max="1282" width="8.1796875" style="204" customWidth="1"/>
    <col min="1283" max="1529" width="7.08984375" style="204"/>
    <col min="1530" max="1530" width="10.1796875" style="204" customWidth="1"/>
    <col min="1531" max="1531" width="3.54296875" style="204" customWidth="1"/>
    <col min="1532" max="1533" width="1.81640625" style="204" customWidth="1"/>
    <col min="1534" max="1534" width="4" style="204" customWidth="1"/>
    <col min="1535" max="1535" width="24.1796875" style="204" customWidth="1"/>
    <col min="1536" max="1536" width="1.81640625" style="204" customWidth="1"/>
    <col min="1537" max="1538" width="8.1796875" style="204" customWidth="1"/>
    <col min="1539" max="1785" width="7.08984375" style="204"/>
    <col min="1786" max="1786" width="10.1796875" style="204" customWidth="1"/>
    <col min="1787" max="1787" width="3.54296875" style="204" customWidth="1"/>
    <col min="1788" max="1789" width="1.81640625" style="204" customWidth="1"/>
    <col min="1790" max="1790" width="4" style="204" customWidth="1"/>
    <col min="1791" max="1791" width="24.1796875" style="204" customWidth="1"/>
    <col min="1792" max="1792" width="1.81640625" style="204" customWidth="1"/>
    <col min="1793" max="1794" width="8.1796875" style="204" customWidth="1"/>
    <col min="1795" max="2041" width="7.08984375" style="204"/>
    <col min="2042" max="2042" width="10.1796875" style="204" customWidth="1"/>
    <col min="2043" max="2043" width="3.54296875" style="204" customWidth="1"/>
    <col min="2044" max="2045" width="1.81640625" style="204" customWidth="1"/>
    <col min="2046" max="2046" width="4" style="204" customWidth="1"/>
    <col min="2047" max="2047" width="24.1796875" style="204" customWidth="1"/>
    <col min="2048" max="2048" width="1.81640625" style="204" customWidth="1"/>
    <col min="2049" max="2050" width="8.1796875" style="204" customWidth="1"/>
    <col min="2051" max="2297" width="7.08984375" style="204"/>
    <col min="2298" max="2298" width="10.1796875" style="204" customWidth="1"/>
    <col min="2299" max="2299" width="3.54296875" style="204" customWidth="1"/>
    <col min="2300" max="2301" width="1.81640625" style="204" customWidth="1"/>
    <col min="2302" max="2302" width="4" style="204" customWidth="1"/>
    <col min="2303" max="2303" width="24.1796875" style="204" customWidth="1"/>
    <col min="2304" max="2304" width="1.81640625" style="204" customWidth="1"/>
    <col min="2305" max="2306" width="8.1796875" style="204" customWidth="1"/>
    <col min="2307" max="2553" width="7.08984375" style="204"/>
    <col min="2554" max="2554" width="10.1796875" style="204" customWidth="1"/>
    <col min="2555" max="2555" width="3.54296875" style="204" customWidth="1"/>
    <col min="2556" max="2557" width="1.81640625" style="204" customWidth="1"/>
    <col min="2558" max="2558" width="4" style="204" customWidth="1"/>
    <col min="2559" max="2559" width="24.1796875" style="204" customWidth="1"/>
    <col min="2560" max="2560" width="1.81640625" style="204" customWidth="1"/>
    <col min="2561" max="2562" width="8.1796875" style="204" customWidth="1"/>
    <col min="2563" max="2809" width="7.08984375" style="204"/>
    <col min="2810" max="2810" width="10.1796875" style="204" customWidth="1"/>
    <col min="2811" max="2811" width="3.54296875" style="204" customWidth="1"/>
    <col min="2812" max="2813" width="1.81640625" style="204" customWidth="1"/>
    <col min="2814" max="2814" width="4" style="204" customWidth="1"/>
    <col min="2815" max="2815" width="24.1796875" style="204" customWidth="1"/>
    <col min="2816" max="2816" width="1.81640625" style="204" customWidth="1"/>
    <col min="2817" max="2818" width="8.1796875" style="204" customWidth="1"/>
    <col min="2819" max="3065" width="7.08984375" style="204"/>
    <col min="3066" max="3066" width="10.1796875" style="204" customWidth="1"/>
    <col min="3067" max="3067" width="3.54296875" style="204" customWidth="1"/>
    <col min="3068" max="3069" width="1.81640625" style="204" customWidth="1"/>
    <col min="3070" max="3070" width="4" style="204" customWidth="1"/>
    <col min="3071" max="3071" width="24.1796875" style="204" customWidth="1"/>
    <col min="3072" max="3072" width="1.81640625" style="204" customWidth="1"/>
    <col min="3073" max="3074" width="8.1796875" style="204" customWidth="1"/>
    <col min="3075" max="3321" width="7.08984375" style="204"/>
    <col min="3322" max="3322" width="10.1796875" style="204" customWidth="1"/>
    <col min="3323" max="3323" width="3.54296875" style="204" customWidth="1"/>
    <col min="3324" max="3325" width="1.81640625" style="204" customWidth="1"/>
    <col min="3326" max="3326" width="4" style="204" customWidth="1"/>
    <col min="3327" max="3327" width="24.1796875" style="204" customWidth="1"/>
    <col min="3328" max="3328" width="1.81640625" style="204" customWidth="1"/>
    <col min="3329" max="3330" width="8.1796875" style="204" customWidth="1"/>
    <col min="3331" max="3577" width="7.08984375" style="204"/>
    <col min="3578" max="3578" width="10.1796875" style="204" customWidth="1"/>
    <col min="3579" max="3579" width="3.54296875" style="204" customWidth="1"/>
    <col min="3580" max="3581" width="1.81640625" style="204" customWidth="1"/>
    <col min="3582" max="3582" width="4" style="204" customWidth="1"/>
    <col min="3583" max="3583" width="24.1796875" style="204" customWidth="1"/>
    <col min="3584" max="3584" width="1.81640625" style="204" customWidth="1"/>
    <col min="3585" max="3586" width="8.1796875" style="204" customWidth="1"/>
    <col min="3587" max="3833" width="7.08984375" style="204"/>
    <col min="3834" max="3834" width="10.1796875" style="204" customWidth="1"/>
    <col min="3835" max="3835" width="3.54296875" style="204" customWidth="1"/>
    <col min="3836" max="3837" width="1.81640625" style="204" customWidth="1"/>
    <col min="3838" max="3838" width="4" style="204" customWidth="1"/>
    <col min="3839" max="3839" width="24.1796875" style="204" customWidth="1"/>
    <col min="3840" max="3840" width="1.81640625" style="204" customWidth="1"/>
    <col min="3841" max="3842" width="8.1796875" style="204" customWidth="1"/>
    <col min="3843" max="4089" width="7.08984375" style="204"/>
    <col min="4090" max="4090" width="10.1796875" style="204" customWidth="1"/>
    <col min="4091" max="4091" width="3.54296875" style="204" customWidth="1"/>
    <col min="4092" max="4093" width="1.81640625" style="204" customWidth="1"/>
    <col min="4094" max="4094" width="4" style="204" customWidth="1"/>
    <col min="4095" max="4095" width="24.1796875" style="204" customWidth="1"/>
    <col min="4096" max="4096" width="1.81640625" style="204" customWidth="1"/>
    <col min="4097" max="4098" width="8.1796875" style="204" customWidth="1"/>
    <col min="4099" max="4345" width="7.08984375" style="204"/>
    <col min="4346" max="4346" width="10.1796875" style="204" customWidth="1"/>
    <col min="4347" max="4347" width="3.54296875" style="204" customWidth="1"/>
    <col min="4348" max="4349" width="1.81640625" style="204" customWidth="1"/>
    <col min="4350" max="4350" width="4" style="204" customWidth="1"/>
    <col min="4351" max="4351" width="24.1796875" style="204" customWidth="1"/>
    <col min="4352" max="4352" width="1.81640625" style="204" customWidth="1"/>
    <col min="4353" max="4354" width="8.1796875" style="204" customWidth="1"/>
    <col min="4355" max="4601" width="7.08984375" style="204"/>
    <col min="4602" max="4602" width="10.1796875" style="204" customWidth="1"/>
    <col min="4603" max="4603" width="3.54296875" style="204" customWidth="1"/>
    <col min="4604" max="4605" width="1.81640625" style="204" customWidth="1"/>
    <col min="4606" max="4606" width="4" style="204" customWidth="1"/>
    <col min="4607" max="4607" width="24.1796875" style="204" customWidth="1"/>
    <col min="4608" max="4608" width="1.81640625" style="204" customWidth="1"/>
    <col min="4609" max="4610" width="8.1796875" style="204" customWidth="1"/>
    <col min="4611" max="4857" width="7.08984375" style="204"/>
    <col min="4858" max="4858" width="10.1796875" style="204" customWidth="1"/>
    <col min="4859" max="4859" width="3.54296875" style="204" customWidth="1"/>
    <col min="4860" max="4861" width="1.81640625" style="204" customWidth="1"/>
    <col min="4862" max="4862" width="4" style="204" customWidth="1"/>
    <col min="4863" max="4863" width="24.1796875" style="204" customWidth="1"/>
    <col min="4864" max="4864" width="1.81640625" style="204" customWidth="1"/>
    <col min="4865" max="4866" width="8.1796875" style="204" customWidth="1"/>
    <col min="4867" max="5113" width="7.08984375" style="204"/>
    <col min="5114" max="5114" width="10.1796875" style="204" customWidth="1"/>
    <col min="5115" max="5115" width="3.54296875" style="204" customWidth="1"/>
    <col min="5116" max="5117" width="1.81640625" style="204" customWidth="1"/>
    <col min="5118" max="5118" width="4" style="204" customWidth="1"/>
    <col min="5119" max="5119" width="24.1796875" style="204" customWidth="1"/>
    <col min="5120" max="5120" width="1.81640625" style="204" customWidth="1"/>
    <col min="5121" max="5122" width="8.1796875" style="204" customWidth="1"/>
    <col min="5123" max="5369" width="7.08984375" style="204"/>
    <col min="5370" max="5370" width="10.1796875" style="204" customWidth="1"/>
    <col min="5371" max="5371" width="3.54296875" style="204" customWidth="1"/>
    <col min="5372" max="5373" width="1.81640625" style="204" customWidth="1"/>
    <col min="5374" max="5374" width="4" style="204" customWidth="1"/>
    <col min="5375" max="5375" width="24.1796875" style="204" customWidth="1"/>
    <col min="5376" max="5376" width="1.81640625" style="204" customWidth="1"/>
    <col min="5377" max="5378" width="8.1796875" style="204" customWidth="1"/>
    <col min="5379" max="5625" width="7.08984375" style="204"/>
    <col min="5626" max="5626" width="10.1796875" style="204" customWidth="1"/>
    <col min="5627" max="5627" width="3.54296875" style="204" customWidth="1"/>
    <col min="5628" max="5629" width="1.81640625" style="204" customWidth="1"/>
    <col min="5630" max="5630" width="4" style="204" customWidth="1"/>
    <col min="5631" max="5631" width="24.1796875" style="204" customWidth="1"/>
    <col min="5632" max="5632" width="1.81640625" style="204" customWidth="1"/>
    <col min="5633" max="5634" width="8.1796875" style="204" customWidth="1"/>
    <col min="5635" max="5881" width="7.08984375" style="204"/>
    <col min="5882" max="5882" width="10.1796875" style="204" customWidth="1"/>
    <col min="5883" max="5883" width="3.54296875" style="204" customWidth="1"/>
    <col min="5884" max="5885" width="1.81640625" style="204" customWidth="1"/>
    <col min="5886" max="5886" width="4" style="204" customWidth="1"/>
    <col min="5887" max="5887" width="24.1796875" style="204" customWidth="1"/>
    <col min="5888" max="5888" width="1.81640625" style="204" customWidth="1"/>
    <col min="5889" max="5890" width="8.1796875" style="204" customWidth="1"/>
    <col min="5891" max="6137" width="7.08984375" style="204"/>
    <col min="6138" max="6138" width="10.1796875" style="204" customWidth="1"/>
    <col min="6139" max="6139" width="3.54296875" style="204" customWidth="1"/>
    <col min="6140" max="6141" width="1.81640625" style="204" customWidth="1"/>
    <col min="6142" max="6142" width="4" style="204" customWidth="1"/>
    <col min="6143" max="6143" width="24.1796875" style="204" customWidth="1"/>
    <col min="6144" max="6144" width="1.81640625" style="204" customWidth="1"/>
    <col min="6145" max="6146" width="8.1796875" style="204" customWidth="1"/>
    <col min="6147" max="6393" width="7.08984375" style="204"/>
    <col min="6394" max="6394" width="10.1796875" style="204" customWidth="1"/>
    <col min="6395" max="6395" width="3.54296875" style="204" customWidth="1"/>
    <col min="6396" max="6397" width="1.81640625" style="204" customWidth="1"/>
    <col min="6398" max="6398" width="4" style="204" customWidth="1"/>
    <col min="6399" max="6399" width="24.1796875" style="204" customWidth="1"/>
    <col min="6400" max="6400" width="1.81640625" style="204" customWidth="1"/>
    <col min="6401" max="6402" width="8.1796875" style="204" customWidth="1"/>
    <col min="6403" max="6649" width="7.08984375" style="204"/>
    <col min="6650" max="6650" width="10.1796875" style="204" customWidth="1"/>
    <col min="6651" max="6651" width="3.54296875" style="204" customWidth="1"/>
    <col min="6652" max="6653" width="1.81640625" style="204" customWidth="1"/>
    <col min="6654" max="6654" width="4" style="204" customWidth="1"/>
    <col min="6655" max="6655" width="24.1796875" style="204" customWidth="1"/>
    <col min="6656" max="6656" width="1.81640625" style="204" customWidth="1"/>
    <col min="6657" max="6658" width="8.1796875" style="204" customWidth="1"/>
    <col min="6659" max="6905" width="7.08984375" style="204"/>
    <col min="6906" max="6906" width="10.1796875" style="204" customWidth="1"/>
    <col min="6907" max="6907" width="3.54296875" style="204" customWidth="1"/>
    <col min="6908" max="6909" width="1.81640625" style="204" customWidth="1"/>
    <col min="6910" max="6910" width="4" style="204" customWidth="1"/>
    <col min="6911" max="6911" width="24.1796875" style="204" customWidth="1"/>
    <col min="6912" max="6912" width="1.81640625" style="204" customWidth="1"/>
    <col min="6913" max="6914" width="8.1796875" style="204" customWidth="1"/>
    <col min="6915" max="7161" width="7.08984375" style="204"/>
    <col min="7162" max="7162" width="10.1796875" style="204" customWidth="1"/>
    <col min="7163" max="7163" width="3.54296875" style="204" customWidth="1"/>
    <col min="7164" max="7165" width="1.81640625" style="204" customWidth="1"/>
    <col min="7166" max="7166" width="4" style="204" customWidth="1"/>
    <col min="7167" max="7167" width="24.1796875" style="204" customWidth="1"/>
    <col min="7168" max="7168" width="1.81640625" style="204" customWidth="1"/>
    <col min="7169" max="7170" width="8.1796875" style="204" customWidth="1"/>
    <col min="7171" max="7417" width="7.08984375" style="204"/>
    <col min="7418" max="7418" width="10.1796875" style="204" customWidth="1"/>
    <col min="7419" max="7419" width="3.54296875" style="204" customWidth="1"/>
    <col min="7420" max="7421" width="1.81640625" style="204" customWidth="1"/>
    <col min="7422" max="7422" width="4" style="204" customWidth="1"/>
    <col min="7423" max="7423" width="24.1796875" style="204" customWidth="1"/>
    <col min="7424" max="7424" width="1.81640625" style="204" customWidth="1"/>
    <col min="7425" max="7426" width="8.1796875" style="204" customWidth="1"/>
    <col min="7427" max="7673" width="7.08984375" style="204"/>
    <col min="7674" max="7674" width="10.1796875" style="204" customWidth="1"/>
    <col min="7675" max="7675" width="3.54296875" style="204" customWidth="1"/>
    <col min="7676" max="7677" width="1.81640625" style="204" customWidth="1"/>
    <col min="7678" max="7678" width="4" style="204" customWidth="1"/>
    <col min="7679" max="7679" width="24.1796875" style="204" customWidth="1"/>
    <col min="7680" max="7680" width="1.81640625" style="204" customWidth="1"/>
    <col min="7681" max="7682" width="8.1796875" style="204" customWidth="1"/>
    <col min="7683" max="7929" width="7.08984375" style="204"/>
    <col min="7930" max="7930" width="10.1796875" style="204" customWidth="1"/>
    <col min="7931" max="7931" width="3.54296875" style="204" customWidth="1"/>
    <col min="7932" max="7933" width="1.81640625" style="204" customWidth="1"/>
    <col min="7934" max="7934" width="4" style="204" customWidth="1"/>
    <col min="7935" max="7935" width="24.1796875" style="204" customWidth="1"/>
    <col min="7936" max="7936" width="1.81640625" style="204" customWidth="1"/>
    <col min="7937" max="7938" width="8.1796875" style="204" customWidth="1"/>
    <col min="7939" max="8185" width="7.08984375" style="204"/>
    <col min="8186" max="8186" width="10.1796875" style="204" customWidth="1"/>
    <col min="8187" max="8187" width="3.54296875" style="204" customWidth="1"/>
    <col min="8188" max="8189" width="1.81640625" style="204" customWidth="1"/>
    <col min="8190" max="8190" width="4" style="204" customWidth="1"/>
    <col min="8191" max="8191" width="24.1796875" style="204" customWidth="1"/>
    <col min="8192" max="8192" width="1.81640625" style="204" customWidth="1"/>
    <col min="8193" max="8194" width="8.1796875" style="204" customWidth="1"/>
    <col min="8195" max="8441" width="7.08984375" style="204"/>
    <col min="8442" max="8442" width="10.1796875" style="204" customWidth="1"/>
    <col min="8443" max="8443" width="3.54296875" style="204" customWidth="1"/>
    <col min="8444" max="8445" width="1.81640625" style="204" customWidth="1"/>
    <col min="8446" max="8446" width="4" style="204" customWidth="1"/>
    <col min="8447" max="8447" width="24.1796875" style="204" customWidth="1"/>
    <col min="8448" max="8448" width="1.81640625" style="204" customWidth="1"/>
    <col min="8449" max="8450" width="8.1796875" style="204" customWidth="1"/>
    <col min="8451" max="8697" width="7.08984375" style="204"/>
    <col min="8698" max="8698" width="10.1796875" style="204" customWidth="1"/>
    <col min="8699" max="8699" width="3.54296875" style="204" customWidth="1"/>
    <col min="8700" max="8701" width="1.81640625" style="204" customWidth="1"/>
    <col min="8702" max="8702" width="4" style="204" customWidth="1"/>
    <col min="8703" max="8703" width="24.1796875" style="204" customWidth="1"/>
    <col min="8704" max="8704" width="1.81640625" style="204" customWidth="1"/>
    <col min="8705" max="8706" width="8.1796875" style="204" customWidth="1"/>
    <col min="8707" max="8953" width="7.08984375" style="204"/>
    <col min="8954" max="8954" width="10.1796875" style="204" customWidth="1"/>
    <col min="8955" max="8955" width="3.54296875" style="204" customWidth="1"/>
    <col min="8956" max="8957" width="1.81640625" style="204" customWidth="1"/>
    <col min="8958" max="8958" width="4" style="204" customWidth="1"/>
    <col min="8959" max="8959" width="24.1796875" style="204" customWidth="1"/>
    <col min="8960" max="8960" width="1.81640625" style="204" customWidth="1"/>
    <col min="8961" max="8962" width="8.1796875" style="204" customWidth="1"/>
    <col min="8963" max="9209" width="7.08984375" style="204"/>
    <col min="9210" max="9210" width="10.1796875" style="204" customWidth="1"/>
    <col min="9211" max="9211" width="3.54296875" style="204" customWidth="1"/>
    <col min="9212" max="9213" width="1.81640625" style="204" customWidth="1"/>
    <col min="9214" max="9214" width="4" style="204" customWidth="1"/>
    <col min="9215" max="9215" width="24.1796875" style="204" customWidth="1"/>
    <col min="9216" max="9216" width="1.81640625" style="204" customWidth="1"/>
    <col min="9217" max="9218" width="8.1796875" style="204" customWidth="1"/>
    <col min="9219" max="9465" width="7.08984375" style="204"/>
    <col min="9466" max="9466" width="10.1796875" style="204" customWidth="1"/>
    <col min="9467" max="9467" width="3.54296875" style="204" customWidth="1"/>
    <col min="9468" max="9469" width="1.81640625" style="204" customWidth="1"/>
    <col min="9470" max="9470" width="4" style="204" customWidth="1"/>
    <col min="9471" max="9471" width="24.1796875" style="204" customWidth="1"/>
    <col min="9472" max="9472" width="1.81640625" style="204" customWidth="1"/>
    <col min="9473" max="9474" width="8.1796875" style="204" customWidth="1"/>
    <col min="9475" max="9721" width="7.08984375" style="204"/>
    <col min="9722" max="9722" width="10.1796875" style="204" customWidth="1"/>
    <col min="9723" max="9723" width="3.54296875" style="204" customWidth="1"/>
    <col min="9724" max="9725" width="1.81640625" style="204" customWidth="1"/>
    <col min="9726" max="9726" width="4" style="204" customWidth="1"/>
    <col min="9727" max="9727" width="24.1796875" style="204" customWidth="1"/>
    <col min="9728" max="9728" width="1.81640625" style="204" customWidth="1"/>
    <col min="9729" max="9730" width="8.1796875" style="204" customWidth="1"/>
    <col min="9731" max="9977" width="7.08984375" style="204"/>
    <col min="9978" max="9978" width="10.1796875" style="204" customWidth="1"/>
    <col min="9979" max="9979" width="3.54296875" style="204" customWidth="1"/>
    <col min="9980" max="9981" width="1.81640625" style="204" customWidth="1"/>
    <col min="9982" max="9982" width="4" style="204" customWidth="1"/>
    <col min="9983" max="9983" width="24.1796875" style="204" customWidth="1"/>
    <col min="9984" max="9984" width="1.81640625" style="204" customWidth="1"/>
    <col min="9985" max="9986" width="8.1796875" style="204" customWidth="1"/>
    <col min="9987" max="10233" width="7.08984375" style="204"/>
    <col min="10234" max="10234" width="10.1796875" style="204" customWidth="1"/>
    <col min="10235" max="10235" width="3.54296875" style="204" customWidth="1"/>
    <col min="10236" max="10237" width="1.81640625" style="204" customWidth="1"/>
    <col min="10238" max="10238" width="4" style="204" customWidth="1"/>
    <col min="10239" max="10239" width="24.1796875" style="204" customWidth="1"/>
    <col min="10240" max="10240" width="1.81640625" style="204" customWidth="1"/>
    <col min="10241" max="10242" width="8.1796875" style="204" customWidth="1"/>
    <col min="10243" max="10489" width="7.08984375" style="204"/>
    <col min="10490" max="10490" width="10.1796875" style="204" customWidth="1"/>
    <col min="10491" max="10491" width="3.54296875" style="204" customWidth="1"/>
    <col min="10492" max="10493" width="1.81640625" style="204" customWidth="1"/>
    <col min="10494" max="10494" width="4" style="204" customWidth="1"/>
    <col min="10495" max="10495" width="24.1796875" style="204" customWidth="1"/>
    <col min="10496" max="10496" width="1.81640625" style="204" customWidth="1"/>
    <col min="10497" max="10498" width="8.1796875" style="204" customWidth="1"/>
    <col min="10499" max="10745" width="7.08984375" style="204"/>
    <col min="10746" max="10746" width="10.1796875" style="204" customWidth="1"/>
    <col min="10747" max="10747" width="3.54296875" style="204" customWidth="1"/>
    <col min="10748" max="10749" width="1.81640625" style="204" customWidth="1"/>
    <col min="10750" max="10750" width="4" style="204" customWidth="1"/>
    <col min="10751" max="10751" width="24.1796875" style="204" customWidth="1"/>
    <col min="10752" max="10752" width="1.81640625" style="204" customWidth="1"/>
    <col min="10753" max="10754" width="8.1796875" style="204" customWidth="1"/>
    <col min="10755" max="11001" width="7.08984375" style="204"/>
    <col min="11002" max="11002" width="10.1796875" style="204" customWidth="1"/>
    <col min="11003" max="11003" width="3.54296875" style="204" customWidth="1"/>
    <col min="11004" max="11005" width="1.81640625" style="204" customWidth="1"/>
    <col min="11006" max="11006" width="4" style="204" customWidth="1"/>
    <col min="11007" max="11007" width="24.1796875" style="204" customWidth="1"/>
    <col min="11008" max="11008" width="1.81640625" style="204" customWidth="1"/>
    <col min="11009" max="11010" width="8.1796875" style="204" customWidth="1"/>
    <col min="11011" max="11257" width="7.08984375" style="204"/>
    <col min="11258" max="11258" width="10.1796875" style="204" customWidth="1"/>
    <col min="11259" max="11259" width="3.54296875" style="204" customWidth="1"/>
    <col min="11260" max="11261" width="1.81640625" style="204" customWidth="1"/>
    <col min="11262" max="11262" width="4" style="204" customWidth="1"/>
    <col min="11263" max="11263" width="24.1796875" style="204" customWidth="1"/>
    <col min="11264" max="11264" width="1.81640625" style="204" customWidth="1"/>
    <col min="11265" max="11266" width="8.1796875" style="204" customWidth="1"/>
    <col min="11267" max="11513" width="7.08984375" style="204"/>
    <col min="11514" max="11514" width="10.1796875" style="204" customWidth="1"/>
    <col min="11515" max="11515" width="3.54296875" style="204" customWidth="1"/>
    <col min="11516" max="11517" width="1.81640625" style="204" customWidth="1"/>
    <col min="11518" max="11518" width="4" style="204" customWidth="1"/>
    <col min="11519" max="11519" width="24.1796875" style="204" customWidth="1"/>
    <col min="11520" max="11520" width="1.81640625" style="204" customWidth="1"/>
    <col min="11521" max="11522" width="8.1796875" style="204" customWidth="1"/>
    <col min="11523" max="11769" width="7.08984375" style="204"/>
    <col min="11770" max="11770" width="10.1796875" style="204" customWidth="1"/>
    <col min="11771" max="11771" width="3.54296875" style="204" customWidth="1"/>
    <col min="11772" max="11773" width="1.81640625" style="204" customWidth="1"/>
    <col min="11774" max="11774" width="4" style="204" customWidth="1"/>
    <col min="11775" max="11775" width="24.1796875" style="204" customWidth="1"/>
    <col min="11776" max="11776" width="1.81640625" style="204" customWidth="1"/>
    <col min="11777" max="11778" width="8.1796875" style="204" customWidth="1"/>
    <col min="11779" max="12025" width="7.08984375" style="204"/>
    <col min="12026" max="12026" width="10.1796875" style="204" customWidth="1"/>
    <col min="12027" max="12027" width="3.54296875" style="204" customWidth="1"/>
    <col min="12028" max="12029" width="1.81640625" style="204" customWidth="1"/>
    <col min="12030" max="12030" width="4" style="204" customWidth="1"/>
    <col min="12031" max="12031" width="24.1796875" style="204" customWidth="1"/>
    <col min="12032" max="12032" width="1.81640625" style="204" customWidth="1"/>
    <col min="12033" max="12034" width="8.1796875" style="204" customWidth="1"/>
    <col min="12035" max="12281" width="7.08984375" style="204"/>
    <col min="12282" max="12282" width="10.1796875" style="204" customWidth="1"/>
    <col min="12283" max="12283" width="3.54296875" style="204" customWidth="1"/>
    <col min="12284" max="12285" width="1.81640625" style="204" customWidth="1"/>
    <col min="12286" max="12286" width="4" style="204" customWidth="1"/>
    <col min="12287" max="12287" width="24.1796875" style="204" customWidth="1"/>
    <col min="12288" max="12288" width="1.81640625" style="204" customWidth="1"/>
    <col min="12289" max="12290" width="8.1796875" style="204" customWidth="1"/>
    <col min="12291" max="12537" width="7.08984375" style="204"/>
    <col min="12538" max="12538" width="10.1796875" style="204" customWidth="1"/>
    <col min="12539" max="12539" width="3.54296875" style="204" customWidth="1"/>
    <col min="12540" max="12541" width="1.81640625" style="204" customWidth="1"/>
    <col min="12542" max="12542" width="4" style="204" customWidth="1"/>
    <col min="12543" max="12543" width="24.1796875" style="204" customWidth="1"/>
    <col min="12544" max="12544" width="1.81640625" style="204" customWidth="1"/>
    <col min="12545" max="12546" width="8.1796875" style="204" customWidth="1"/>
    <col min="12547" max="12793" width="7.08984375" style="204"/>
    <col min="12794" max="12794" width="10.1796875" style="204" customWidth="1"/>
    <col min="12795" max="12795" width="3.54296875" style="204" customWidth="1"/>
    <col min="12796" max="12797" width="1.81640625" style="204" customWidth="1"/>
    <col min="12798" max="12798" width="4" style="204" customWidth="1"/>
    <col min="12799" max="12799" width="24.1796875" style="204" customWidth="1"/>
    <col min="12800" max="12800" width="1.81640625" style="204" customWidth="1"/>
    <col min="12801" max="12802" width="8.1796875" style="204" customWidth="1"/>
    <col min="12803" max="13049" width="7.08984375" style="204"/>
    <col min="13050" max="13050" width="10.1796875" style="204" customWidth="1"/>
    <col min="13051" max="13051" width="3.54296875" style="204" customWidth="1"/>
    <col min="13052" max="13053" width="1.81640625" style="204" customWidth="1"/>
    <col min="13054" max="13054" width="4" style="204" customWidth="1"/>
    <col min="13055" max="13055" width="24.1796875" style="204" customWidth="1"/>
    <col min="13056" max="13056" width="1.81640625" style="204" customWidth="1"/>
    <col min="13057" max="13058" width="8.1796875" style="204" customWidth="1"/>
    <col min="13059" max="13305" width="7.08984375" style="204"/>
    <col min="13306" max="13306" width="10.1796875" style="204" customWidth="1"/>
    <col min="13307" max="13307" width="3.54296875" style="204" customWidth="1"/>
    <col min="13308" max="13309" width="1.81640625" style="204" customWidth="1"/>
    <col min="13310" max="13310" width="4" style="204" customWidth="1"/>
    <col min="13311" max="13311" width="24.1796875" style="204" customWidth="1"/>
    <col min="13312" max="13312" width="1.81640625" style="204" customWidth="1"/>
    <col min="13313" max="13314" width="8.1796875" style="204" customWidth="1"/>
    <col min="13315" max="13561" width="7.08984375" style="204"/>
    <col min="13562" max="13562" width="10.1796875" style="204" customWidth="1"/>
    <col min="13563" max="13563" width="3.54296875" style="204" customWidth="1"/>
    <col min="13564" max="13565" width="1.81640625" style="204" customWidth="1"/>
    <col min="13566" max="13566" width="4" style="204" customWidth="1"/>
    <col min="13567" max="13567" width="24.1796875" style="204" customWidth="1"/>
    <col min="13568" max="13568" width="1.81640625" style="204" customWidth="1"/>
    <col min="13569" max="13570" width="8.1796875" style="204" customWidth="1"/>
    <col min="13571" max="13817" width="7.08984375" style="204"/>
    <col min="13818" max="13818" width="10.1796875" style="204" customWidth="1"/>
    <col min="13819" max="13819" width="3.54296875" style="204" customWidth="1"/>
    <col min="13820" max="13821" width="1.81640625" style="204" customWidth="1"/>
    <col min="13822" max="13822" width="4" style="204" customWidth="1"/>
    <col min="13823" max="13823" width="24.1796875" style="204" customWidth="1"/>
    <col min="13824" max="13824" width="1.81640625" style="204" customWidth="1"/>
    <col min="13825" max="13826" width="8.1796875" style="204" customWidth="1"/>
    <col min="13827" max="14073" width="7.08984375" style="204"/>
    <col min="14074" max="14074" width="10.1796875" style="204" customWidth="1"/>
    <col min="14075" max="14075" width="3.54296875" style="204" customWidth="1"/>
    <col min="14076" max="14077" width="1.81640625" style="204" customWidth="1"/>
    <col min="14078" max="14078" width="4" style="204" customWidth="1"/>
    <col min="14079" max="14079" width="24.1796875" style="204" customWidth="1"/>
    <col min="14080" max="14080" width="1.81640625" style="204" customWidth="1"/>
    <col min="14081" max="14082" width="8.1796875" style="204" customWidth="1"/>
    <col min="14083" max="14329" width="7.08984375" style="204"/>
    <col min="14330" max="14330" width="10.1796875" style="204" customWidth="1"/>
    <col min="14331" max="14331" width="3.54296875" style="204" customWidth="1"/>
    <col min="14332" max="14333" width="1.81640625" style="204" customWidth="1"/>
    <col min="14334" max="14334" width="4" style="204" customWidth="1"/>
    <col min="14335" max="14335" width="24.1796875" style="204" customWidth="1"/>
    <col min="14336" max="14336" width="1.81640625" style="204" customWidth="1"/>
    <col min="14337" max="14338" width="8.1796875" style="204" customWidth="1"/>
    <col min="14339" max="14585" width="7.08984375" style="204"/>
    <col min="14586" max="14586" width="10.1796875" style="204" customWidth="1"/>
    <col min="14587" max="14587" width="3.54296875" style="204" customWidth="1"/>
    <col min="14588" max="14589" width="1.81640625" style="204" customWidth="1"/>
    <col min="14590" max="14590" width="4" style="204" customWidth="1"/>
    <col min="14591" max="14591" width="24.1796875" style="204" customWidth="1"/>
    <col min="14592" max="14592" width="1.81640625" style="204" customWidth="1"/>
    <col min="14593" max="14594" width="8.1796875" style="204" customWidth="1"/>
    <col min="14595" max="14841" width="7.08984375" style="204"/>
    <col min="14842" max="14842" width="10.1796875" style="204" customWidth="1"/>
    <col min="14843" max="14843" width="3.54296875" style="204" customWidth="1"/>
    <col min="14844" max="14845" width="1.81640625" style="204" customWidth="1"/>
    <col min="14846" max="14846" width="4" style="204" customWidth="1"/>
    <col min="14847" max="14847" width="24.1796875" style="204" customWidth="1"/>
    <col min="14848" max="14848" width="1.81640625" style="204" customWidth="1"/>
    <col min="14849" max="14850" width="8.1796875" style="204" customWidth="1"/>
    <col min="14851" max="15097" width="7.08984375" style="204"/>
    <col min="15098" max="15098" width="10.1796875" style="204" customWidth="1"/>
    <col min="15099" max="15099" width="3.54296875" style="204" customWidth="1"/>
    <col min="15100" max="15101" width="1.81640625" style="204" customWidth="1"/>
    <col min="15102" max="15102" width="4" style="204" customWidth="1"/>
    <col min="15103" max="15103" width="24.1796875" style="204" customWidth="1"/>
    <col min="15104" max="15104" width="1.81640625" style="204" customWidth="1"/>
    <col min="15105" max="15106" width="8.1796875" style="204" customWidth="1"/>
    <col min="15107" max="15353" width="7.08984375" style="204"/>
    <col min="15354" max="15354" width="10.1796875" style="204" customWidth="1"/>
    <col min="15355" max="15355" width="3.54296875" style="204" customWidth="1"/>
    <col min="15356" max="15357" width="1.81640625" style="204" customWidth="1"/>
    <col min="15358" max="15358" width="4" style="204" customWidth="1"/>
    <col min="15359" max="15359" width="24.1796875" style="204" customWidth="1"/>
    <col min="15360" max="15360" width="1.81640625" style="204" customWidth="1"/>
    <col min="15361" max="15362" width="8.1796875" style="204" customWidth="1"/>
    <col min="15363" max="15609" width="7.08984375" style="204"/>
    <col min="15610" max="15610" width="10.1796875" style="204" customWidth="1"/>
    <col min="15611" max="15611" width="3.54296875" style="204" customWidth="1"/>
    <col min="15612" max="15613" width="1.81640625" style="204" customWidth="1"/>
    <col min="15614" max="15614" width="4" style="204" customWidth="1"/>
    <col min="15615" max="15615" width="24.1796875" style="204" customWidth="1"/>
    <col min="15616" max="15616" width="1.81640625" style="204" customWidth="1"/>
    <col min="15617" max="15618" width="8.1796875" style="204" customWidth="1"/>
    <col min="15619" max="15865" width="7.08984375" style="204"/>
    <col min="15866" max="15866" width="10.1796875" style="204" customWidth="1"/>
    <col min="15867" max="15867" width="3.54296875" style="204" customWidth="1"/>
    <col min="15868" max="15869" width="1.81640625" style="204" customWidth="1"/>
    <col min="15870" max="15870" width="4" style="204" customWidth="1"/>
    <col min="15871" max="15871" width="24.1796875" style="204" customWidth="1"/>
    <col min="15872" max="15872" width="1.81640625" style="204" customWidth="1"/>
    <col min="15873" max="15874" width="8.1796875" style="204" customWidth="1"/>
    <col min="15875" max="16121" width="7.08984375" style="204"/>
    <col min="16122" max="16122" width="10.1796875" style="204" customWidth="1"/>
    <col min="16123" max="16123" width="3.54296875" style="204" customWidth="1"/>
    <col min="16124" max="16125" width="1.81640625" style="204" customWidth="1"/>
    <col min="16126" max="16126" width="4" style="204" customWidth="1"/>
    <col min="16127" max="16127" width="24.1796875" style="204" customWidth="1"/>
    <col min="16128" max="16128" width="1.81640625" style="204" customWidth="1"/>
    <col min="16129" max="16130" width="8.1796875" style="204" customWidth="1"/>
    <col min="16131" max="16384" width="7.08984375" style="204"/>
  </cols>
  <sheetData>
    <row r="1" spans="1:8" ht="14.25" customHeight="1">
      <c r="A1" s="887" t="s">
        <v>1014</v>
      </c>
      <c r="B1" s="887"/>
      <c r="C1" s="887"/>
      <c r="D1" s="887"/>
      <c r="E1" s="887"/>
      <c r="F1" s="887"/>
      <c r="G1" s="887"/>
      <c r="H1" s="887"/>
    </row>
    <row r="2" spans="1:8">
      <c r="A2" s="887" t="s">
        <v>1015</v>
      </c>
      <c r="B2" s="887"/>
      <c r="C2" s="887"/>
      <c r="D2" s="887"/>
      <c r="E2" s="887"/>
      <c r="F2" s="887"/>
      <c r="G2" s="887"/>
      <c r="H2" s="887"/>
    </row>
    <row r="3" spans="1:8">
      <c r="A3" s="888" t="str">
        <f>'Act Att-H'!C7</f>
        <v>Cheyenne Light, Fuel &amp; Power</v>
      </c>
      <c r="B3" s="888"/>
      <c r="C3" s="888"/>
      <c r="D3" s="888"/>
      <c r="E3" s="888"/>
      <c r="F3" s="888"/>
      <c r="G3" s="888"/>
      <c r="H3" s="888"/>
    </row>
    <row r="4" spans="1:8">
      <c r="F4" s="2"/>
      <c r="H4" s="205" t="s">
        <v>672</v>
      </c>
    </row>
    <row r="5" spans="1:8">
      <c r="A5" s="216"/>
      <c r="B5" s="216"/>
      <c r="C5" s="216"/>
      <c r="D5" s="216"/>
      <c r="E5" s="216"/>
      <c r="F5" s="216"/>
      <c r="G5" s="216"/>
      <c r="H5" s="216"/>
    </row>
    <row r="6" spans="1:8" ht="60.75" customHeight="1">
      <c r="B6" s="127" t="s">
        <v>4</v>
      </c>
      <c r="C6" s="229" t="s">
        <v>477</v>
      </c>
      <c r="D6" s="229" t="s">
        <v>1018</v>
      </c>
      <c r="E6" s="229" t="s">
        <v>10</v>
      </c>
      <c r="F6" s="229" t="s">
        <v>1019</v>
      </c>
      <c r="G6" s="229" t="s">
        <v>1020</v>
      </c>
      <c r="H6" s="204"/>
    </row>
    <row r="7" spans="1:8" ht="15" customHeight="1">
      <c r="B7" s="225"/>
      <c r="C7" s="230" t="s">
        <v>157</v>
      </c>
      <c r="D7" s="231" t="s">
        <v>158</v>
      </c>
      <c r="E7" s="231" t="s">
        <v>159</v>
      </c>
      <c r="F7" s="231" t="s">
        <v>160</v>
      </c>
      <c r="G7" s="231" t="s">
        <v>161</v>
      </c>
      <c r="H7" s="204"/>
    </row>
    <row r="8" spans="1:8" ht="15" customHeight="1">
      <c r="B8" s="206">
        <v>1</v>
      </c>
      <c r="C8" s="419" t="s">
        <v>1037</v>
      </c>
      <c r="D8" s="656">
        <v>30255.54</v>
      </c>
      <c r="E8" s="667" t="s">
        <v>100</v>
      </c>
      <c r="F8" s="668">
        <f t="shared" ref="F8:F13" si="0">IF(E8=0,0, IF(E8="NA", NA, IF(E8="TP",TP, IF(E8="TE",TE,IF(E8="CE",CE,IF(E8="WS",WS,IF(E8="DA",DA, IF(E8="GP",GP))))))))</f>
        <v>9.1201779797052435E-2</v>
      </c>
      <c r="G8" s="663">
        <f t="shared" ref="G8:G16" si="1">F8*D8</f>
        <v>2759.359096720912</v>
      </c>
      <c r="H8" s="204"/>
    </row>
    <row r="9" spans="1:8" ht="15" customHeight="1">
      <c r="B9" s="206">
        <v>2</v>
      </c>
      <c r="C9" s="419" t="s">
        <v>1038</v>
      </c>
      <c r="D9" s="661">
        <v>2387.2399999999998</v>
      </c>
      <c r="E9" s="667" t="s">
        <v>27</v>
      </c>
      <c r="F9" s="668">
        <f t="shared" si="0"/>
        <v>0</v>
      </c>
      <c r="G9" s="664">
        <f t="shared" si="1"/>
        <v>0</v>
      </c>
      <c r="H9" s="204"/>
    </row>
    <row r="10" spans="1:8" ht="15" customHeight="1">
      <c r="B10" s="206">
        <v>3</v>
      </c>
      <c r="C10" s="419" t="s">
        <v>1039</v>
      </c>
      <c r="D10" s="661">
        <v>55972.61</v>
      </c>
      <c r="E10" s="667" t="s">
        <v>100</v>
      </c>
      <c r="F10" s="668">
        <f t="shared" si="0"/>
        <v>9.1201779797052435E-2</v>
      </c>
      <c r="G10" s="664">
        <f t="shared" si="1"/>
        <v>5104.8016518862951</v>
      </c>
      <c r="H10" s="204"/>
    </row>
    <row r="11" spans="1:8" ht="15" customHeight="1">
      <c r="B11" s="206">
        <v>4</v>
      </c>
      <c r="C11" s="419" t="s">
        <v>1040</v>
      </c>
      <c r="D11" s="661">
        <v>72.42</v>
      </c>
      <c r="E11" s="667" t="s">
        <v>27</v>
      </c>
      <c r="F11" s="668">
        <f t="shared" si="0"/>
        <v>0</v>
      </c>
      <c r="G11" s="664">
        <f t="shared" si="1"/>
        <v>0</v>
      </c>
      <c r="H11" s="204"/>
    </row>
    <row r="12" spans="1:8" ht="15" customHeight="1">
      <c r="B12" s="206">
        <v>5</v>
      </c>
      <c r="C12" s="419" t="s">
        <v>1046</v>
      </c>
      <c r="D12" s="661">
        <v>-25723.47</v>
      </c>
      <c r="E12" s="667" t="s">
        <v>100</v>
      </c>
      <c r="F12" s="668">
        <f t="shared" si="0"/>
        <v>9.1201779797052435E-2</v>
      </c>
      <c r="G12" s="664">
        <f t="shared" si="1"/>
        <v>-2346.0262465560845</v>
      </c>
      <c r="H12" s="204"/>
    </row>
    <row r="13" spans="1:8" ht="15" customHeight="1">
      <c r="B13" s="206">
        <v>6</v>
      </c>
      <c r="C13" s="419" t="s">
        <v>1041</v>
      </c>
      <c r="D13" s="661">
        <v>104831.97</v>
      </c>
      <c r="E13" s="667" t="s">
        <v>37</v>
      </c>
      <c r="F13" s="668">
        <f t="shared" si="0"/>
        <v>0.17196579813022048</v>
      </c>
      <c r="G13" s="664">
        <f t="shared" si="1"/>
        <v>18027.513390613331</v>
      </c>
      <c r="H13" s="204"/>
    </row>
    <row r="14" spans="1:8" ht="15" customHeight="1">
      <c r="B14" s="206">
        <v>7</v>
      </c>
      <c r="C14" s="419" t="s">
        <v>1125</v>
      </c>
      <c r="D14" s="661">
        <v>0</v>
      </c>
      <c r="E14" s="667" t="s">
        <v>100</v>
      </c>
      <c r="F14" s="668">
        <f t="shared" ref="F14:F16" si="2">IF(E14=0,0, IF(E14="NA", NA, IF(E14="TP",TP, IF(E14="TE",TE,IF(E14="CE",CE,IF(E14="WS",WS,IF(E14="DA",DA, IF(E14="GP",GP))))))))</f>
        <v>9.1201779797052435E-2</v>
      </c>
      <c r="G14" s="664">
        <f t="shared" si="1"/>
        <v>0</v>
      </c>
      <c r="H14" s="204"/>
    </row>
    <row r="15" spans="1:8" ht="15" customHeight="1">
      <c r="B15" s="206">
        <v>8</v>
      </c>
      <c r="C15" s="419" t="s">
        <v>1127</v>
      </c>
      <c r="D15" s="661">
        <v>0</v>
      </c>
      <c r="E15" s="667" t="s">
        <v>100</v>
      </c>
      <c r="F15" s="668">
        <f t="shared" si="2"/>
        <v>9.1201779797052435E-2</v>
      </c>
      <c r="G15" s="664">
        <f t="shared" si="1"/>
        <v>0</v>
      </c>
      <c r="H15" s="204"/>
    </row>
    <row r="16" spans="1:8" ht="15" customHeight="1">
      <c r="B16" s="206">
        <v>9</v>
      </c>
      <c r="C16" s="419" t="s">
        <v>1126</v>
      </c>
      <c r="D16" s="661">
        <v>0</v>
      </c>
      <c r="E16" s="667" t="s">
        <v>100</v>
      </c>
      <c r="F16" s="668">
        <f t="shared" si="2"/>
        <v>9.1201779797052435E-2</v>
      </c>
      <c r="G16" s="664">
        <f t="shared" si="1"/>
        <v>0</v>
      </c>
      <c r="H16" s="204"/>
    </row>
    <row r="17" spans="2:8">
      <c r="B17" s="206">
        <v>10</v>
      </c>
      <c r="C17" s="309" t="s">
        <v>9</v>
      </c>
      <c r="D17" s="658" t="s">
        <v>1078</v>
      </c>
      <c r="E17" s="658"/>
      <c r="F17" s="662"/>
      <c r="G17" s="665">
        <f>SUM(G8:G16)</f>
        <v>23545.647892664452</v>
      </c>
      <c r="H17" s="226"/>
    </row>
    <row r="18" spans="2:8">
      <c r="B18" s="206"/>
      <c r="H18" s="226"/>
    </row>
    <row r="19" spans="2:8">
      <c r="B19" s="206"/>
      <c r="H19" s="226"/>
    </row>
    <row r="20" spans="2:8">
      <c r="B20" s="381" t="s">
        <v>174</v>
      </c>
      <c r="H20" s="226"/>
    </row>
    <row r="21" spans="2:8">
      <c r="B21" s="206" t="s">
        <v>79</v>
      </c>
      <c r="C21" s="204" t="s">
        <v>1151</v>
      </c>
      <c r="H21" s="226"/>
    </row>
    <row r="22" spans="2:8">
      <c r="B22" s="206"/>
    </row>
    <row r="23" spans="2:8">
      <c r="B23" s="206"/>
      <c r="C23" s="592"/>
    </row>
  </sheetData>
  <mergeCells count="3">
    <mergeCell ref="A1:H1"/>
    <mergeCell ref="A2:H2"/>
    <mergeCell ref="A3:H3"/>
  </mergeCells>
  <printOptions horizontalCentered="1"/>
  <pageMargins left="0.75" right="0.75" top="1" bottom="1" header="0.5" footer="0.5"/>
  <pageSetup scale="55" orientation="portrait" r:id="rId1"/>
  <headerFooter alignWithMargins="0"/>
  <ignoredErrors>
    <ignoredError sqref="G8:G1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pageSetUpPr fitToPage="1"/>
  </sheetPr>
  <dimension ref="A1:I140"/>
  <sheetViews>
    <sheetView workbookViewId="0">
      <selection activeCell="A68" sqref="A68"/>
    </sheetView>
  </sheetViews>
  <sheetFormatPr defaultColWidth="7.08984375" defaultRowHeight="13.2"/>
  <cols>
    <col min="1" max="1" width="5.1796875" style="241" customWidth="1"/>
    <col min="2" max="2" width="5.54296875" style="241" customWidth="1"/>
    <col min="3" max="3" width="5.08984375" style="241" customWidth="1"/>
    <col min="4" max="4" width="12.81640625" style="240" customWidth="1"/>
    <col min="5" max="5" width="22.81640625" style="240" customWidth="1"/>
    <col min="6" max="6" width="12.1796875" style="240" customWidth="1"/>
    <col min="7" max="7" width="13.453125" style="240" bestFit="1" customWidth="1"/>
    <col min="8" max="8" width="19.1796875" style="240" customWidth="1"/>
    <col min="9" max="9" width="4.81640625" style="240" bestFit="1" customWidth="1"/>
    <col min="10" max="16384" width="7.08984375" style="240"/>
  </cols>
  <sheetData>
    <row r="1" spans="1:9">
      <c r="A1" s="887" t="s">
        <v>312</v>
      </c>
      <c r="B1" s="887"/>
      <c r="C1" s="887"/>
      <c r="D1" s="887"/>
      <c r="E1" s="887"/>
      <c r="F1" s="887"/>
      <c r="G1" s="887"/>
      <c r="H1" s="887"/>
    </row>
    <row r="2" spans="1:9">
      <c r="A2" s="887" t="s">
        <v>551</v>
      </c>
      <c r="B2" s="887"/>
      <c r="C2" s="887"/>
      <c r="D2" s="887"/>
      <c r="E2" s="887"/>
      <c r="F2" s="887"/>
      <c r="G2" s="887"/>
      <c r="H2" s="887"/>
    </row>
    <row r="3" spans="1:9">
      <c r="A3" s="888" t="str">
        <f>'Act Att-H'!C7</f>
        <v>Cheyenne Light, Fuel &amp; Power</v>
      </c>
      <c r="B3" s="888"/>
      <c r="C3" s="888"/>
      <c r="D3" s="888"/>
      <c r="E3" s="888"/>
      <c r="F3" s="888"/>
      <c r="G3" s="888"/>
      <c r="H3" s="888"/>
    </row>
    <row r="4" spans="1:9">
      <c r="H4" s="242" t="s">
        <v>672</v>
      </c>
    </row>
    <row r="5" spans="1:9">
      <c r="A5" s="243" t="s">
        <v>266</v>
      </c>
    </row>
    <row r="6" spans="1:9">
      <c r="A6" s="654" t="s">
        <v>267</v>
      </c>
      <c r="B6" s="654" t="s">
        <v>268</v>
      </c>
      <c r="C6" s="654" t="s">
        <v>269</v>
      </c>
      <c r="D6" s="654" t="s">
        <v>270</v>
      </c>
      <c r="E6" s="241"/>
    </row>
    <row r="7" spans="1:9">
      <c r="A7" s="241">
        <v>1</v>
      </c>
      <c r="B7" s="241" t="s">
        <v>271</v>
      </c>
      <c r="C7" s="241" t="s">
        <v>272</v>
      </c>
      <c r="D7" s="244" t="s">
        <v>445</v>
      </c>
      <c r="E7" s="244"/>
    </row>
    <row r="8" spans="1:9">
      <c r="A8" s="241">
        <f>A7+1</f>
        <v>2</v>
      </c>
      <c r="B8" s="241" t="s">
        <v>271</v>
      </c>
      <c r="C8" s="241" t="s">
        <v>272</v>
      </c>
      <c r="D8" s="244" t="s">
        <v>273</v>
      </c>
      <c r="E8" s="244"/>
    </row>
    <row r="9" spans="1:9">
      <c r="A9" s="241">
        <f t="shared" ref="A9:A17" si="0">A8+1</f>
        <v>3</v>
      </c>
      <c r="B9" s="245" t="s">
        <v>274</v>
      </c>
      <c r="C9" s="241" t="s">
        <v>275</v>
      </c>
      <c r="D9" s="244" t="s">
        <v>276</v>
      </c>
      <c r="E9" s="244"/>
    </row>
    <row r="10" spans="1:9">
      <c r="A10" s="241">
        <f t="shared" si="0"/>
        <v>4</v>
      </c>
      <c r="B10" s="241" t="str">
        <f>+B7</f>
        <v>Oct</v>
      </c>
      <c r="C10" s="241" t="s">
        <v>275</v>
      </c>
      <c r="D10" s="244" t="s">
        <v>442</v>
      </c>
      <c r="E10" s="244"/>
    </row>
    <row r="11" spans="1:9">
      <c r="A11" s="241">
        <f t="shared" si="0"/>
        <v>5</v>
      </c>
      <c r="B11" s="241" t="s">
        <v>271</v>
      </c>
      <c r="C11" s="241" t="str">
        <f>C10</f>
        <v>Year 1</v>
      </c>
      <c r="D11" s="244" t="s">
        <v>277</v>
      </c>
      <c r="E11" s="244"/>
    </row>
    <row r="12" spans="1:9">
      <c r="A12" s="241">
        <f t="shared" si="0"/>
        <v>6</v>
      </c>
      <c r="B12" s="241" t="s">
        <v>274</v>
      </c>
      <c r="C12" s="241" t="s">
        <v>278</v>
      </c>
      <c r="D12" s="244" t="s">
        <v>279</v>
      </c>
      <c r="E12" s="244"/>
    </row>
    <row r="13" spans="1:9">
      <c r="A13" s="241">
        <f t="shared" si="0"/>
        <v>7</v>
      </c>
      <c r="B13" s="241" t="s">
        <v>280</v>
      </c>
      <c r="C13" s="241" t="s">
        <v>278</v>
      </c>
      <c r="D13" s="244" t="s">
        <v>443</v>
      </c>
      <c r="E13" s="246"/>
      <c r="F13" s="247"/>
      <c r="G13" s="247"/>
      <c r="H13" s="247"/>
      <c r="I13" s="247"/>
    </row>
    <row r="14" spans="1:9">
      <c r="A14" s="241">
        <f t="shared" si="0"/>
        <v>8</v>
      </c>
      <c r="B14" s="241" t="s">
        <v>280</v>
      </c>
      <c r="C14" s="241" t="s">
        <v>278</v>
      </c>
      <c r="D14" s="244" t="s">
        <v>281</v>
      </c>
      <c r="E14" s="244"/>
    </row>
    <row r="15" spans="1:9">
      <c r="A15" s="241">
        <f t="shared" si="0"/>
        <v>9</v>
      </c>
      <c r="B15" s="241" t="s">
        <v>280</v>
      </c>
      <c r="C15" s="241" t="s">
        <v>278</v>
      </c>
      <c r="D15" s="244" t="s">
        <v>282</v>
      </c>
    </row>
    <row r="16" spans="1:9">
      <c r="A16" s="241">
        <f t="shared" si="0"/>
        <v>10</v>
      </c>
      <c r="B16" s="241" t="s">
        <v>271</v>
      </c>
      <c r="C16" s="241" t="s">
        <v>278</v>
      </c>
      <c r="D16" s="244" t="s">
        <v>444</v>
      </c>
      <c r="E16" s="244"/>
    </row>
    <row r="17" spans="1:9">
      <c r="A17" s="241">
        <f t="shared" si="0"/>
        <v>11</v>
      </c>
      <c r="B17" s="241" t="s">
        <v>271</v>
      </c>
      <c r="C17" s="241" t="s">
        <v>278</v>
      </c>
      <c r="D17" s="244" t="s">
        <v>283</v>
      </c>
      <c r="E17" s="244"/>
    </row>
    <row r="18" spans="1:9">
      <c r="A18" s="240"/>
      <c r="B18" s="240"/>
      <c r="C18" s="240"/>
      <c r="E18" s="244"/>
    </row>
    <row r="19" spans="1:9">
      <c r="A19" s="240"/>
      <c r="B19" s="243" t="s">
        <v>808</v>
      </c>
    </row>
    <row r="20" spans="1:9" ht="12.75" customHeight="1" thickBot="1">
      <c r="A20" s="241">
        <f>A17+1</f>
        <v>12</v>
      </c>
      <c r="D20" s="247"/>
      <c r="E20" s="247"/>
      <c r="F20" s="247"/>
      <c r="H20" s="248" t="s">
        <v>284</v>
      </c>
      <c r="I20" s="247"/>
    </row>
    <row r="21" spans="1:9" ht="12.75" customHeight="1">
      <c r="A21" s="241">
        <f>A20+1</f>
        <v>13</v>
      </c>
      <c r="C21" s="240" t="s">
        <v>285</v>
      </c>
      <c r="E21" s="247"/>
      <c r="F21" s="249"/>
      <c r="H21" s="434">
        <f>'Act Att-H'!I19</f>
        <v>16735348.114010818</v>
      </c>
      <c r="I21" s="247"/>
    </row>
    <row r="22" spans="1:9">
      <c r="A22" s="241">
        <f t="shared" ref="A22:A23" si="1">A21+1</f>
        <v>14</v>
      </c>
      <c r="B22" s="251"/>
      <c r="C22" s="240" t="s">
        <v>819</v>
      </c>
      <c r="F22" s="250"/>
      <c r="H22" s="434">
        <v>19265090.312670458</v>
      </c>
      <c r="I22" s="247"/>
    </row>
    <row r="23" spans="1:9">
      <c r="A23" s="241">
        <f t="shared" si="1"/>
        <v>15</v>
      </c>
      <c r="C23" s="240" t="s">
        <v>1049</v>
      </c>
      <c r="F23" s="252" t="s">
        <v>781</v>
      </c>
      <c r="H23" s="401">
        <f>+H21-H22</f>
        <v>-2529742.1986596398</v>
      </c>
      <c r="I23" s="247"/>
    </row>
    <row r="24" spans="1:9">
      <c r="F24" s="252"/>
      <c r="I24" s="247"/>
    </row>
    <row r="25" spans="1:9">
      <c r="A25" s="240"/>
      <c r="B25" s="243" t="s">
        <v>809</v>
      </c>
    </row>
    <row r="26" spans="1:9" ht="12.75" customHeight="1" thickBot="1">
      <c r="A26" s="241">
        <f>A23+1</f>
        <v>16</v>
      </c>
      <c r="D26" s="247"/>
      <c r="E26" s="247"/>
      <c r="F26" s="247"/>
      <c r="H26" s="248" t="s">
        <v>284</v>
      </c>
      <c r="I26" s="247"/>
    </row>
    <row r="27" spans="1:9">
      <c r="A27" s="241">
        <f>A26+1</f>
        <v>17</v>
      </c>
      <c r="C27" s="240" t="s">
        <v>812</v>
      </c>
      <c r="E27" s="247"/>
      <c r="F27" s="249"/>
      <c r="H27" s="542">
        <f>'A6-Divisor'!E21</f>
        <v>295500</v>
      </c>
      <c r="I27" s="247" t="s">
        <v>811</v>
      </c>
    </row>
    <row r="28" spans="1:9">
      <c r="A28" s="241">
        <f t="shared" ref="A28:A33" si="2">A27+1</f>
        <v>18</v>
      </c>
      <c r="B28" s="251"/>
      <c r="C28" s="240" t="s">
        <v>820</v>
      </c>
      <c r="F28" s="250"/>
      <c r="H28" s="542">
        <v>282555</v>
      </c>
      <c r="I28" s="247" t="s">
        <v>811</v>
      </c>
    </row>
    <row r="29" spans="1:9">
      <c r="A29" s="241">
        <f t="shared" si="2"/>
        <v>19</v>
      </c>
      <c r="C29" s="240" t="s">
        <v>949</v>
      </c>
      <c r="F29" s="252" t="s">
        <v>818</v>
      </c>
      <c r="H29" s="543">
        <f>H28-H27</f>
        <v>-12945</v>
      </c>
      <c r="I29" s="247" t="s">
        <v>811</v>
      </c>
    </row>
    <row r="30" spans="1:9" ht="12.75" customHeight="1">
      <c r="A30" s="241">
        <f t="shared" si="2"/>
        <v>20</v>
      </c>
      <c r="C30" s="240"/>
      <c r="D30" s="247"/>
      <c r="E30" s="247"/>
      <c r="F30" s="252"/>
      <c r="H30" s="544"/>
      <c r="I30" s="247"/>
    </row>
    <row r="31" spans="1:9">
      <c r="A31" s="241">
        <f t="shared" si="2"/>
        <v>21</v>
      </c>
      <c r="C31" s="240" t="s">
        <v>821</v>
      </c>
      <c r="E31" s="247"/>
      <c r="F31" s="252" t="s">
        <v>813</v>
      </c>
      <c r="H31" s="544">
        <f>IF(H28=0,0,ROUND(H22/H28,6))</f>
        <v>68.181736000000001</v>
      </c>
      <c r="I31" s="247" t="s">
        <v>814</v>
      </c>
    </row>
    <row r="32" spans="1:9">
      <c r="A32" s="241">
        <f t="shared" si="2"/>
        <v>22</v>
      </c>
      <c r="B32" s="251"/>
      <c r="C32" s="240" t="s">
        <v>810</v>
      </c>
      <c r="F32" s="252" t="s">
        <v>831</v>
      </c>
      <c r="H32" s="401">
        <f>H29*H31</f>
        <v>-882612.57252000005</v>
      </c>
      <c r="I32" s="247"/>
    </row>
    <row r="33" spans="1:9">
      <c r="A33" s="241">
        <f t="shared" si="2"/>
        <v>23</v>
      </c>
      <c r="C33" s="240"/>
      <c r="F33" s="252"/>
      <c r="H33" s="541"/>
      <c r="I33" s="247"/>
    </row>
    <row r="34" spans="1:9">
      <c r="B34" s="243" t="s">
        <v>1010</v>
      </c>
      <c r="C34" s="240"/>
      <c r="F34" s="252"/>
      <c r="H34" s="541"/>
      <c r="I34" s="247"/>
    </row>
    <row r="35" spans="1:9">
      <c r="A35" s="241" t="s">
        <v>375</v>
      </c>
      <c r="C35" s="240" t="s">
        <v>1012</v>
      </c>
      <c r="F35" s="252"/>
      <c r="H35" s="434">
        <v>0</v>
      </c>
      <c r="I35" s="247"/>
    </row>
    <row r="36" spans="1:9">
      <c r="C36" s="240"/>
      <c r="F36" s="252"/>
      <c r="H36" s="541"/>
      <c r="I36" s="247"/>
    </row>
    <row r="37" spans="1:9">
      <c r="A37" s="241">
        <f>A33+1</f>
        <v>24</v>
      </c>
      <c r="B37" s="240" t="s">
        <v>950</v>
      </c>
      <c r="C37" s="240"/>
      <c r="D37" s="244"/>
      <c r="E37" s="241"/>
      <c r="F37" s="247" t="s">
        <v>1011</v>
      </c>
      <c r="G37" s="247"/>
      <c r="H37" s="545">
        <f>H23+H32+H35</f>
        <v>-3412354.7711796397</v>
      </c>
      <c r="I37" s="247"/>
    </row>
    <row r="38" spans="1:9">
      <c r="C38" s="240"/>
      <c r="D38" s="244"/>
      <c r="E38" s="241"/>
      <c r="F38" s="247"/>
      <c r="G38" s="247"/>
      <c r="H38" s="247"/>
      <c r="I38" s="247"/>
    </row>
    <row r="39" spans="1:9">
      <c r="B39" s="243" t="s">
        <v>287</v>
      </c>
      <c r="D39" s="244"/>
      <c r="E39" s="241"/>
      <c r="F39" s="247"/>
      <c r="G39" s="247"/>
      <c r="H39" s="247"/>
      <c r="I39" s="247"/>
    </row>
    <row r="40" spans="1:9" ht="14.25" customHeight="1">
      <c r="D40" s="253" t="s">
        <v>288</v>
      </c>
      <c r="E40" s="254"/>
      <c r="F40" s="255"/>
      <c r="G40" s="247"/>
      <c r="H40" s="256" t="s">
        <v>289</v>
      </c>
      <c r="I40" s="247"/>
    </row>
    <row r="41" spans="1:9">
      <c r="A41" s="241">
        <f>A37+1</f>
        <v>25</v>
      </c>
      <c r="D41" s="244" t="s">
        <v>290</v>
      </c>
      <c r="E41" s="241"/>
      <c r="F41" s="247"/>
      <c r="H41" s="73"/>
      <c r="I41" s="257"/>
    </row>
    <row r="42" spans="1:9">
      <c r="A42" s="241">
        <f>A41+1</f>
        <v>26</v>
      </c>
      <c r="D42" s="244" t="s">
        <v>291</v>
      </c>
      <c r="E42" s="241"/>
      <c r="F42" s="247"/>
      <c r="H42" s="73"/>
      <c r="I42" s="257"/>
    </row>
    <row r="43" spans="1:9">
      <c r="A43" s="241">
        <f>A42+1</f>
        <v>27</v>
      </c>
      <c r="D43" s="244" t="s">
        <v>292</v>
      </c>
      <c r="E43" s="241"/>
      <c r="F43" s="247"/>
      <c r="H43" s="73"/>
      <c r="I43" s="257"/>
    </row>
    <row r="44" spans="1:9">
      <c r="A44" s="241">
        <f>A43+1</f>
        <v>28</v>
      </c>
      <c r="D44" s="244" t="s">
        <v>293</v>
      </c>
      <c r="E44" s="241"/>
      <c r="F44" s="240" t="s">
        <v>832</v>
      </c>
      <c r="H44" s="258">
        <f>IF(H42*H43=0,0,H41/H42*H43/2)</f>
        <v>0</v>
      </c>
      <c r="I44" s="247"/>
    </row>
    <row r="45" spans="1:9">
      <c r="D45" s="244"/>
      <c r="E45" s="241"/>
      <c r="F45" s="247"/>
      <c r="H45" s="259"/>
      <c r="I45" s="247"/>
    </row>
    <row r="46" spans="1:9">
      <c r="D46" s="253" t="s">
        <v>552</v>
      </c>
      <c r="E46" s="260"/>
      <c r="F46" s="255"/>
      <c r="H46" s="261"/>
    </row>
    <row r="47" spans="1:9">
      <c r="A47" s="241">
        <f>A44+1</f>
        <v>29</v>
      </c>
      <c r="D47" s="244" t="s">
        <v>294</v>
      </c>
      <c r="F47" s="247"/>
      <c r="H47" s="262"/>
    </row>
    <row r="48" spans="1:9">
      <c r="A48" s="241">
        <f t="shared" ref="A48:A51" si="3">A47+1</f>
        <v>30</v>
      </c>
      <c r="D48" s="244" t="s">
        <v>295</v>
      </c>
      <c r="F48" s="247"/>
      <c r="H48" s="262"/>
    </row>
    <row r="49" spans="1:9">
      <c r="A49" s="241">
        <f t="shared" si="3"/>
        <v>31</v>
      </c>
      <c r="D49" s="244" t="s">
        <v>296</v>
      </c>
      <c r="F49" s="247"/>
      <c r="H49" s="262"/>
    </row>
    <row r="50" spans="1:9">
      <c r="A50" s="241">
        <f t="shared" si="3"/>
        <v>32</v>
      </c>
      <c r="D50" s="244" t="s">
        <v>297</v>
      </c>
      <c r="F50" s="247"/>
      <c r="H50" s="262"/>
    </row>
    <row r="51" spans="1:9">
      <c r="A51" s="241">
        <f t="shared" si="3"/>
        <v>33</v>
      </c>
      <c r="D51" s="244" t="s">
        <v>298</v>
      </c>
      <c r="E51" s="247"/>
      <c r="F51" s="247" t="s">
        <v>815</v>
      </c>
      <c r="H51" s="263">
        <f>IF(SUM(H47:H50)=0,0,AVERAGE(H47:H50))</f>
        <v>0</v>
      </c>
    </row>
    <row r="52" spans="1:9">
      <c r="D52" s="244"/>
      <c r="E52" s="247"/>
      <c r="F52" s="247"/>
      <c r="H52" s="264"/>
    </row>
    <row r="53" spans="1:9">
      <c r="A53" s="241">
        <f>A51+1</f>
        <v>34</v>
      </c>
      <c r="D53" s="244" t="s">
        <v>299</v>
      </c>
      <c r="E53" s="247"/>
      <c r="F53" s="247"/>
      <c r="H53" s="449">
        <f>IF(H23&lt;=0,$H51,MIN($H51,$H44))</f>
        <v>0</v>
      </c>
    </row>
    <row r="54" spans="1:9">
      <c r="D54" s="244"/>
      <c r="E54" s="247"/>
      <c r="F54" s="247"/>
      <c r="H54" s="265"/>
      <c r="I54" s="247"/>
    </row>
    <row r="55" spans="1:9" ht="15.75" customHeight="1" thickBot="1">
      <c r="D55" s="247"/>
      <c r="E55" s="247"/>
      <c r="F55" s="247"/>
      <c r="H55" s="248" t="s">
        <v>300</v>
      </c>
    </row>
    <row r="56" spans="1:9">
      <c r="A56" s="241">
        <f>A53+1</f>
        <v>35</v>
      </c>
      <c r="C56" s="240"/>
      <c r="D56" s="240" t="s">
        <v>951</v>
      </c>
      <c r="H56" s="266">
        <f>ROUND(+H37*12/12,0)</f>
        <v>-3412355</v>
      </c>
    </row>
    <row r="57" spans="1:9">
      <c r="A57" s="241">
        <f>A56+1</f>
        <v>36</v>
      </c>
      <c r="C57" s="240"/>
      <c r="D57" s="240" t="s">
        <v>782</v>
      </c>
      <c r="H57" s="267">
        <f>ROUND(H$53/12*(24)*H56,2)</f>
        <v>0</v>
      </c>
      <c r="I57" s="247"/>
    </row>
    <row r="58" spans="1:9">
      <c r="A58" s="241">
        <f>A57+1</f>
        <v>37</v>
      </c>
      <c r="C58" s="250"/>
      <c r="D58" s="243" t="s">
        <v>952</v>
      </c>
      <c r="E58" s="244"/>
      <c r="G58" s="241"/>
      <c r="H58" s="448">
        <f>SUM(H56:H57)</f>
        <v>-3412355</v>
      </c>
      <c r="I58" s="247"/>
    </row>
    <row r="59" spans="1:9">
      <c r="C59" s="250"/>
      <c r="D59" s="241"/>
      <c r="E59" s="244"/>
      <c r="G59" s="241"/>
      <c r="H59" s="268"/>
      <c r="I59" s="244"/>
    </row>
    <row r="60" spans="1:9">
      <c r="A60" s="241" t="s">
        <v>205</v>
      </c>
    </row>
    <row r="61" spans="1:9" s="671" customFormat="1" ht="15.75" customHeight="1">
      <c r="A61" s="269" t="s">
        <v>79</v>
      </c>
      <c r="B61" s="921" t="s">
        <v>446</v>
      </c>
      <c r="C61" s="921"/>
      <c r="D61" s="921"/>
      <c r="E61" s="921"/>
      <c r="F61" s="921"/>
      <c r="G61" s="921"/>
      <c r="H61" s="921"/>
    </row>
    <row r="62" spans="1:9" s="671" customFormat="1">
      <c r="A62" s="269" t="s">
        <v>80</v>
      </c>
      <c r="B62" s="921" t="s">
        <v>447</v>
      </c>
      <c r="C62" s="921"/>
      <c r="D62" s="921"/>
      <c r="E62" s="921"/>
      <c r="F62" s="921"/>
      <c r="G62" s="921"/>
      <c r="H62" s="921"/>
    </row>
    <row r="63" spans="1:9" s="671" customFormat="1">
      <c r="A63" s="269" t="s">
        <v>81</v>
      </c>
      <c r="B63" s="921" t="s">
        <v>301</v>
      </c>
      <c r="C63" s="921"/>
      <c r="D63" s="921"/>
      <c r="E63" s="921"/>
      <c r="F63" s="921"/>
      <c r="G63" s="921"/>
      <c r="H63" s="921"/>
    </row>
    <row r="64" spans="1:9" s="671" customFormat="1" ht="27" customHeight="1">
      <c r="A64" s="269" t="s">
        <v>82</v>
      </c>
      <c r="B64" s="920" t="s">
        <v>948</v>
      </c>
      <c r="C64" s="920"/>
      <c r="D64" s="920"/>
      <c r="E64" s="920"/>
      <c r="F64" s="920"/>
      <c r="G64" s="920"/>
      <c r="H64" s="920"/>
    </row>
    <row r="65" spans="1:8" s="671" customFormat="1" ht="14.25" customHeight="1">
      <c r="A65" s="269" t="s">
        <v>83</v>
      </c>
      <c r="B65" s="921" t="s">
        <v>302</v>
      </c>
      <c r="C65" s="921"/>
      <c r="D65" s="921"/>
      <c r="E65" s="921"/>
      <c r="F65" s="921"/>
      <c r="G65" s="921"/>
      <c r="H65" s="921"/>
    </row>
    <row r="66" spans="1:8" s="671" customFormat="1" ht="108.75" customHeight="1">
      <c r="A66" s="269" t="s">
        <v>84</v>
      </c>
      <c r="B66" s="920" t="s">
        <v>1053</v>
      </c>
      <c r="C66" s="920"/>
      <c r="D66" s="920"/>
      <c r="E66" s="920"/>
      <c r="F66" s="920"/>
      <c r="G66" s="920"/>
      <c r="H66" s="920"/>
    </row>
    <row r="67" spans="1:8">
      <c r="B67" s="240"/>
    </row>
    <row r="117" spans="3:7" ht="15.6">
      <c r="C117" s="270"/>
      <c r="D117" s="271"/>
      <c r="E117" s="271"/>
      <c r="F117" s="271"/>
      <c r="G117" s="271"/>
    </row>
    <row r="118" spans="3:7" ht="99.75" customHeight="1">
      <c r="C118" s="270"/>
      <c r="D118" s="271"/>
      <c r="E118" s="271"/>
      <c r="F118" s="271"/>
      <c r="G118" s="271"/>
    </row>
    <row r="119" spans="3:7" ht="15.6">
      <c r="C119" s="270"/>
      <c r="D119" s="271"/>
      <c r="E119" s="271"/>
      <c r="F119" s="271"/>
      <c r="G119" s="271"/>
    </row>
    <row r="120" spans="3:7" ht="15.6">
      <c r="C120" s="270"/>
      <c r="D120" s="271"/>
      <c r="E120" s="271"/>
      <c r="F120" s="271"/>
      <c r="G120" s="271"/>
    </row>
    <row r="121" spans="3:7" ht="15.6">
      <c r="C121" s="270"/>
      <c r="D121" s="271"/>
      <c r="E121" s="271"/>
      <c r="F121" s="271"/>
      <c r="G121" s="271"/>
    </row>
    <row r="122" spans="3:7" ht="15.6">
      <c r="C122" s="270"/>
      <c r="D122" s="271"/>
      <c r="E122" s="271"/>
      <c r="F122" s="271"/>
      <c r="G122" s="271"/>
    </row>
    <row r="123" spans="3:7" ht="15.6">
      <c r="C123" s="270"/>
      <c r="D123" s="271"/>
      <c r="E123" s="271"/>
      <c r="F123" s="271"/>
      <c r="G123" s="271"/>
    </row>
    <row r="124" spans="3:7" ht="15.6">
      <c r="C124" s="270"/>
      <c r="D124" s="271"/>
      <c r="E124" s="271"/>
      <c r="F124" s="271"/>
      <c r="G124" s="271"/>
    </row>
    <row r="125" spans="3:7" ht="15.6">
      <c r="C125" s="270"/>
      <c r="D125" s="271"/>
      <c r="E125" s="271"/>
      <c r="F125" s="271"/>
      <c r="G125" s="271"/>
    </row>
    <row r="126" spans="3:7" ht="15.6">
      <c r="C126" s="270"/>
      <c r="D126" s="271"/>
      <c r="E126" s="271"/>
      <c r="F126" s="271"/>
      <c r="G126" s="271"/>
    </row>
    <row r="127" spans="3:7" ht="15.6">
      <c r="C127" s="270"/>
      <c r="D127" s="271"/>
      <c r="E127" s="271"/>
      <c r="F127" s="271"/>
      <c r="G127" s="271"/>
    </row>
    <row r="128" spans="3:7" ht="15.6">
      <c r="C128" s="270"/>
      <c r="D128" s="271"/>
      <c r="E128" s="271"/>
      <c r="F128" s="271"/>
      <c r="G128" s="271"/>
    </row>
    <row r="129" spans="3:7" ht="15.6">
      <c r="C129" s="270"/>
      <c r="D129" s="271"/>
      <c r="E129" s="271"/>
      <c r="F129" s="271"/>
      <c r="G129" s="271"/>
    </row>
    <row r="130" spans="3:7" ht="15.6">
      <c r="C130" s="270"/>
      <c r="D130" s="271"/>
      <c r="E130" s="271"/>
      <c r="F130" s="271"/>
      <c r="G130" s="271"/>
    </row>
    <row r="131" spans="3:7" ht="15.6">
      <c r="C131" s="270"/>
      <c r="D131" s="271"/>
      <c r="E131" s="271"/>
      <c r="F131" s="271"/>
      <c r="G131" s="271"/>
    </row>
    <row r="132" spans="3:7" ht="15.6">
      <c r="C132" s="270"/>
      <c r="D132" s="271"/>
      <c r="E132" s="271"/>
      <c r="F132" s="271"/>
      <c r="G132" s="271"/>
    </row>
    <row r="133" spans="3:7" ht="15.6">
      <c r="C133" s="270"/>
      <c r="D133" s="271"/>
      <c r="E133" s="271"/>
      <c r="F133" s="271"/>
      <c r="G133" s="271"/>
    </row>
    <row r="134" spans="3:7" ht="15.6">
      <c r="C134" s="270"/>
      <c r="D134" s="271"/>
      <c r="E134" s="271"/>
      <c r="F134" s="271"/>
      <c r="G134" s="271"/>
    </row>
    <row r="135" spans="3:7" ht="15.6">
      <c r="C135" s="270"/>
      <c r="D135" s="271"/>
      <c r="E135" s="271"/>
      <c r="F135" s="271"/>
      <c r="G135" s="271"/>
    </row>
    <row r="136" spans="3:7" ht="15.6">
      <c r="C136" s="270"/>
      <c r="D136" s="271"/>
      <c r="E136" s="271"/>
      <c r="F136" s="271"/>
      <c r="G136" s="271"/>
    </row>
    <row r="137" spans="3:7" ht="15.6">
      <c r="C137" s="270"/>
      <c r="D137" s="271"/>
      <c r="E137" s="271"/>
      <c r="F137" s="271"/>
      <c r="G137" s="271"/>
    </row>
    <row r="138" spans="3:7" ht="15.6">
      <c r="C138" s="270"/>
      <c r="D138" s="271"/>
      <c r="E138" s="271"/>
      <c r="F138" s="271"/>
      <c r="G138" s="271"/>
    </row>
    <row r="139" spans="3:7" ht="40.5" customHeight="1">
      <c r="C139" s="270"/>
      <c r="D139" s="271"/>
      <c r="E139" s="271"/>
      <c r="F139" s="271"/>
      <c r="G139" s="271"/>
    </row>
    <row r="140" spans="3:7" ht="15.6">
      <c r="C140" s="270"/>
      <c r="D140" s="271"/>
      <c r="E140" s="271"/>
      <c r="F140" s="271"/>
      <c r="G140" s="271"/>
    </row>
  </sheetData>
  <mergeCells count="9">
    <mergeCell ref="B66:H66"/>
    <mergeCell ref="B63:H63"/>
    <mergeCell ref="B64:H64"/>
    <mergeCell ref="B65:H65"/>
    <mergeCell ref="A1:H1"/>
    <mergeCell ref="A2:H2"/>
    <mergeCell ref="A3:H3"/>
    <mergeCell ref="B61:H61"/>
    <mergeCell ref="B62:H62"/>
  </mergeCells>
  <printOptions horizontalCentered="1"/>
  <pageMargins left="0.5" right="0.25" top="1" bottom="0.5" header="0.5" footer="0.5"/>
  <pageSetup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72"/>
  <sheetViews>
    <sheetView workbookViewId="0">
      <selection activeCell="I19" sqref="I19"/>
    </sheetView>
  </sheetViews>
  <sheetFormatPr defaultColWidth="8.81640625" defaultRowHeight="13.2"/>
  <cols>
    <col min="1" max="1" width="4.1796875" style="103" customWidth="1"/>
    <col min="2" max="2" width="47.81640625" style="103" customWidth="1"/>
    <col min="3" max="3" width="39.08984375" style="103" customWidth="1"/>
    <col min="4" max="4" width="11.1796875" style="103" bestFit="1" customWidth="1"/>
    <col min="5" max="5" width="4.08984375" style="103" customWidth="1"/>
    <col min="6" max="6" width="3.1796875" style="103" customWidth="1"/>
    <col min="7" max="7" width="6.453125" style="103" customWidth="1"/>
    <col min="8" max="8" width="3.81640625" style="103" bestFit="1" customWidth="1"/>
    <col min="9" max="9" width="12.453125" style="103" customWidth="1"/>
    <col min="10" max="10" width="1.453125" style="103" customWidth="1"/>
    <col min="11" max="11" width="6.81640625" style="103" customWidth="1"/>
    <col min="12" max="12" width="8.81640625" style="103"/>
    <col min="13" max="14" width="10.81640625" style="103" customWidth="1"/>
    <col min="15" max="16" width="8.81640625" style="103"/>
    <col min="17" max="17" width="10.1796875" style="103" customWidth="1"/>
    <col min="18" max="18" width="8.81640625" style="103"/>
    <col min="19" max="19" width="10.1796875" style="103" customWidth="1"/>
    <col min="20" max="16384" width="8.81640625" style="103"/>
  </cols>
  <sheetData>
    <row r="1" spans="1:11">
      <c r="B1" s="71"/>
      <c r="C1" s="71"/>
      <c r="D1" s="104"/>
      <c r="E1" s="71"/>
      <c r="F1" s="71"/>
      <c r="G1" s="71"/>
      <c r="H1" s="71"/>
      <c r="I1" s="865" t="s">
        <v>479</v>
      </c>
      <c r="J1" s="865"/>
      <c r="K1" s="865"/>
    </row>
    <row r="2" spans="1:11">
      <c r="B2" s="71"/>
      <c r="C2" s="71"/>
      <c r="D2" s="104"/>
      <c r="E2" s="71"/>
      <c r="F2" s="71"/>
      <c r="G2" s="71"/>
      <c r="H2" s="71"/>
      <c r="I2" s="71"/>
      <c r="J2" s="864" t="s">
        <v>241</v>
      </c>
      <c r="K2" s="864"/>
    </row>
    <row r="3" spans="1:11">
      <c r="B3" s="71"/>
      <c r="C3" s="71"/>
      <c r="D3" s="104"/>
      <c r="E3" s="71"/>
      <c r="F3" s="71"/>
      <c r="G3" s="71"/>
      <c r="H3" s="71"/>
      <c r="I3" s="71"/>
      <c r="J3" s="71"/>
      <c r="K3" s="105"/>
    </row>
    <row r="4" spans="1:11">
      <c r="B4" s="104" t="s">
        <v>0</v>
      </c>
      <c r="C4" s="78" t="s">
        <v>122</v>
      </c>
      <c r="E4" s="71"/>
      <c r="F4" s="71"/>
      <c r="G4" s="71"/>
      <c r="H4" s="71"/>
      <c r="I4" s="71"/>
      <c r="J4" s="71"/>
      <c r="K4" s="106" t="s">
        <v>1168</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953</v>
      </c>
      <c r="C10" s="71"/>
      <c r="D10" s="107"/>
      <c r="E10" s="71"/>
      <c r="F10" s="71"/>
      <c r="G10" s="71"/>
      <c r="H10" s="71"/>
      <c r="I10" s="112">
        <f>'Proj Att-H'!I151</f>
        <v>19186808.138276801</v>
      </c>
      <c r="J10" s="71"/>
      <c r="K10" s="71"/>
    </row>
    <row r="11" spans="1:11">
      <c r="A11" s="78"/>
      <c r="B11" s="71"/>
      <c r="C11" s="71"/>
      <c r="D11" s="71"/>
      <c r="E11" s="71"/>
      <c r="F11" s="71"/>
      <c r="G11" s="71"/>
      <c r="H11" s="71"/>
      <c r="I11" s="107"/>
      <c r="J11" s="71"/>
      <c r="K11" s="71"/>
    </row>
    <row r="12" spans="1:11" ht="13.8" thickBot="1">
      <c r="A12" s="78" t="s">
        <v>2</v>
      </c>
      <c r="B12" s="71" t="s">
        <v>8</v>
      </c>
      <c r="C12" s="107"/>
      <c r="D12" s="111" t="s">
        <v>9</v>
      </c>
      <c r="E12" s="107"/>
      <c r="F12" s="113" t="s">
        <v>10</v>
      </c>
      <c r="G12" s="113"/>
      <c r="H12" s="71"/>
      <c r="I12" s="107"/>
      <c r="J12" s="71"/>
      <c r="K12" s="71"/>
    </row>
    <row r="13" spans="1:11">
      <c r="A13" s="78">
        <v>2</v>
      </c>
      <c r="B13" s="71" t="s">
        <v>12</v>
      </c>
      <c r="C13" s="107" t="s">
        <v>898</v>
      </c>
      <c r="D13" s="174">
        <f>'Act Att-H'!D13</f>
        <v>101349.72917770346</v>
      </c>
      <c r="E13" s="107"/>
      <c r="F13" s="107"/>
      <c r="G13" s="114">
        <v>1</v>
      </c>
      <c r="H13" s="107"/>
      <c r="I13" s="63">
        <f>+G13*D13</f>
        <v>101349.72917770346</v>
      </c>
      <c r="J13" s="71"/>
      <c r="K13" s="71"/>
    </row>
    <row r="14" spans="1:11">
      <c r="A14" s="78">
        <v>3</v>
      </c>
      <c r="B14" s="71" t="s">
        <v>110</v>
      </c>
      <c r="C14" s="107" t="s">
        <v>899</v>
      </c>
      <c r="D14" s="174">
        <f>'Act Att-H'!D14</f>
        <v>0</v>
      </c>
      <c r="E14" s="107"/>
      <c r="F14" s="115"/>
      <c r="G14" s="114">
        <v>1</v>
      </c>
      <c r="H14" s="107"/>
      <c r="I14" s="63">
        <f>+G14*D14</f>
        <v>0</v>
      </c>
      <c r="J14" s="71"/>
      <c r="K14" s="71"/>
    </row>
    <row r="15" spans="1:11">
      <c r="A15" s="78">
        <v>4</v>
      </c>
      <c r="B15" s="2" t="s">
        <v>568</v>
      </c>
      <c r="C15" s="2"/>
      <c r="D15" s="177"/>
      <c r="E15" s="107"/>
      <c r="F15" s="115"/>
      <c r="G15" s="178"/>
      <c r="H15" s="107"/>
      <c r="I15" s="63"/>
      <c r="J15" s="71"/>
      <c r="K15" s="71"/>
    </row>
    <row r="16" spans="1:11" ht="13.8" thickBot="1">
      <c r="A16" s="78">
        <v>5</v>
      </c>
      <c r="B16" s="2" t="s">
        <v>568</v>
      </c>
      <c r="C16" s="2"/>
      <c r="D16" s="177"/>
      <c r="E16" s="107"/>
      <c r="F16" s="115"/>
      <c r="G16" s="178"/>
      <c r="H16" s="107"/>
      <c r="I16" s="64"/>
      <c r="J16" s="71"/>
      <c r="K16" s="71"/>
    </row>
    <row r="17" spans="1:11">
      <c r="A17" s="78">
        <v>6</v>
      </c>
      <c r="B17" s="71" t="s">
        <v>91</v>
      </c>
      <c r="C17" s="71"/>
      <c r="D17" s="117" t="s">
        <v>2</v>
      </c>
      <c r="E17" s="107"/>
      <c r="F17" s="107"/>
      <c r="G17" s="118"/>
      <c r="H17" s="107"/>
      <c r="I17" s="63">
        <f>SUM(I13:I16)</f>
        <v>101349.72917770346</v>
      </c>
      <c r="J17" s="71"/>
      <c r="K17" s="71"/>
    </row>
    <row r="18" spans="1:11">
      <c r="A18" s="78"/>
      <c r="B18" s="71"/>
      <c r="C18" s="71"/>
      <c r="I18" s="63"/>
      <c r="J18" s="71"/>
      <c r="K18" s="71"/>
    </row>
    <row r="19" spans="1:11">
      <c r="A19" s="78" t="s">
        <v>126</v>
      </c>
      <c r="B19" s="71" t="s">
        <v>155</v>
      </c>
      <c r="C19" s="71" t="s">
        <v>901</v>
      </c>
      <c r="I19" s="174">
        <f>'TU-TrueUp'!H58</f>
        <v>-3412355</v>
      </c>
      <c r="J19" s="71"/>
      <c r="K19" s="71"/>
    </row>
    <row r="20" spans="1:11">
      <c r="A20" s="78"/>
      <c r="B20" s="71"/>
      <c r="C20" s="71"/>
      <c r="I20" s="107"/>
      <c r="J20" s="71"/>
      <c r="K20" s="71"/>
    </row>
    <row r="21" spans="1:11" ht="13.8" thickBot="1">
      <c r="A21" s="78">
        <v>7</v>
      </c>
      <c r="B21" s="71" t="s">
        <v>13</v>
      </c>
      <c r="C21" s="71" t="s">
        <v>156</v>
      </c>
      <c r="D21" s="117"/>
      <c r="E21" s="107"/>
      <c r="F21" s="107"/>
      <c r="G21" s="107"/>
      <c r="H21" s="107"/>
      <c r="I21" s="119">
        <f>I10-I17+I19</f>
        <v>15673103.409099098</v>
      </c>
      <c r="J21" s="71"/>
      <c r="K21" s="71"/>
    </row>
    <row r="22" spans="1:11" ht="13.8" thickTop="1">
      <c r="A22" s="78"/>
      <c r="B22" s="71"/>
      <c r="C22" s="71"/>
      <c r="D22" s="117"/>
      <c r="E22" s="107"/>
      <c r="F22" s="107"/>
      <c r="G22" s="107"/>
      <c r="H22" s="107"/>
      <c r="I22" s="422"/>
      <c r="J22" s="71"/>
      <c r="K22" s="71"/>
    </row>
    <row r="23" spans="1:11">
      <c r="A23" s="78" t="s">
        <v>764</v>
      </c>
      <c r="B23" s="71" t="s">
        <v>765</v>
      </c>
      <c r="C23" s="71" t="s">
        <v>766</v>
      </c>
      <c r="D23" s="117"/>
      <c r="E23" s="107"/>
      <c r="F23" s="107"/>
      <c r="G23" s="107"/>
      <c r="H23" s="107"/>
      <c r="I23" s="120">
        <f>I21-I19</f>
        <v>19085458.409099098</v>
      </c>
      <c r="J23" s="71"/>
      <c r="K23" s="71"/>
    </row>
    <row r="24" spans="1:11">
      <c r="A24" s="78"/>
      <c r="C24" s="71"/>
      <c r="D24" s="117"/>
      <c r="E24" s="107"/>
      <c r="F24" s="107"/>
      <c r="G24" s="107"/>
      <c r="H24" s="107"/>
      <c r="J24" s="71"/>
      <c r="K24" s="71"/>
    </row>
    <row r="25" spans="1:11">
      <c r="A25" s="78"/>
      <c r="B25" s="71" t="s">
        <v>14</v>
      </c>
      <c r="C25" s="71"/>
      <c r="D25" s="107"/>
      <c r="E25" s="71"/>
      <c r="F25" s="71"/>
      <c r="G25" s="71"/>
      <c r="H25" s="71"/>
      <c r="I25" s="107"/>
      <c r="J25" s="71"/>
      <c r="K25" s="71"/>
    </row>
    <row r="26" spans="1:11">
      <c r="A26" s="78">
        <v>8</v>
      </c>
      <c r="B26" s="71" t="s">
        <v>255</v>
      </c>
      <c r="C26" s="103" t="s">
        <v>900</v>
      </c>
      <c r="D26" s="107"/>
      <c r="E26" s="71"/>
      <c r="F26" s="71"/>
      <c r="G26" s="71"/>
      <c r="H26" s="71"/>
      <c r="I26" s="174" t="e">
        <f>'P3-Divisor'!G24</f>
        <v>#DIV/0!</v>
      </c>
      <c r="J26" s="71"/>
      <c r="K26" s="71"/>
    </row>
    <row r="27" spans="1:11">
      <c r="A27" s="78">
        <v>9</v>
      </c>
      <c r="B27" s="71"/>
      <c r="C27" s="107"/>
      <c r="D27" s="107"/>
      <c r="E27" s="107"/>
      <c r="F27" s="107"/>
      <c r="G27" s="107"/>
      <c r="H27" s="107"/>
      <c r="I27" s="107"/>
      <c r="J27" s="71"/>
      <c r="K27" s="71"/>
    </row>
    <row r="28" spans="1:11">
      <c r="A28" s="78">
        <v>10</v>
      </c>
      <c r="B28" s="107" t="s">
        <v>254</v>
      </c>
      <c r="C28" s="107"/>
      <c r="D28" s="107"/>
      <c r="E28" s="107"/>
      <c r="F28" s="107"/>
      <c r="G28" s="107"/>
      <c r="H28" s="107"/>
      <c r="I28" s="107"/>
      <c r="J28" s="107"/>
      <c r="K28" s="71"/>
    </row>
    <row r="29" spans="1:11">
      <c r="A29" s="78">
        <v>11</v>
      </c>
      <c r="B29" s="71" t="s">
        <v>256</v>
      </c>
      <c r="C29" s="71"/>
      <c r="D29" s="577" t="e">
        <f>ROUND(I21/I26,2)</f>
        <v>#DIV/0!</v>
      </c>
      <c r="E29" s="71" t="s">
        <v>245</v>
      </c>
      <c r="F29" s="107"/>
      <c r="G29" s="107"/>
      <c r="H29" s="107"/>
      <c r="I29" s="107"/>
      <c r="J29" s="107"/>
      <c r="K29" s="71"/>
    </row>
    <row r="30" spans="1:11">
      <c r="A30" s="78">
        <v>12</v>
      </c>
      <c r="B30" s="71" t="s">
        <v>257</v>
      </c>
      <c r="C30" s="71" t="s">
        <v>787</v>
      </c>
      <c r="D30" s="577" t="e">
        <f>ROUND(D29/12,2)</f>
        <v>#DIV/0!</v>
      </c>
      <c r="E30" s="71" t="s">
        <v>246</v>
      </c>
      <c r="F30" s="107"/>
      <c r="G30" s="107"/>
      <c r="H30" s="107"/>
      <c r="I30" s="107"/>
      <c r="J30" s="107"/>
      <c r="K30" s="71"/>
    </row>
    <row r="31" spans="1:11">
      <c r="A31" s="78">
        <v>13</v>
      </c>
      <c r="B31" s="71" t="s">
        <v>258</v>
      </c>
      <c r="C31" s="71" t="s">
        <v>788</v>
      </c>
      <c r="D31" s="577" t="e">
        <f>ROUND(D29/52,2)</f>
        <v>#DIV/0!</v>
      </c>
      <c r="E31" s="71" t="s">
        <v>247</v>
      </c>
      <c r="F31" s="107"/>
      <c r="G31" s="107"/>
      <c r="H31" s="107"/>
      <c r="I31" s="107"/>
      <c r="J31" s="107"/>
      <c r="K31" s="71"/>
    </row>
    <row r="32" spans="1:11">
      <c r="A32" s="78">
        <v>14</v>
      </c>
      <c r="B32" s="71" t="s">
        <v>259</v>
      </c>
      <c r="C32" s="71" t="s">
        <v>248</v>
      </c>
      <c r="D32" s="578" t="e">
        <f>+D31/6</f>
        <v>#DIV/0!</v>
      </c>
      <c r="E32" s="71" t="s">
        <v>249</v>
      </c>
      <c r="F32" s="107"/>
      <c r="G32" s="107"/>
      <c r="H32" s="107"/>
      <c r="I32" s="107"/>
      <c r="J32" s="107"/>
      <c r="K32" s="71"/>
    </row>
    <row r="33" spans="1:11">
      <c r="A33" s="78">
        <v>15</v>
      </c>
      <c r="B33" s="71" t="s">
        <v>260</v>
      </c>
      <c r="C33" s="71" t="s">
        <v>250</v>
      </c>
      <c r="D33" s="578" t="e">
        <f>+D31/7</f>
        <v>#DIV/0!</v>
      </c>
      <c r="E33" s="71" t="s">
        <v>249</v>
      </c>
      <c r="F33" s="107"/>
      <c r="G33" s="107"/>
      <c r="H33" s="107"/>
      <c r="I33" s="107"/>
      <c r="J33" s="107"/>
      <c r="K33" s="71"/>
    </row>
    <row r="34" spans="1:11">
      <c r="A34" s="78">
        <v>16</v>
      </c>
      <c r="B34" s="71" t="s">
        <v>261</v>
      </c>
      <c r="C34" s="71" t="s">
        <v>251</v>
      </c>
      <c r="D34" s="577" t="e">
        <f>+D32/16*1000</f>
        <v>#DIV/0!</v>
      </c>
      <c r="E34" s="71" t="s">
        <v>890</v>
      </c>
      <c r="F34" s="107"/>
      <c r="G34" s="107"/>
      <c r="H34" s="107"/>
      <c r="I34" s="107"/>
      <c r="J34" s="107"/>
      <c r="K34" s="71"/>
    </row>
    <row r="35" spans="1:11">
      <c r="A35" s="78">
        <v>17</v>
      </c>
      <c r="B35" s="71" t="s">
        <v>262</v>
      </c>
      <c r="C35" s="71" t="s">
        <v>252</v>
      </c>
      <c r="D35" s="577" t="e">
        <f>+D33/24*1000</f>
        <v>#DIV/0!</v>
      </c>
      <c r="E35" s="71" t="s">
        <v>890</v>
      </c>
      <c r="F35" s="107"/>
      <c r="G35" s="107"/>
      <c r="H35" s="107"/>
      <c r="I35" s="107"/>
      <c r="J35" s="107"/>
      <c r="K35" s="71"/>
    </row>
    <row r="36" spans="1:11">
      <c r="B36" s="71"/>
      <c r="C36" s="71"/>
      <c r="D36" s="104"/>
      <c r="E36" s="71"/>
      <c r="F36" s="71"/>
      <c r="G36" s="71"/>
      <c r="H36" s="71"/>
      <c r="I36" s="865" t="str">
        <f>I1</f>
        <v>Projected Attachment H</v>
      </c>
      <c r="J36" s="865"/>
      <c r="K36" s="865"/>
    </row>
    <row r="37" spans="1:11">
      <c r="B37" s="71"/>
      <c r="C37" s="71"/>
      <c r="D37" s="104"/>
      <c r="E37" s="71"/>
      <c r="F37" s="71"/>
      <c r="G37" s="71"/>
      <c r="H37" s="71"/>
      <c r="I37" s="71"/>
      <c r="J37" s="864" t="s">
        <v>242</v>
      </c>
      <c r="K37" s="864"/>
    </row>
    <row r="38" spans="1:11">
      <c r="B38" s="71"/>
      <c r="C38" s="71"/>
      <c r="D38" s="104"/>
      <c r="E38" s="71"/>
      <c r="F38" s="71"/>
      <c r="G38" s="71"/>
      <c r="H38" s="71"/>
      <c r="I38" s="71"/>
      <c r="J38" s="71"/>
      <c r="K38" s="105"/>
    </row>
    <row r="39" spans="1:11">
      <c r="B39" s="104" t="s">
        <v>0</v>
      </c>
      <c r="C39" s="78" t="s">
        <v>1</v>
      </c>
      <c r="E39" s="71"/>
      <c r="F39" s="71"/>
      <c r="G39" s="71"/>
      <c r="H39" s="71"/>
      <c r="I39" s="71"/>
      <c r="J39" s="71"/>
      <c r="K39" s="121" t="str">
        <f>K4</f>
        <v>Estimated - For the 12 months ended 12/31/yyyy</v>
      </c>
    </row>
    <row r="40" spans="1:11">
      <c r="B40" s="71"/>
      <c r="C40" s="108" t="s">
        <v>3</v>
      </c>
      <c r="E40" s="107"/>
      <c r="F40" s="107"/>
      <c r="G40" s="107"/>
      <c r="H40" s="71"/>
      <c r="I40" s="71"/>
      <c r="J40" s="71"/>
      <c r="K40" s="71"/>
    </row>
    <row r="41" spans="1:11">
      <c r="B41" s="71"/>
      <c r="C41" s="107"/>
      <c r="E41" s="107"/>
      <c r="F41" s="107"/>
      <c r="G41" s="107"/>
      <c r="H41" s="71"/>
      <c r="I41" s="71"/>
      <c r="J41" s="71"/>
      <c r="K41" s="71"/>
    </row>
    <row r="42" spans="1:11">
      <c r="A42" s="78"/>
      <c r="C42" s="122" t="str">
        <f>C7</f>
        <v>Cheyenne Light, Fuel &amp; Power</v>
      </c>
      <c r="J42" s="107"/>
      <c r="K42" s="107"/>
    </row>
    <row r="43" spans="1:11">
      <c r="B43" s="71"/>
      <c r="C43" s="71"/>
      <c r="D43" s="71"/>
      <c r="E43" s="71"/>
      <c r="F43" s="71"/>
      <c r="G43" s="71"/>
      <c r="H43" s="71"/>
      <c r="J43" s="71"/>
      <c r="K43" s="71"/>
    </row>
    <row r="44" spans="1:11">
      <c r="B44" s="78" t="s">
        <v>15</v>
      </c>
      <c r="C44" s="78" t="s">
        <v>16</v>
      </c>
      <c r="D44" s="78" t="s">
        <v>17</v>
      </c>
      <c r="E44" s="107" t="s">
        <v>2</v>
      </c>
      <c r="F44" s="107"/>
      <c r="G44" s="123" t="s">
        <v>18</v>
      </c>
      <c r="H44" s="107"/>
      <c r="I44" s="124" t="s">
        <v>19</v>
      </c>
      <c r="J44" s="107"/>
      <c r="K44" s="78"/>
    </row>
    <row r="45" spans="1:11">
      <c r="B45" s="71"/>
      <c r="C45" s="125" t="s">
        <v>20</v>
      </c>
      <c r="D45" s="107"/>
      <c r="E45" s="107"/>
      <c r="F45" s="107"/>
      <c r="G45" s="78"/>
      <c r="H45" s="107"/>
      <c r="I45" s="126" t="s">
        <v>21</v>
      </c>
      <c r="J45" s="107"/>
      <c r="K45" s="78"/>
    </row>
    <row r="46" spans="1:11">
      <c r="A46" s="78" t="s">
        <v>4</v>
      </c>
      <c r="B46" s="71"/>
      <c r="C46" s="127" t="s">
        <v>22</v>
      </c>
      <c r="D46" s="126" t="s">
        <v>23</v>
      </c>
      <c r="E46" s="128"/>
      <c r="F46" s="126" t="s">
        <v>24</v>
      </c>
      <c r="H46" s="128"/>
      <c r="I46" s="78" t="s">
        <v>25</v>
      </c>
      <c r="J46" s="107"/>
      <c r="K46" s="78"/>
    </row>
    <row r="47" spans="1:11" ht="13.8" thickBot="1">
      <c r="A47" s="111" t="s">
        <v>6</v>
      </c>
      <c r="B47" s="129" t="s">
        <v>572</v>
      </c>
      <c r="C47" s="107"/>
      <c r="D47" s="107"/>
      <c r="E47" s="107"/>
      <c r="F47" s="107"/>
      <c r="G47" s="107"/>
      <c r="H47" s="107"/>
      <c r="I47" s="107"/>
      <c r="J47" s="107"/>
      <c r="K47" s="107"/>
    </row>
    <row r="48" spans="1:11">
      <c r="A48" s="78"/>
      <c r="B48" s="71" t="s">
        <v>638</v>
      </c>
      <c r="C48" s="107"/>
      <c r="D48" s="107"/>
      <c r="E48" s="107"/>
      <c r="F48" s="107"/>
      <c r="G48" s="107"/>
      <c r="H48" s="107"/>
      <c r="I48" s="107"/>
      <c r="J48" s="107"/>
      <c r="K48" s="107"/>
    </row>
    <row r="49" spans="1:11">
      <c r="A49" s="78">
        <v>1</v>
      </c>
      <c r="B49" s="71" t="s">
        <v>28</v>
      </c>
      <c r="C49" s="51" t="s">
        <v>1156</v>
      </c>
      <c r="D49" s="280">
        <f>'P1-Trans Plant'!H44</f>
        <v>178886824.50000003</v>
      </c>
      <c r="E49" s="107"/>
      <c r="F49" s="107" t="s">
        <v>11</v>
      </c>
      <c r="G49" s="131">
        <f>$I$170</f>
        <v>0.96104528227842878</v>
      </c>
      <c r="H49" s="107"/>
      <c r="I49" s="63">
        <f>+G49*D49</f>
        <v>171918338.74749428</v>
      </c>
      <c r="J49" s="107"/>
      <c r="K49" s="107"/>
    </row>
    <row r="50" spans="1:11">
      <c r="A50" s="78">
        <v>2</v>
      </c>
      <c r="B50" s="71" t="s">
        <v>30</v>
      </c>
      <c r="C50" s="71" t="s">
        <v>777</v>
      </c>
      <c r="D50" s="280">
        <f>'A4-Rate Base'!F22</f>
        <v>23781275.190000001</v>
      </c>
      <c r="E50" s="107"/>
      <c r="F50" s="107" t="s">
        <v>31</v>
      </c>
      <c r="G50" s="131">
        <f>$I$187</f>
        <v>9.1201779797052435E-2</v>
      </c>
      <c r="H50" s="107"/>
      <c r="I50" s="63">
        <f>+G50*D50</f>
        <v>2168894.6231714864</v>
      </c>
      <c r="J50" s="107"/>
      <c r="K50" s="107"/>
    </row>
    <row r="51" spans="1:11">
      <c r="A51" s="78">
        <v>3</v>
      </c>
      <c r="B51" s="71" t="s">
        <v>364</v>
      </c>
      <c r="C51" s="179" t="s">
        <v>620</v>
      </c>
      <c r="D51" s="584">
        <f>SUM(D49:D50)</f>
        <v>202668099.69000003</v>
      </c>
      <c r="E51" s="107"/>
      <c r="F51" s="107" t="s">
        <v>37</v>
      </c>
      <c r="G51" s="131">
        <f>$G$234</f>
        <v>0.20603172438633593</v>
      </c>
      <c r="H51" s="107"/>
      <c r="I51" s="184">
        <f>SUM(I49:I50)</f>
        <v>174087233.37066576</v>
      </c>
      <c r="J51" s="107"/>
      <c r="K51" s="133"/>
    </row>
    <row r="52" spans="1:11">
      <c r="B52" s="71"/>
      <c r="C52" s="107"/>
      <c r="D52" s="107"/>
      <c r="E52" s="107"/>
      <c r="F52" s="107"/>
      <c r="G52" s="131"/>
      <c r="H52" s="107"/>
      <c r="I52" s="59"/>
      <c r="J52" s="107"/>
      <c r="K52" s="133"/>
    </row>
    <row r="53" spans="1:11">
      <c r="B53" s="71" t="s">
        <v>639</v>
      </c>
      <c r="C53" s="107"/>
      <c r="D53" s="107"/>
      <c r="E53" s="107"/>
      <c r="F53" s="107"/>
      <c r="G53" s="131"/>
      <c r="H53" s="107"/>
      <c r="I53" s="107"/>
      <c r="J53" s="107"/>
      <c r="K53" s="107"/>
    </row>
    <row r="54" spans="1:11">
      <c r="A54" s="78">
        <v>4</v>
      </c>
      <c r="B54" s="134" t="str">
        <f>+B49</f>
        <v xml:space="preserve">  Transmission</v>
      </c>
      <c r="C54" s="51" t="s">
        <v>1157</v>
      </c>
      <c r="D54" s="280">
        <f>'P1-Trans Plant'!J44</f>
        <v>17162563.318924263</v>
      </c>
      <c r="E54" s="107"/>
      <c r="F54" s="115" t="str">
        <f>+F49</f>
        <v>TP</v>
      </c>
      <c r="G54" s="131">
        <f>$I$170</f>
        <v>0.96104528227842878</v>
      </c>
      <c r="H54" s="107"/>
      <c r="I54" s="63">
        <f>+G54*D54</f>
        <v>16494000.509456975</v>
      </c>
      <c r="J54" s="107"/>
      <c r="K54" s="107"/>
    </row>
    <row r="55" spans="1:11">
      <c r="A55" s="78">
        <v>5</v>
      </c>
      <c r="B55" s="134" t="str">
        <f>+B50</f>
        <v xml:space="preserve">  General &amp; Intangible</v>
      </c>
      <c r="C55" s="71" t="s">
        <v>778</v>
      </c>
      <c r="D55" s="280">
        <f>'A4-Rate Base'!H45</f>
        <v>7301423.8117402885</v>
      </c>
      <c r="E55" s="107"/>
      <c r="F55" s="115" t="str">
        <f>+F50</f>
        <v>W/S</v>
      </c>
      <c r="G55" s="131">
        <f>$I$187</f>
        <v>9.1201779797052435E-2</v>
      </c>
      <c r="H55" s="107"/>
      <c r="I55" s="63">
        <f>+G55*D55</f>
        <v>665902.846683293</v>
      </c>
      <c r="J55" s="107"/>
      <c r="K55" s="107"/>
    </row>
    <row r="56" spans="1:11">
      <c r="A56" s="78">
        <v>6</v>
      </c>
      <c r="B56" s="71" t="s">
        <v>366</v>
      </c>
      <c r="C56" s="179" t="s">
        <v>620</v>
      </c>
      <c r="D56" s="584">
        <f>SUM(D54:D55)</f>
        <v>24463987.13066455</v>
      </c>
      <c r="E56" s="107"/>
      <c r="F56" s="107"/>
      <c r="G56" s="131"/>
      <c r="H56" s="107"/>
      <c r="I56" s="184">
        <f>SUM(I54:I55)</f>
        <v>17159903.356140267</v>
      </c>
      <c r="J56" s="107"/>
      <c r="K56" s="107"/>
    </row>
    <row r="57" spans="1:11">
      <c r="A57" s="78"/>
      <c r="C57" s="107" t="s">
        <v>2</v>
      </c>
      <c r="E57" s="107"/>
      <c r="F57" s="107"/>
      <c r="G57" s="131"/>
      <c r="H57" s="107"/>
      <c r="J57" s="107"/>
      <c r="K57" s="133"/>
    </row>
    <row r="58" spans="1:11">
      <c r="A58" s="78"/>
      <c r="B58" s="71" t="s">
        <v>141</v>
      </c>
      <c r="C58" s="107"/>
      <c r="D58" s="107"/>
      <c r="E58" s="107"/>
      <c r="F58" s="107"/>
      <c r="G58" s="131"/>
      <c r="H58" s="107"/>
      <c r="I58" s="107"/>
      <c r="J58" s="107"/>
      <c r="K58" s="107"/>
    </row>
    <row r="59" spans="1:11">
      <c r="A59" s="78">
        <v>7</v>
      </c>
      <c r="B59" s="134" t="str">
        <f>+B54</f>
        <v xml:space="preserve">  Transmission</v>
      </c>
      <c r="C59" s="52" t="s">
        <v>623</v>
      </c>
      <c r="D59" s="585">
        <f>D49-D54</f>
        <v>161724261.18107575</v>
      </c>
      <c r="E59" s="107"/>
      <c r="F59" s="107"/>
      <c r="G59" s="131"/>
      <c r="H59" s="107"/>
      <c r="I59" s="63">
        <f>I49-I54</f>
        <v>155424338.23803732</v>
      </c>
      <c r="J59" s="107"/>
      <c r="K59" s="133"/>
    </row>
    <row r="60" spans="1:11">
      <c r="A60" s="78">
        <v>8</v>
      </c>
      <c r="B60" s="134" t="str">
        <f>+B55</f>
        <v xml:space="preserve">  General &amp; Intangible</v>
      </c>
      <c r="C60" s="52" t="s">
        <v>622</v>
      </c>
      <c r="D60" s="585">
        <f>D50-D55</f>
        <v>16479851.378259713</v>
      </c>
      <c r="E60" s="107"/>
      <c r="F60" s="107"/>
      <c r="G60" s="131"/>
      <c r="H60" s="107"/>
      <c r="I60" s="63">
        <f>I50-I55</f>
        <v>1502991.7764881933</v>
      </c>
      <c r="J60" s="107"/>
      <c r="K60" s="133"/>
    </row>
    <row r="61" spans="1:11">
      <c r="A61" s="78">
        <v>9</v>
      </c>
      <c r="B61" s="71" t="s">
        <v>368</v>
      </c>
      <c r="C61" s="179" t="s">
        <v>621</v>
      </c>
      <c r="D61" s="586">
        <f>SUM(D59:D60)</f>
        <v>178204112.55933547</v>
      </c>
      <c r="E61" s="107"/>
      <c r="F61" s="107" t="s">
        <v>34</v>
      </c>
      <c r="G61" s="131">
        <f>$G$242</f>
        <v>0.23997926579818157</v>
      </c>
      <c r="H61" s="107"/>
      <c r="I61" s="184">
        <f>SUM(I59:I60)</f>
        <v>156927330.0145255</v>
      </c>
      <c r="J61" s="107"/>
      <c r="K61" s="107"/>
    </row>
    <row r="62" spans="1:11" s="2" customFormat="1">
      <c r="A62" s="53"/>
      <c r="B62" s="54"/>
      <c r="C62" s="52"/>
      <c r="D62" s="55"/>
      <c r="E62" s="51"/>
      <c r="F62" s="51"/>
      <c r="G62" s="131"/>
      <c r="H62" s="51"/>
      <c r="I62" s="63"/>
      <c r="J62" s="52"/>
      <c r="K62" s="52"/>
    </row>
    <row r="63" spans="1:11" s="2" customFormat="1">
      <c r="A63" s="53">
        <v>10</v>
      </c>
      <c r="B63" s="57" t="s">
        <v>370</v>
      </c>
      <c r="C63" s="58" t="s">
        <v>699</v>
      </c>
      <c r="D63" s="280">
        <f>'A4-Rate Base'!H23</f>
        <v>0</v>
      </c>
      <c r="E63" s="58"/>
      <c r="F63" s="73"/>
      <c r="G63" s="650"/>
      <c r="H63" s="58"/>
      <c r="I63" s="60">
        <f>+G63*D63</f>
        <v>0</v>
      </c>
      <c r="J63" s="52"/>
      <c r="K63" s="52"/>
    </row>
    <row r="64" spans="1:11" s="2" customFormat="1">
      <c r="A64" s="53"/>
      <c r="B64" s="61"/>
      <c r="C64" s="52"/>
      <c r="D64" s="55"/>
      <c r="E64" s="52"/>
      <c r="F64" s="61"/>
      <c r="G64" s="131"/>
      <c r="H64" s="52"/>
      <c r="I64" s="55"/>
      <c r="J64" s="52"/>
      <c r="K64" s="62"/>
    </row>
    <row r="65" spans="1:11">
      <c r="A65" s="78"/>
      <c r="B65" s="71" t="s">
        <v>463</v>
      </c>
      <c r="C65" s="107"/>
      <c r="D65" s="107"/>
      <c r="E65" s="107"/>
      <c r="F65" s="107"/>
      <c r="G65" s="131"/>
      <c r="H65" s="107"/>
      <c r="I65" s="107"/>
      <c r="J65" s="107"/>
      <c r="K65" s="107"/>
    </row>
    <row r="66" spans="1:11">
      <c r="A66" s="53">
        <v>11</v>
      </c>
      <c r="B66" s="134" t="s">
        <v>1062</v>
      </c>
      <c r="C66" s="71" t="s">
        <v>1007</v>
      </c>
      <c r="D66" s="280">
        <f>'P5-ADIT'!J72</f>
        <v>0</v>
      </c>
      <c r="E66" s="52"/>
      <c r="F66" s="52" t="s">
        <v>37</v>
      </c>
      <c r="G66" s="131">
        <f>$G$234</f>
        <v>0.20603172438633593</v>
      </c>
      <c r="H66" s="51"/>
      <c r="I66" s="55">
        <f>D66*G66</f>
        <v>0</v>
      </c>
      <c r="J66" s="107"/>
      <c r="K66" s="133"/>
    </row>
    <row r="67" spans="1:11">
      <c r="A67" s="53">
        <v>12</v>
      </c>
      <c r="B67" s="134" t="s">
        <v>1069</v>
      </c>
      <c r="C67" s="71" t="s">
        <v>1008</v>
      </c>
      <c r="D67" s="280">
        <f>'P5-ADIT'!J106</f>
        <v>-17485126.849703245</v>
      </c>
      <c r="E67" s="52"/>
      <c r="F67" s="52" t="s">
        <v>11</v>
      </c>
      <c r="G67" s="131">
        <f>$I$170</f>
        <v>0.96104528227842878</v>
      </c>
      <c r="H67" s="51"/>
      <c r="I67" s="55">
        <f>D67*G67</f>
        <v>-16803998.66894719</v>
      </c>
      <c r="J67" s="107"/>
      <c r="K67" s="133"/>
    </row>
    <row r="68" spans="1:11">
      <c r="A68" s="53">
        <v>13</v>
      </c>
      <c r="B68" s="134" t="s">
        <v>1070</v>
      </c>
      <c r="C68" s="71" t="s">
        <v>1009</v>
      </c>
      <c r="D68" s="280">
        <f>'P5-ADIT'!J140</f>
        <v>-3516982.5</v>
      </c>
      <c r="E68" s="52"/>
      <c r="F68" s="52" t="s">
        <v>37</v>
      </c>
      <c r="G68" s="131">
        <f>$G$234</f>
        <v>0.20603172438633593</v>
      </c>
      <c r="H68" s="51"/>
      <c r="I68" s="55">
        <f>D68*G68</f>
        <v>-724609.96911156666</v>
      </c>
      <c r="J68" s="107"/>
      <c r="K68" s="133"/>
    </row>
    <row r="69" spans="1:11">
      <c r="A69" s="53">
        <v>14</v>
      </c>
      <c r="B69" s="54" t="s">
        <v>136</v>
      </c>
      <c r="C69" s="71" t="s">
        <v>992</v>
      </c>
      <c r="D69" s="280">
        <f>'P5-ADIT'!J28</f>
        <v>20804806.141200002</v>
      </c>
      <c r="E69" s="52"/>
      <c r="F69" s="52" t="s">
        <v>37</v>
      </c>
      <c r="G69" s="131">
        <f>$G$234</f>
        <v>0.20603172438633593</v>
      </c>
      <c r="H69" s="51"/>
      <c r="I69" s="63">
        <f>D69*G69</f>
        <v>4286450.0847948678</v>
      </c>
      <c r="J69" s="107"/>
      <c r="K69" s="133"/>
    </row>
    <row r="70" spans="1:11">
      <c r="A70" s="53" t="s">
        <v>994</v>
      </c>
      <c r="B70" s="54" t="s">
        <v>995</v>
      </c>
      <c r="C70" s="71" t="s">
        <v>993</v>
      </c>
      <c r="D70" s="280">
        <f>'P5-ADIT'!J35</f>
        <v>543579.37550330372</v>
      </c>
      <c r="E70" s="52"/>
      <c r="F70" s="52"/>
      <c r="G70" s="131"/>
      <c r="H70" s="51"/>
      <c r="I70" s="63">
        <f>D70</f>
        <v>543579.37550330372</v>
      </c>
      <c r="J70" s="107"/>
      <c r="K70" s="133"/>
    </row>
    <row r="71" spans="1:11">
      <c r="A71" s="53">
        <v>15</v>
      </c>
      <c r="B71" s="61" t="s">
        <v>983</v>
      </c>
      <c r="C71" s="71"/>
      <c r="D71" s="585">
        <v>0</v>
      </c>
      <c r="E71" s="52"/>
      <c r="F71" s="52"/>
      <c r="G71" s="131"/>
      <c r="H71" s="51"/>
      <c r="I71" s="59">
        <f>D71*G71</f>
        <v>0</v>
      </c>
      <c r="J71" s="107"/>
      <c r="K71" s="133"/>
    </row>
    <row r="72" spans="1:11">
      <c r="A72" s="53">
        <v>16</v>
      </c>
      <c r="B72" s="57" t="s">
        <v>371</v>
      </c>
      <c r="C72" s="71" t="s">
        <v>1067</v>
      </c>
      <c r="D72" s="280">
        <f>'A4-Rate Base'!C69</f>
        <v>0</v>
      </c>
      <c r="E72" s="58"/>
      <c r="F72" s="73"/>
      <c r="G72" s="650"/>
      <c r="H72" s="58"/>
      <c r="I72" s="60">
        <f>D72*G72</f>
        <v>0</v>
      </c>
      <c r="J72" s="107"/>
      <c r="K72" s="133"/>
    </row>
    <row r="73" spans="1:11">
      <c r="A73" s="53">
        <v>17</v>
      </c>
      <c r="B73" s="57" t="s">
        <v>372</v>
      </c>
      <c r="C73" s="71" t="s">
        <v>1068</v>
      </c>
      <c r="D73" s="280">
        <f>'A4-Rate Base'!D69</f>
        <v>0</v>
      </c>
      <c r="E73" s="58"/>
      <c r="F73" s="73"/>
      <c r="G73" s="650"/>
      <c r="H73" s="58"/>
      <c r="I73" s="60">
        <f>D73*G73</f>
        <v>0</v>
      </c>
      <c r="J73" s="107"/>
      <c r="K73" s="133"/>
    </row>
    <row r="74" spans="1:11">
      <c r="A74" s="53">
        <v>18</v>
      </c>
      <c r="B74" s="57" t="s">
        <v>374</v>
      </c>
      <c r="C74" s="71" t="s">
        <v>619</v>
      </c>
      <c r="D74" s="280">
        <f>'Act Att-H'!D78</f>
        <v>0</v>
      </c>
      <c r="E74" s="58"/>
      <c r="F74" s="58"/>
      <c r="G74" s="131"/>
      <c r="H74" s="58"/>
      <c r="I74" s="60">
        <f t="shared" ref="I74" si="0">D74</f>
        <v>0</v>
      </c>
      <c r="J74" s="107"/>
      <c r="K74" s="133"/>
    </row>
    <row r="75" spans="1:11">
      <c r="A75" s="53">
        <v>19</v>
      </c>
      <c r="B75" s="134" t="s">
        <v>137</v>
      </c>
      <c r="C75" s="71" t="s">
        <v>618</v>
      </c>
      <c r="D75" s="280">
        <f>'Act Att-H'!D79</f>
        <v>233712.67499999999</v>
      </c>
      <c r="E75" s="107"/>
      <c r="F75" s="52" t="s">
        <v>37</v>
      </c>
      <c r="G75" s="131">
        <f>$G$234</f>
        <v>0.20603172438633593</v>
      </c>
      <c r="H75" s="107"/>
      <c r="I75" s="60">
        <f t="shared" ref="I75" si="1">D75*G75</f>
        <v>48152.225441193303</v>
      </c>
      <c r="J75" s="107"/>
      <c r="K75" s="133"/>
    </row>
    <row r="76" spans="1:11" ht="13.8" thickBot="1">
      <c r="A76" s="78">
        <v>20</v>
      </c>
      <c r="B76" s="134" t="s">
        <v>1319</v>
      </c>
      <c r="C76" s="71" t="s">
        <v>1320</v>
      </c>
      <c r="D76" s="280">
        <f>'P5-ADIT'!J175</f>
        <v>-2391998.7570727784</v>
      </c>
      <c r="E76" s="107"/>
      <c r="F76" s="107"/>
      <c r="G76" s="107"/>
      <c r="H76" s="107"/>
      <c r="I76" s="64">
        <f>D76</f>
        <v>-2391998.7570727784</v>
      </c>
      <c r="J76" s="107"/>
      <c r="K76" s="133"/>
    </row>
    <row r="77" spans="1:11">
      <c r="A77" s="78">
        <v>21</v>
      </c>
      <c r="B77" s="71" t="s">
        <v>380</v>
      </c>
      <c r="C77" s="179" t="s">
        <v>1045</v>
      </c>
      <c r="D77" s="584">
        <f>SUM(D66:D76)</f>
        <v>-1812009.9150727172</v>
      </c>
      <c r="E77" s="107"/>
      <c r="F77" s="107"/>
      <c r="G77" s="131"/>
      <c r="H77" s="107"/>
      <c r="I77" s="63">
        <f>SUM(I66:I76)</f>
        <v>-15042425.709392169</v>
      </c>
      <c r="J77" s="107"/>
      <c r="K77" s="107"/>
    </row>
    <row r="78" spans="1:11">
      <c r="A78" s="78"/>
      <c r="C78" s="107"/>
      <c r="E78" s="107"/>
      <c r="F78" s="107"/>
      <c r="G78" s="131"/>
      <c r="H78" s="107"/>
      <c r="J78" s="107"/>
      <c r="K78" s="133"/>
    </row>
    <row r="79" spans="1:11">
      <c r="A79" s="78">
        <v>22</v>
      </c>
      <c r="B79" s="71" t="s">
        <v>35</v>
      </c>
      <c r="C79" s="71" t="s">
        <v>779</v>
      </c>
      <c r="D79" s="280">
        <f>'A4-Rate Base'!I22</f>
        <v>318000</v>
      </c>
      <c r="E79" s="107"/>
      <c r="F79" s="115" t="str">
        <f>+F54</f>
        <v>TP</v>
      </c>
      <c r="G79" s="131">
        <f>$I$170</f>
        <v>0.96104528227842878</v>
      </c>
      <c r="H79" s="107"/>
      <c r="I79" s="63">
        <f>+G79*D79</f>
        <v>305612.39976454037</v>
      </c>
      <c r="J79" s="107"/>
      <c r="K79" s="107"/>
    </row>
    <row r="80" spans="1:11">
      <c r="A80" s="78"/>
      <c r="B80" s="71"/>
      <c r="C80" s="107"/>
      <c r="D80" s="107"/>
      <c r="E80" s="107"/>
      <c r="F80" s="107"/>
      <c r="G80" s="131"/>
      <c r="H80" s="107"/>
      <c r="I80" s="107"/>
      <c r="J80" s="107"/>
      <c r="K80" s="107"/>
    </row>
    <row r="81" spans="1:11">
      <c r="A81" s="78"/>
      <c r="B81" s="71" t="s">
        <v>142</v>
      </c>
      <c r="C81" s="52"/>
      <c r="D81" s="107"/>
      <c r="E81" s="107"/>
      <c r="F81" s="107"/>
      <c r="G81" s="131"/>
      <c r="H81" s="107"/>
      <c r="I81" s="107"/>
      <c r="J81" s="107"/>
      <c r="K81" s="107"/>
    </row>
    <row r="82" spans="1:11">
      <c r="A82" s="78">
        <v>23</v>
      </c>
      <c r="B82" s="71" t="s">
        <v>101</v>
      </c>
      <c r="C82" s="61" t="s">
        <v>624</v>
      </c>
      <c r="D82" s="585">
        <f>D112/8</f>
        <v>2733840.7600401444</v>
      </c>
      <c r="E82" s="107"/>
      <c r="F82" s="107"/>
      <c r="G82" s="131"/>
      <c r="H82" s="107"/>
      <c r="I82" s="63">
        <f>I112/8</f>
        <v>402500.94532747526</v>
      </c>
      <c r="J82" s="71"/>
      <c r="K82" s="133"/>
    </row>
    <row r="83" spans="1:11">
      <c r="A83" s="78">
        <v>24</v>
      </c>
      <c r="B83" s="71" t="s">
        <v>143</v>
      </c>
      <c r="C83" s="69" t="s">
        <v>972</v>
      </c>
      <c r="D83" s="280">
        <f>'A4-Rate Base'!F107</f>
        <v>74774.982049463768</v>
      </c>
      <c r="E83" s="107"/>
      <c r="F83" s="107"/>
      <c r="G83" s="131"/>
      <c r="H83" s="107"/>
      <c r="I83" s="63">
        <f>D83</f>
        <v>74774.982049463768</v>
      </c>
      <c r="J83" s="107" t="s">
        <v>2</v>
      </c>
      <c r="K83" s="133"/>
    </row>
    <row r="84" spans="1:11" ht="13.8" thickBot="1">
      <c r="A84" s="78">
        <v>25</v>
      </c>
      <c r="B84" s="71" t="s">
        <v>138</v>
      </c>
      <c r="C84" s="51" t="s">
        <v>1060</v>
      </c>
      <c r="D84" s="280">
        <f>'A8-Prepmts'!H33</f>
        <v>897819.49584029324</v>
      </c>
      <c r="E84" s="107"/>
      <c r="F84" s="107"/>
      <c r="G84" s="131"/>
      <c r="H84" s="107"/>
      <c r="I84" s="64">
        <f>D84</f>
        <v>897819.49584029324</v>
      </c>
      <c r="J84" s="107"/>
      <c r="K84" s="133"/>
    </row>
    <row r="85" spans="1:11">
      <c r="A85" s="78">
        <v>26</v>
      </c>
      <c r="B85" s="71" t="s">
        <v>378</v>
      </c>
      <c r="C85" s="52"/>
      <c r="D85" s="584">
        <f>D82+D83+D84</f>
        <v>3706435.2379299016</v>
      </c>
      <c r="E85" s="71"/>
      <c r="F85" s="71"/>
      <c r="G85" s="71"/>
      <c r="H85" s="71"/>
      <c r="I85" s="63">
        <f>I82+I83+I84</f>
        <v>1375095.4232172323</v>
      </c>
      <c r="J85" s="71"/>
      <c r="K85" s="71"/>
    </row>
    <row r="86" spans="1:11" ht="13.8" thickBot="1">
      <c r="C86" s="107"/>
      <c r="E86" s="107"/>
      <c r="F86" s="107"/>
      <c r="G86" s="107"/>
      <c r="H86" s="107"/>
      <c r="I86" s="135"/>
      <c r="J86" s="107"/>
      <c r="K86" s="107"/>
    </row>
    <row r="87" spans="1:11" ht="13.8" thickBot="1">
      <c r="A87" s="78">
        <v>27</v>
      </c>
      <c r="B87" s="71" t="s">
        <v>569</v>
      </c>
      <c r="C87" s="107"/>
      <c r="D87" s="70">
        <f>+D85+D79+D77+D61</f>
        <v>180416537.88219264</v>
      </c>
      <c r="E87" s="107"/>
      <c r="F87" s="107"/>
      <c r="G87" s="133"/>
      <c r="H87" s="107"/>
      <c r="I87" s="70">
        <f>+I85+I79+I77+I61</f>
        <v>143565612.12811512</v>
      </c>
      <c r="J87" s="107"/>
      <c r="K87" s="133"/>
    </row>
    <row r="88" spans="1:11" ht="13.8" thickTop="1">
      <c r="B88" s="71"/>
      <c r="C88" s="71"/>
      <c r="D88" s="104"/>
      <c r="E88" s="71"/>
      <c r="F88" s="71"/>
      <c r="G88" s="71"/>
      <c r="H88" s="71"/>
      <c r="I88" s="105"/>
      <c r="J88" s="105"/>
      <c r="K88" s="105"/>
    </row>
    <row r="89" spans="1:11">
      <c r="B89" s="71"/>
      <c r="C89" s="71"/>
      <c r="D89" s="104"/>
      <c r="E89" s="71"/>
      <c r="F89" s="71"/>
      <c r="G89" s="71"/>
      <c r="H89" s="71"/>
      <c r="I89" s="865" t="str">
        <f>I1</f>
        <v>Projected Attachment H</v>
      </c>
      <c r="J89" s="865"/>
      <c r="K89" s="865"/>
    </row>
    <row r="90" spans="1:11">
      <c r="B90" s="71"/>
      <c r="C90" s="71"/>
      <c r="D90" s="104"/>
      <c r="E90" s="71"/>
      <c r="F90" s="71"/>
      <c r="G90" s="71"/>
      <c r="H90" s="71"/>
      <c r="I90" s="71"/>
      <c r="J90" s="864" t="s">
        <v>243</v>
      </c>
      <c r="K90" s="864"/>
    </row>
    <row r="91" spans="1:11">
      <c r="B91" s="71"/>
      <c r="C91" s="71"/>
      <c r="D91" s="104"/>
      <c r="E91" s="71"/>
      <c r="F91" s="71"/>
      <c r="G91" s="71"/>
      <c r="H91" s="71"/>
      <c r="I91" s="71"/>
      <c r="J91" s="71"/>
      <c r="K91" s="105"/>
    </row>
    <row r="92" spans="1:11">
      <c r="B92" s="104" t="s">
        <v>0</v>
      </c>
      <c r="C92" s="78" t="s">
        <v>1</v>
      </c>
      <c r="E92" s="71"/>
      <c r="F92" s="71"/>
      <c r="G92" s="71"/>
      <c r="H92" s="71"/>
      <c r="I92" s="71"/>
      <c r="J92" s="71"/>
      <c r="K92" s="121" t="str">
        <f>K4</f>
        <v>Estimated - For the 12 months ended 12/31/yyyy</v>
      </c>
    </row>
    <row r="93" spans="1:11">
      <c r="B93" s="71"/>
      <c r="C93" s="108" t="s">
        <v>3</v>
      </c>
      <c r="E93" s="107"/>
      <c r="F93" s="107"/>
      <c r="G93" s="107"/>
      <c r="H93" s="71"/>
      <c r="I93" s="71"/>
      <c r="J93" s="71"/>
      <c r="K93" s="71"/>
    </row>
    <row r="94" spans="1:11">
      <c r="B94" s="71"/>
      <c r="C94" s="107"/>
      <c r="E94" s="107"/>
      <c r="F94" s="107"/>
      <c r="G94" s="107"/>
      <c r="H94" s="71"/>
      <c r="I94" s="71"/>
      <c r="J94" s="71"/>
      <c r="K94" s="71"/>
    </row>
    <row r="95" spans="1:11">
      <c r="A95" s="78"/>
      <c r="C95" s="122" t="str">
        <f>C7</f>
        <v>Cheyenne Light, Fuel &amp; Power</v>
      </c>
      <c r="J95" s="107"/>
      <c r="K95" s="107"/>
    </row>
    <row r="96" spans="1:11">
      <c r="A96" s="78"/>
      <c r="D96" s="136"/>
      <c r="J96" s="107"/>
      <c r="K96" s="107"/>
    </row>
    <row r="97" spans="1:11">
      <c r="A97" s="78"/>
      <c r="B97" s="78" t="s">
        <v>15</v>
      </c>
      <c r="C97" s="78" t="s">
        <v>16</v>
      </c>
      <c r="D97" s="78" t="s">
        <v>17</v>
      </c>
      <c r="E97" s="107" t="s">
        <v>2</v>
      </c>
      <c r="F97" s="107"/>
      <c r="G97" s="123" t="s">
        <v>18</v>
      </c>
      <c r="H97" s="107"/>
      <c r="I97" s="124" t="s">
        <v>19</v>
      </c>
      <c r="J97" s="107"/>
      <c r="K97" s="107"/>
    </row>
    <row r="98" spans="1:11">
      <c r="A98" s="78" t="s">
        <v>4</v>
      </c>
      <c r="B98" s="71"/>
      <c r="C98" s="125" t="s">
        <v>20</v>
      </c>
      <c r="D98" s="107"/>
      <c r="E98" s="107"/>
      <c r="F98" s="107"/>
      <c r="G98" s="78"/>
      <c r="H98" s="107"/>
      <c r="I98" s="126" t="s">
        <v>21</v>
      </c>
      <c r="J98" s="107"/>
      <c r="K98" s="126"/>
    </row>
    <row r="99" spans="1:11" ht="13.8" thickBot="1">
      <c r="A99" s="111" t="s">
        <v>6</v>
      </c>
      <c r="B99" s="71"/>
      <c r="C99" s="127" t="s">
        <v>22</v>
      </c>
      <c r="D99" s="126" t="s">
        <v>23</v>
      </c>
      <c r="E99" s="128"/>
      <c r="F99" s="126" t="s">
        <v>24</v>
      </c>
      <c r="H99" s="128"/>
      <c r="I99" s="78" t="s">
        <v>25</v>
      </c>
      <c r="J99" s="107"/>
      <c r="K99" s="126"/>
    </row>
    <row r="100" spans="1:11">
      <c r="A100" s="78"/>
      <c r="B100" s="71" t="s">
        <v>146</v>
      </c>
      <c r="C100" s="107"/>
      <c r="D100" s="107"/>
      <c r="E100" s="107"/>
      <c r="F100" s="107"/>
      <c r="G100" s="107"/>
      <c r="H100" s="107"/>
      <c r="I100" s="107"/>
      <c r="J100" s="107"/>
      <c r="K100" s="107"/>
    </row>
    <row r="101" spans="1:11">
      <c r="A101" s="78">
        <v>1</v>
      </c>
      <c r="B101" s="71" t="s">
        <v>38</v>
      </c>
      <c r="C101" s="71" t="s">
        <v>625</v>
      </c>
      <c r="D101" s="280">
        <f>'P2-Exp. &amp; Rev. Credits'!F16</f>
        <v>33864753.328390785</v>
      </c>
      <c r="E101" s="107"/>
      <c r="F101" s="107" t="s">
        <v>36</v>
      </c>
      <c r="G101" s="131">
        <f>$I$179</f>
        <v>0.94867300764479601</v>
      </c>
      <c r="H101" s="107"/>
      <c r="I101" s="63">
        <f>+G101*D101</f>
        <v>32126577.393193603</v>
      </c>
      <c r="J101" s="71"/>
      <c r="K101" s="107"/>
    </row>
    <row r="102" spans="1:11">
      <c r="A102" s="78">
        <v>2</v>
      </c>
      <c r="B102" s="71" t="s">
        <v>144</v>
      </c>
      <c r="C102" s="71" t="s">
        <v>626</v>
      </c>
      <c r="D102" s="280">
        <f>'P2-Exp. &amp; Rev. Credits'!F17</f>
        <v>532480.75261843787</v>
      </c>
      <c r="E102" s="107"/>
      <c r="F102" s="107" t="s">
        <v>36</v>
      </c>
      <c r="G102" s="131">
        <f>$I$179</f>
        <v>0.94867300764479601</v>
      </c>
      <c r="H102" s="107"/>
      <c r="I102" s="55">
        <f t="shared" ref="I102:I111" si="2">+G102*D102</f>
        <v>505150.11709949805</v>
      </c>
      <c r="J102" s="71"/>
      <c r="K102" s="107"/>
    </row>
    <row r="103" spans="1:11">
      <c r="A103" s="78" t="s">
        <v>145</v>
      </c>
      <c r="B103" s="71" t="s">
        <v>39</v>
      </c>
      <c r="C103" s="71" t="s">
        <v>627</v>
      </c>
      <c r="D103" s="280">
        <f>'P2-Exp. &amp; Rev. Credits'!F18</f>
        <v>31903235.217030462</v>
      </c>
      <c r="E103" s="107"/>
      <c r="F103" s="107" t="s">
        <v>36</v>
      </c>
      <c r="G103" s="131">
        <f>$I$179</f>
        <v>0.94867300764479601</v>
      </c>
      <c r="H103" s="107"/>
      <c r="I103" s="55">
        <f t="shared" si="2"/>
        <v>30265738.106939666</v>
      </c>
      <c r="J103" s="71"/>
      <c r="K103" s="107"/>
    </row>
    <row r="104" spans="1:11">
      <c r="A104" s="78">
        <v>3</v>
      </c>
      <c r="B104" s="71" t="s">
        <v>40</v>
      </c>
      <c r="C104" s="71" t="s">
        <v>628</v>
      </c>
      <c r="D104" s="280">
        <f>'P2-Exp. &amp; Rev. Credits'!F19</f>
        <v>21890692.450056076</v>
      </c>
      <c r="E104" s="107"/>
      <c r="F104" s="107" t="s">
        <v>31</v>
      </c>
      <c r="G104" s="131">
        <f>$I$187</f>
        <v>9.1201779797052435E-2</v>
      </c>
      <c r="H104" s="107"/>
      <c r="I104" s="63">
        <f t="shared" si="2"/>
        <v>1996470.1124350126</v>
      </c>
      <c r="J104" s="107"/>
      <c r="K104" s="107" t="s">
        <v>2</v>
      </c>
    </row>
    <row r="105" spans="1:11">
      <c r="A105" s="78">
        <v>4</v>
      </c>
      <c r="B105" s="71" t="s">
        <v>1164</v>
      </c>
      <c r="C105" s="71"/>
      <c r="D105" s="107"/>
      <c r="E105" s="107"/>
      <c r="F105" s="115"/>
      <c r="G105" s="131"/>
      <c r="H105" s="107"/>
      <c r="I105" s="55"/>
      <c r="J105" s="107"/>
      <c r="K105" s="107"/>
    </row>
    <row r="106" spans="1:11">
      <c r="A106" s="78">
        <v>5</v>
      </c>
      <c r="B106" s="71" t="s">
        <v>640</v>
      </c>
      <c r="C106" s="71" t="s">
        <v>629</v>
      </c>
      <c r="D106" s="280">
        <f>'P2-Exp. &amp; Rev. Credits'!F21</f>
        <v>1091953.4220941809</v>
      </c>
      <c r="E106" s="107"/>
      <c r="F106" s="115">
        <f>+F105</f>
        <v>0</v>
      </c>
      <c r="G106" s="131">
        <f>$I$187</f>
        <v>9.1201779797052435E-2</v>
      </c>
      <c r="H106" s="107"/>
      <c r="I106" s="55">
        <f t="shared" si="2"/>
        <v>99588.095550471335</v>
      </c>
      <c r="J106" s="107"/>
      <c r="K106" s="107"/>
    </row>
    <row r="107" spans="1:11">
      <c r="A107" s="78" t="s">
        <v>102</v>
      </c>
      <c r="B107" s="71" t="s">
        <v>641</v>
      </c>
      <c r="C107" s="71" t="s">
        <v>630</v>
      </c>
      <c r="D107" s="280">
        <f>'P2-Exp. &amp; Rev. Credits'!F22</f>
        <v>0</v>
      </c>
      <c r="E107" s="107"/>
      <c r="F107" s="137" t="str">
        <f>+F101</f>
        <v>TE</v>
      </c>
      <c r="G107" s="131">
        <f>$I$179</f>
        <v>0.94867300764479601</v>
      </c>
      <c r="H107" s="107"/>
      <c r="I107" s="55">
        <f>+G107*D107</f>
        <v>0</v>
      </c>
      <c r="J107" s="107"/>
      <c r="K107" s="107"/>
    </row>
    <row r="108" spans="1:11">
      <c r="A108" s="78" t="s">
        <v>149</v>
      </c>
      <c r="B108" s="71" t="s">
        <v>921</v>
      </c>
      <c r="C108" s="71" t="s">
        <v>631</v>
      </c>
      <c r="D108" s="280">
        <f>'P2-Exp. &amp; Rev. Credits'!F23</f>
        <v>320689</v>
      </c>
      <c r="E108" s="107"/>
      <c r="F108" s="115" t="s">
        <v>31</v>
      </c>
      <c r="G108" s="131">
        <f>$I$187</f>
        <v>9.1201779797052435E-2</v>
      </c>
      <c r="H108" s="107"/>
      <c r="I108" s="60">
        <f t="shared" ref="I108:I109" si="3">+G108*D108</f>
        <v>29247.40756133695</v>
      </c>
      <c r="J108" s="107"/>
      <c r="K108" s="107"/>
    </row>
    <row r="109" spans="1:11">
      <c r="A109" s="78" t="s">
        <v>150</v>
      </c>
      <c r="B109" s="71" t="s">
        <v>922</v>
      </c>
      <c r="C109" s="71" t="s">
        <v>632</v>
      </c>
      <c r="D109" s="280">
        <f>'P2-Exp. &amp; Rev. Credits'!F24</f>
        <v>677739.30638262373</v>
      </c>
      <c r="E109" s="107"/>
      <c r="F109" s="115" t="str">
        <f>+F108</f>
        <v>W/S</v>
      </c>
      <c r="G109" s="131">
        <f>$I$187</f>
        <v>9.1201779797052435E-2</v>
      </c>
      <c r="H109" s="107"/>
      <c r="I109" s="60">
        <f t="shared" si="3"/>
        <v>61811.030980515105</v>
      </c>
      <c r="J109" s="107"/>
      <c r="K109" s="107"/>
    </row>
    <row r="110" spans="1:11">
      <c r="A110" s="78">
        <v>6</v>
      </c>
      <c r="B110" s="71" t="s">
        <v>32</v>
      </c>
      <c r="C110" s="71" t="s">
        <v>633</v>
      </c>
      <c r="D110" s="280">
        <f>'P2-Exp. &amp; Rev. Credits'!F25</f>
        <v>0</v>
      </c>
      <c r="E110" s="107"/>
      <c r="F110" s="107" t="s">
        <v>67</v>
      </c>
      <c r="G110" s="131">
        <f>K191</f>
        <v>8.9166782515788731E-2</v>
      </c>
      <c r="H110" s="107"/>
      <c r="I110" s="63">
        <f t="shared" si="2"/>
        <v>0</v>
      </c>
      <c r="J110" s="107"/>
      <c r="K110" s="107"/>
    </row>
    <row r="111" spans="1:11" ht="13.8" thickBot="1">
      <c r="A111" s="78">
        <v>7</v>
      </c>
      <c r="B111" s="71" t="s">
        <v>41</v>
      </c>
      <c r="C111" s="71" t="s">
        <v>634</v>
      </c>
      <c r="D111" s="280">
        <f>'P2-Exp. &amp; Rev. Credits'!F26</f>
        <v>0</v>
      </c>
      <c r="E111" s="107"/>
      <c r="F111" s="107" t="s">
        <v>373</v>
      </c>
      <c r="G111" s="131">
        <v>1</v>
      </c>
      <c r="H111" s="107"/>
      <c r="I111" s="64">
        <f t="shared" si="2"/>
        <v>0</v>
      </c>
      <c r="J111" s="107"/>
      <c r="K111" s="107"/>
    </row>
    <row r="112" spans="1:11">
      <c r="A112" s="78">
        <v>8</v>
      </c>
      <c r="B112" s="71" t="s">
        <v>1166</v>
      </c>
      <c r="C112" s="71"/>
      <c r="D112" s="584">
        <f>'P2-Exp. &amp; Rev. Credits'!F27</f>
        <v>21870726.080321155</v>
      </c>
      <c r="E112" s="107"/>
      <c r="F112" s="107"/>
      <c r="G112" s="131"/>
      <c r="H112" s="107"/>
      <c r="I112" s="63">
        <f>+I101-I102-I103+I104-I106+I110+I111+I107+I108-I109</f>
        <v>3220007.5626198021</v>
      </c>
      <c r="J112" s="107"/>
      <c r="K112" s="107"/>
    </row>
    <row r="113" spans="1:11">
      <c r="A113" s="78"/>
      <c r="C113" s="107"/>
      <c r="E113" s="107"/>
      <c r="F113" s="107"/>
      <c r="G113" s="131"/>
      <c r="H113" s="107"/>
      <c r="J113" s="107"/>
      <c r="K113" s="107"/>
    </row>
    <row r="114" spans="1:11">
      <c r="A114" s="78"/>
      <c r="B114" s="71" t="s">
        <v>642</v>
      </c>
      <c r="C114" s="107"/>
      <c r="D114" s="107"/>
      <c r="E114" s="107"/>
      <c r="F114" s="107"/>
      <c r="G114" s="131"/>
      <c r="H114" s="107"/>
      <c r="I114" s="107"/>
      <c r="J114" s="107"/>
      <c r="K114" s="107"/>
    </row>
    <row r="115" spans="1:11">
      <c r="A115" s="78">
        <v>9</v>
      </c>
      <c r="B115" s="134" t="str">
        <f>+B101</f>
        <v xml:space="preserve">  Transmission </v>
      </c>
      <c r="C115" s="51" t="s">
        <v>1158</v>
      </c>
      <c r="D115" s="280">
        <f>'P1-Trans Plant'!E43</f>
        <v>3554481.202815</v>
      </c>
      <c r="E115" s="107"/>
      <c r="F115" s="107" t="s">
        <v>11</v>
      </c>
      <c r="G115" s="131">
        <f>$I$170</f>
        <v>0.96104528227842878</v>
      </c>
      <c r="H115" s="107"/>
      <c r="I115" s="63">
        <f>+G115*D115</f>
        <v>3416017.3909127107</v>
      </c>
      <c r="J115" s="107"/>
      <c r="K115" s="133"/>
    </row>
    <row r="116" spans="1:11">
      <c r="A116" s="78">
        <v>10</v>
      </c>
      <c r="B116" s="71" t="s">
        <v>127</v>
      </c>
      <c r="C116" s="71" t="s">
        <v>586</v>
      </c>
      <c r="D116" s="280">
        <f>'Act Att-H'!D120</f>
        <v>2734465</v>
      </c>
      <c r="E116" s="107"/>
      <c r="F116" s="107" t="s">
        <v>31</v>
      </c>
      <c r="G116" s="131">
        <f>+G104</f>
        <v>9.1201779797052435E-2</v>
      </c>
      <c r="H116" s="107"/>
      <c r="I116" s="63">
        <f>+G116*D116</f>
        <v>249388.07479274698</v>
      </c>
      <c r="J116" s="107"/>
      <c r="K116" s="133"/>
    </row>
    <row r="117" spans="1:11">
      <c r="A117" s="78">
        <v>11</v>
      </c>
      <c r="B117" s="134" t="str">
        <f>+B110</f>
        <v xml:space="preserve">  Common</v>
      </c>
      <c r="C117" s="71" t="s">
        <v>597</v>
      </c>
      <c r="D117" s="280">
        <f>'Act Att-H'!D121</f>
        <v>190639</v>
      </c>
      <c r="E117" s="107"/>
      <c r="F117" s="107" t="s">
        <v>67</v>
      </c>
      <c r="G117" s="131">
        <f>+G110</f>
        <v>8.9166782515788731E-2</v>
      </c>
      <c r="H117" s="107"/>
      <c r="I117" s="63">
        <f>+G117*D117</f>
        <v>16998.666252027448</v>
      </c>
      <c r="J117" s="107"/>
      <c r="K117" s="133"/>
    </row>
    <row r="118" spans="1:11" s="2" customFormat="1" ht="13.8" thickBot="1">
      <c r="A118" s="74" t="s">
        <v>383</v>
      </c>
      <c r="B118" s="57" t="s">
        <v>389</v>
      </c>
      <c r="C118" s="71" t="s">
        <v>1095</v>
      </c>
      <c r="D118" s="280">
        <f>'Act Att-H'!D122</f>
        <v>0</v>
      </c>
      <c r="E118" s="55"/>
      <c r="F118" s="73"/>
      <c r="G118" s="650"/>
      <c r="H118" s="55"/>
      <c r="I118" s="68">
        <f>+G118*D118</f>
        <v>0</v>
      </c>
      <c r="J118" s="52"/>
      <c r="K118" s="62"/>
    </row>
    <row r="119" spans="1:11">
      <c r="A119" s="78">
        <v>12</v>
      </c>
      <c r="B119" s="71" t="s">
        <v>390</v>
      </c>
      <c r="C119" s="179" t="s">
        <v>391</v>
      </c>
      <c r="D119" s="586">
        <f>SUM(D115:D118)</f>
        <v>6479585.202815</v>
      </c>
      <c r="E119" s="107"/>
      <c r="F119" s="107"/>
      <c r="G119" s="131"/>
      <c r="H119" s="107"/>
      <c r="I119" s="63">
        <f>SUM(I115:I118)</f>
        <v>3682404.1319574849</v>
      </c>
      <c r="J119" s="107"/>
      <c r="K119" s="107"/>
    </row>
    <row r="120" spans="1:11">
      <c r="A120" s="78"/>
      <c r="B120" s="71"/>
      <c r="C120" s="107"/>
      <c r="D120" s="107"/>
      <c r="E120" s="107"/>
      <c r="F120" s="107"/>
      <c r="G120" s="131"/>
      <c r="H120" s="107"/>
      <c r="I120" s="107"/>
      <c r="J120" s="107"/>
      <c r="K120" s="107"/>
    </row>
    <row r="121" spans="1:11">
      <c r="A121" s="78" t="s">
        <v>2</v>
      </c>
      <c r="B121" s="71" t="s">
        <v>643</v>
      </c>
      <c r="D121" s="107"/>
      <c r="E121" s="107"/>
      <c r="F121" s="107"/>
      <c r="G121" s="131"/>
      <c r="H121" s="107"/>
      <c r="I121" s="107"/>
      <c r="J121" s="107"/>
      <c r="K121" s="107"/>
    </row>
    <row r="122" spans="1:11">
      <c r="A122" s="78"/>
      <c r="B122" s="71" t="s">
        <v>42</v>
      </c>
      <c r="C122" s="71"/>
      <c r="E122" s="107"/>
      <c r="F122" s="107"/>
      <c r="G122" s="131"/>
      <c r="H122" s="107"/>
      <c r="J122" s="107"/>
      <c r="K122" s="133"/>
    </row>
    <row r="123" spans="1:11">
      <c r="A123" s="78">
        <v>13</v>
      </c>
      <c r="B123" s="71" t="s">
        <v>43</v>
      </c>
      <c r="C123" s="71" t="s">
        <v>590</v>
      </c>
      <c r="D123" s="280">
        <f>'P2-Exp. &amp; Rev. Credits'!F32</f>
        <v>1283966.8972780441</v>
      </c>
      <c r="E123" s="107"/>
      <c r="F123" s="107" t="s">
        <v>31</v>
      </c>
      <c r="G123" s="131">
        <f>+G116</f>
        <v>9.1201779797052435E-2</v>
      </c>
      <c r="H123" s="107"/>
      <c r="I123" s="63">
        <f>+G123*D123</f>
        <v>117100.06623225682</v>
      </c>
      <c r="J123" s="107"/>
      <c r="K123" s="133"/>
    </row>
    <row r="124" spans="1:11">
      <c r="A124" s="78">
        <v>14</v>
      </c>
      <c r="B124" s="71" t="s">
        <v>44</v>
      </c>
      <c r="C124" s="71" t="s">
        <v>591</v>
      </c>
      <c r="D124" s="280">
        <f>'P2-Exp. &amp; Rev. Credits'!F33</f>
        <v>0</v>
      </c>
      <c r="E124" s="107"/>
      <c r="F124" s="115" t="str">
        <f>+F123</f>
        <v>W/S</v>
      </c>
      <c r="G124" s="131">
        <f>+G123</f>
        <v>9.1201779797052435E-2</v>
      </c>
      <c r="H124" s="107"/>
      <c r="I124" s="63">
        <f>+G124*D124</f>
        <v>0</v>
      </c>
      <c r="J124" s="107"/>
      <c r="K124" s="133"/>
    </row>
    <row r="125" spans="1:11">
      <c r="A125" s="78">
        <v>15</v>
      </c>
      <c r="B125" s="71" t="s">
        <v>45</v>
      </c>
      <c r="C125" s="71" t="s">
        <v>2</v>
      </c>
      <c r="D125" s="107" t="s">
        <v>2</v>
      </c>
      <c r="E125" s="107"/>
      <c r="F125" s="107"/>
      <c r="G125" s="131"/>
      <c r="H125" s="107"/>
      <c r="J125" s="107"/>
      <c r="K125" s="133"/>
    </row>
    <row r="126" spans="1:11">
      <c r="A126" s="78">
        <v>16</v>
      </c>
      <c r="B126" s="71" t="s">
        <v>46</v>
      </c>
      <c r="C126" s="71" t="s">
        <v>592</v>
      </c>
      <c r="D126" s="280">
        <f>'P2-Exp. &amp; Rev. Credits'!F35</f>
        <v>3591295.1455744472</v>
      </c>
      <c r="E126" s="107"/>
      <c r="F126" s="107" t="s">
        <v>37</v>
      </c>
      <c r="G126" s="131">
        <f>$G$234</f>
        <v>0.20603172438633593</v>
      </c>
      <c r="H126" s="107"/>
      <c r="I126" s="63">
        <f>+G126*D126</f>
        <v>739920.73162298067</v>
      </c>
      <c r="J126" s="107"/>
      <c r="K126" s="133"/>
    </row>
    <row r="127" spans="1:11">
      <c r="A127" s="78">
        <v>17</v>
      </c>
      <c r="B127" s="71" t="s">
        <v>47</v>
      </c>
      <c r="C127" s="71" t="s">
        <v>593</v>
      </c>
      <c r="D127" s="280">
        <f>'P2-Exp. &amp; Rev. Credits'!F36</f>
        <v>1777977.8889622302</v>
      </c>
      <c r="E127" s="107"/>
      <c r="F127" s="115" t="s">
        <v>27</v>
      </c>
      <c r="G127" s="131">
        <v>0</v>
      </c>
      <c r="H127" s="107"/>
      <c r="I127" s="63">
        <v>0</v>
      </c>
      <c r="J127" s="107"/>
      <c r="K127" s="133"/>
    </row>
    <row r="128" spans="1:11">
      <c r="A128" s="78">
        <v>18</v>
      </c>
      <c r="B128" s="71" t="s">
        <v>59</v>
      </c>
      <c r="C128" s="71" t="s">
        <v>594</v>
      </c>
      <c r="D128" s="280">
        <f>'P2-Exp. &amp; Rev. Credits'!F37</f>
        <v>0</v>
      </c>
      <c r="E128" s="107"/>
      <c r="F128" s="679"/>
      <c r="G128" s="650"/>
      <c r="H128" s="107"/>
      <c r="I128" s="63">
        <f>+G128*D128</f>
        <v>0</v>
      </c>
      <c r="J128" s="107"/>
      <c r="K128" s="133"/>
    </row>
    <row r="129" spans="1:11" ht="13.8" thickBot="1">
      <c r="A129" s="78">
        <v>19</v>
      </c>
      <c r="B129" s="71" t="s">
        <v>1097</v>
      </c>
      <c r="C129" s="71"/>
      <c r="D129" s="585"/>
      <c r="E129" s="107"/>
      <c r="F129" s="107"/>
      <c r="G129" s="131"/>
      <c r="H129" s="107"/>
      <c r="I129" s="63"/>
      <c r="J129" s="107"/>
      <c r="K129" s="133"/>
    </row>
    <row r="130" spans="1:11">
      <c r="A130" s="78">
        <v>20</v>
      </c>
      <c r="B130" s="71" t="s">
        <v>393</v>
      </c>
      <c r="C130" s="179" t="s">
        <v>392</v>
      </c>
      <c r="D130" s="584">
        <f>SUM(D123:D129)</f>
        <v>6653239.9318147209</v>
      </c>
      <c r="E130" s="107"/>
      <c r="F130" s="107"/>
      <c r="G130" s="131"/>
      <c r="H130" s="107"/>
      <c r="I130" s="72">
        <f>SUM(I123:I129)</f>
        <v>857020.7978552375</v>
      </c>
      <c r="J130" s="107"/>
      <c r="K130" s="107"/>
    </row>
    <row r="131" spans="1:11">
      <c r="A131" s="78"/>
      <c r="B131" s="71"/>
      <c r="C131" s="107"/>
      <c r="D131" s="107"/>
      <c r="E131" s="107"/>
      <c r="F131" s="107"/>
      <c r="G131" s="131"/>
      <c r="H131" s="107"/>
      <c r="I131" s="107"/>
      <c r="J131" s="107"/>
      <c r="K131" s="107"/>
    </row>
    <row r="132" spans="1:11">
      <c r="A132" s="78" t="s">
        <v>2</v>
      </c>
      <c r="B132" s="71" t="s">
        <v>49</v>
      </c>
      <c r="C132" s="107" t="s">
        <v>635</v>
      </c>
      <c r="D132" s="107"/>
      <c r="E132" s="107"/>
      <c r="G132" s="131"/>
      <c r="H132" s="107"/>
      <c r="J132" s="107"/>
    </row>
    <row r="133" spans="1:11">
      <c r="A133" s="78">
        <v>21</v>
      </c>
      <c r="B133" s="140" t="s">
        <v>98</v>
      </c>
      <c r="C133" s="107"/>
      <c r="D133" s="141">
        <f>IF(D251&gt;0,1-(((1-D252)*(1-D251))/(1-D252*D251*D253)),0)</f>
        <v>0</v>
      </c>
      <c r="E133" s="107"/>
      <c r="G133" s="131"/>
      <c r="H133" s="107"/>
      <c r="J133" s="107"/>
    </row>
    <row r="134" spans="1:11">
      <c r="A134" s="78">
        <v>22</v>
      </c>
      <c r="B134" s="103" t="s">
        <v>937</v>
      </c>
      <c r="C134" s="107"/>
      <c r="D134" s="141">
        <f>IF(I211&gt;0,(D133/(1-D133))*(1-I208/I211),0)</f>
        <v>0</v>
      </c>
      <c r="E134" s="107"/>
      <c r="G134" s="131"/>
      <c r="H134" s="107"/>
      <c r="J134" s="107"/>
    </row>
    <row r="135" spans="1:11">
      <c r="A135" s="78"/>
      <c r="B135" s="71" t="s">
        <v>148</v>
      </c>
      <c r="C135" s="107"/>
      <c r="D135" s="107"/>
      <c r="E135" s="107"/>
      <c r="G135" s="131"/>
      <c r="H135" s="107"/>
      <c r="J135" s="107"/>
    </row>
    <row r="136" spans="1:11">
      <c r="A136" s="78"/>
      <c r="B136" s="71" t="s">
        <v>636</v>
      </c>
      <c r="C136" s="107"/>
      <c r="D136" s="107"/>
      <c r="E136" s="107"/>
      <c r="G136" s="131"/>
      <c r="H136" s="107"/>
      <c r="J136" s="107"/>
    </row>
    <row r="137" spans="1:11">
      <c r="A137" s="78">
        <v>23</v>
      </c>
      <c r="B137" s="140" t="s">
        <v>99</v>
      </c>
      <c r="C137" s="107"/>
      <c r="D137" s="587">
        <f>IF(D133&gt;0,1/(1-D133),0)</f>
        <v>0</v>
      </c>
      <c r="E137" s="107"/>
      <c r="G137" s="131"/>
      <c r="H137" s="107"/>
      <c r="J137" s="107"/>
    </row>
    <row r="138" spans="1:11">
      <c r="A138" s="78">
        <v>24</v>
      </c>
      <c r="B138" s="71" t="s">
        <v>935</v>
      </c>
      <c r="C138" s="71" t="s">
        <v>598</v>
      </c>
      <c r="D138" s="280">
        <f>'Act Att-H'!D142</f>
        <v>28</v>
      </c>
      <c r="E138" s="107"/>
      <c r="G138" s="131"/>
      <c r="H138" s="107"/>
      <c r="J138" s="107"/>
    </row>
    <row r="139" spans="1:11">
      <c r="A139" s="78" t="s">
        <v>384</v>
      </c>
      <c r="B139" s="54" t="s">
        <v>1321</v>
      </c>
      <c r="C139" s="71" t="s">
        <v>988</v>
      </c>
      <c r="D139" s="280">
        <f>'Act Att-H'!D143</f>
        <v>155214.82309159994</v>
      </c>
      <c r="E139" s="107"/>
      <c r="G139" s="131"/>
      <c r="H139" s="107"/>
      <c r="J139" s="107"/>
    </row>
    <row r="140" spans="1:11">
      <c r="A140" s="78" t="s">
        <v>830</v>
      </c>
      <c r="B140" s="54" t="s">
        <v>1149</v>
      </c>
      <c r="C140" s="71" t="s">
        <v>998</v>
      </c>
      <c r="D140" s="280">
        <f>'Act Att-H'!D144</f>
        <v>23545.647892664452</v>
      </c>
      <c r="E140" s="107"/>
      <c r="G140" s="131"/>
      <c r="H140" s="107"/>
      <c r="J140" s="107"/>
    </row>
    <row r="141" spans="1:11">
      <c r="A141" s="78" t="s">
        <v>385</v>
      </c>
      <c r="B141" s="54" t="s">
        <v>382</v>
      </c>
      <c r="C141" s="71" t="s">
        <v>599</v>
      </c>
      <c r="D141" s="280">
        <f>'Act Att-H'!D145</f>
        <v>4944.5860574595345</v>
      </c>
      <c r="E141" s="107"/>
      <c r="G141" s="131"/>
      <c r="H141" s="107"/>
      <c r="J141" s="107"/>
    </row>
    <row r="142" spans="1:11">
      <c r="A142" s="78">
        <v>25</v>
      </c>
      <c r="B142" s="140" t="s">
        <v>396</v>
      </c>
      <c r="C142" s="142" t="s">
        <v>394</v>
      </c>
      <c r="D142" s="585">
        <f>D134*D149</f>
        <v>0</v>
      </c>
      <c r="E142" s="107"/>
      <c r="F142" s="107"/>
      <c r="G142" s="131"/>
      <c r="H142" s="107"/>
      <c r="I142" s="63">
        <f>D134*I149</f>
        <v>0</v>
      </c>
      <c r="J142" s="107"/>
      <c r="K142" s="143" t="s">
        <v>2</v>
      </c>
    </row>
    <row r="143" spans="1:11">
      <c r="A143" s="78">
        <v>26</v>
      </c>
      <c r="B143" s="103" t="s">
        <v>397</v>
      </c>
      <c r="C143" s="142" t="s">
        <v>395</v>
      </c>
      <c r="D143" s="585">
        <f>D137*D138</f>
        <v>0</v>
      </c>
      <c r="E143" s="107"/>
      <c r="F143" s="52" t="s">
        <v>37</v>
      </c>
      <c r="G143" s="131">
        <f>$G$234</f>
        <v>0.20603172438633593</v>
      </c>
      <c r="H143" s="107"/>
      <c r="I143" s="63">
        <f>G143*D143</f>
        <v>0</v>
      </c>
      <c r="J143" s="107"/>
      <c r="K143" s="143"/>
    </row>
    <row r="144" spans="1:11">
      <c r="A144" s="78" t="s">
        <v>398</v>
      </c>
      <c r="B144" s="61" t="s">
        <v>1322</v>
      </c>
      <c r="C144" s="76" t="s">
        <v>401</v>
      </c>
      <c r="D144" s="585">
        <f>D137*D139</f>
        <v>0</v>
      </c>
      <c r="E144" s="107"/>
      <c r="G144" s="131"/>
      <c r="H144" s="107"/>
      <c r="I144" s="63">
        <f>D144</f>
        <v>0</v>
      </c>
      <c r="J144" s="107"/>
      <c r="K144" s="143"/>
    </row>
    <row r="145" spans="1:11">
      <c r="A145" s="78" t="s">
        <v>399</v>
      </c>
      <c r="B145" s="61" t="s">
        <v>400</v>
      </c>
      <c r="C145" s="76" t="s">
        <v>402</v>
      </c>
      <c r="D145" s="585">
        <f>D137*D141</f>
        <v>0</v>
      </c>
      <c r="E145" s="107"/>
      <c r="G145" s="131"/>
      <c r="H145" s="107"/>
      <c r="I145" s="63">
        <f>D145</f>
        <v>0</v>
      </c>
      <c r="J145" s="107"/>
      <c r="K145" s="143"/>
    </row>
    <row r="146" spans="1:11">
      <c r="A146" s="78">
        <v>27</v>
      </c>
      <c r="B146" s="140" t="s">
        <v>92</v>
      </c>
      <c r="C146" s="61" t="s">
        <v>936</v>
      </c>
      <c r="D146" s="586">
        <f>D142+D145-D143-D144</f>
        <v>0</v>
      </c>
      <c r="E146" s="107"/>
      <c r="F146" s="107" t="s">
        <v>2</v>
      </c>
      <c r="G146" s="131" t="s">
        <v>2</v>
      </c>
      <c r="H146" s="107"/>
      <c r="I146" s="586">
        <f>I142+I145-I143-I144</f>
        <v>0</v>
      </c>
      <c r="J146" s="107"/>
      <c r="K146" s="107"/>
    </row>
    <row r="147" spans="1:11">
      <c r="A147" s="78" t="s">
        <v>2</v>
      </c>
      <c r="C147" s="144"/>
      <c r="D147" s="585"/>
      <c r="E147" s="107"/>
      <c r="F147" s="107"/>
      <c r="G147" s="131"/>
      <c r="H147" s="107"/>
      <c r="I147" s="107"/>
      <c r="J147" s="107"/>
      <c r="K147" s="107"/>
    </row>
    <row r="148" spans="1:11">
      <c r="B148" s="71" t="s">
        <v>50</v>
      </c>
      <c r="C148" s="133"/>
      <c r="G148" s="131"/>
      <c r="J148" s="107"/>
    </row>
    <row r="149" spans="1:11">
      <c r="A149" s="78">
        <v>28</v>
      </c>
      <c r="B149" s="140" t="s">
        <v>707</v>
      </c>
      <c r="C149" s="706" t="s">
        <v>1091</v>
      </c>
      <c r="D149" s="63">
        <f>+$I211*D87+I214</f>
        <v>14360594.577918146</v>
      </c>
      <c r="E149" s="107"/>
      <c r="F149" s="107"/>
      <c r="G149" s="131"/>
      <c r="H149" s="107"/>
      <c r="I149" s="383">
        <f>+$I211*I87+I214</f>
        <v>11427375.645844277</v>
      </c>
      <c r="J149" s="107"/>
      <c r="K149" s="133"/>
    </row>
    <row r="150" spans="1:11">
      <c r="A150" s="78"/>
      <c r="B150" s="71"/>
      <c r="D150" s="107"/>
      <c r="E150" s="107"/>
      <c r="F150" s="107"/>
      <c r="G150" s="139"/>
      <c r="H150" s="107"/>
      <c r="I150" s="107"/>
      <c r="J150" s="107"/>
      <c r="K150" s="133"/>
    </row>
    <row r="151" spans="1:11" ht="13.8" thickBot="1">
      <c r="A151" s="78">
        <v>29</v>
      </c>
      <c r="B151" s="71" t="s">
        <v>404</v>
      </c>
      <c r="C151" s="107" t="s">
        <v>403</v>
      </c>
      <c r="D151" s="77">
        <f>+D112+D119+D130+D146+D149</f>
        <v>49364145.792869017</v>
      </c>
      <c r="E151" s="107"/>
      <c r="F151" s="107"/>
      <c r="G151" s="107"/>
      <c r="H151" s="107"/>
      <c r="I151" s="77">
        <f>+I112+I119+I130+I146+I149</f>
        <v>19186808.138276801</v>
      </c>
      <c r="J151" s="71"/>
      <c r="K151" s="71"/>
    </row>
    <row r="152" spans="1:11" ht="13.8" thickTop="1">
      <c r="A152" s="78"/>
      <c r="B152" s="71"/>
      <c r="C152" s="107"/>
      <c r="D152" s="115"/>
      <c r="E152" s="107"/>
      <c r="F152" s="107"/>
      <c r="G152" s="107"/>
      <c r="H152" s="107"/>
      <c r="I152" s="115"/>
      <c r="J152" s="71"/>
      <c r="K152" s="71"/>
    </row>
    <row r="153" spans="1:11">
      <c r="B153" s="71"/>
      <c r="C153" s="71"/>
      <c r="D153" s="104"/>
      <c r="E153" s="71"/>
      <c r="F153" s="864"/>
      <c r="G153" s="864"/>
      <c r="H153" s="864"/>
      <c r="I153" s="864"/>
      <c r="J153" s="864"/>
      <c r="K153" s="864"/>
    </row>
    <row r="154" spans="1:11">
      <c r="B154" s="71"/>
      <c r="C154" s="71"/>
      <c r="D154" s="104"/>
      <c r="E154" s="71"/>
      <c r="F154" s="71"/>
      <c r="G154" s="71"/>
      <c r="H154" s="71"/>
      <c r="I154" s="865" t="str">
        <f>I1</f>
        <v>Projected Attachment H</v>
      </c>
      <c r="J154" s="865"/>
      <c r="K154" s="865"/>
    </row>
    <row r="155" spans="1:11">
      <c r="B155" s="71"/>
      <c r="C155" s="71"/>
      <c r="D155" s="104"/>
      <c r="E155" s="71"/>
      <c r="F155" s="71"/>
      <c r="G155" s="71"/>
      <c r="H155" s="71"/>
      <c r="I155" s="71"/>
      <c r="J155" s="864" t="s">
        <v>244</v>
      </c>
      <c r="K155" s="864"/>
    </row>
    <row r="156" spans="1:11">
      <c r="B156" s="71"/>
      <c r="C156" s="71"/>
      <c r="D156" s="104"/>
      <c r="E156" s="71"/>
      <c r="F156" s="71"/>
      <c r="G156" s="71"/>
      <c r="H156" s="71"/>
      <c r="I156" s="71"/>
      <c r="J156" s="105"/>
      <c r="K156" s="105"/>
    </row>
    <row r="157" spans="1:11">
      <c r="B157" s="104" t="s">
        <v>0</v>
      </c>
      <c r="C157" s="78" t="s">
        <v>1</v>
      </c>
      <c r="E157" s="71"/>
      <c r="F157" s="71"/>
      <c r="G157" s="871" t="str">
        <f>K4</f>
        <v>Estimated - For the 12 months ended 12/31/yyyy</v>
      </c>
      <c r="H157" s="871"/>
      <c r="I157" s="871"/>
      <c r="J157" s="871"/>
      <c r="K157" s="871"/>
    </row>
    <row r="158" spans="1:11">
      <c r="B158" s="71"/>
      <c r="C158" s="108" t="s">
        <v>3</v>
      </c>
      <c r="E158" s="107"/>
      <c r="F158" s="107"/>
      <c r="G158" s="107"/>
      <c r="H158" s="71"/>
      <c r="I158" s="71"/>
      <c r="J158" s="71"/>
      <c r="K158" s="71"/>
    </row>
    <row r="159" spans="1:11" ht="9" customHeight="1">
      <c r="A159" s="78"/>
      <c r="J159" s="107"/>
      <c r="K159" s="107"/>
    </row>
    <row r="160" spans="1:11">
      <c r="A160" s="78"/>
      <c r="C160" s="122" t="str">
        <f>C7</f>
        <v>Cheyenne Light, Fuel &amp; Power</v>
      </c>
      <c r="J160" s="107"/>
      <c r="K160" s="107"/>
    </row>
    <row r="161" spans="1:19">
      <c r="A161" s="78"/>
      <c r="C161" s="136"/>
      <c r="J161" s="107"/>
      <c r="K161" s="107"/>
    </row>
    <row r="162" spans="1:19">
      <c r="A162" s="78"/>
      <c r="C162" s="126" t="s">
        <v>139</v>
      </c>
      <c r="E162" s="71"/>
      <c r="F162" s="71"/>
      <c r="G162" s="71"/>
      <c r="H162" s="71"/>
      <c r="I162" s="71"/>
      <c r="J162" s="107"/>
      <c r="K162" s="107"/>
    </row>
    <row r="163" spans="1:19">
      <c r="A163" s="78" t="s">
        <v>4</v>
      </c>
      <c r="B163" s="78" t="s">
        <v>15</v>
      </c>
      <c r="C163" s="78" t="s">
        <v>16</v>
      </c>
      <c r="D163" s="78" t="s">
        <v>17</v>
      </c>
      <c r="E163" s="107" t="s">
        <v>2</v>
      </c>
      <c r="F163" s="107"/>
      <c r="G163" s="123" t="s">
        <v>18</v>
      </c>
      <c r="H163" s="107"/>
      <c r="I163" s="124" t="s">
        <v>19</v>
      </c>
      <c r="J163" s="107"/>
      <c r="K163" s="107"/>
    </row>
    <row r="164" spans="1:19" ht="13.8" thickBot="1">
      <c r="A164" s="111" t="s">
        <v>6</v>
      </c>
      <c r="B164" s="71" t="s">
        <v>131</v>
      </c>
      <c r="C164" s="71"/>
      <c r="D164" s="71"/>
      <c r="E164" s="71"/>
      <c r="F164" s="71"/>
      <c r="G164" s="71"/>
      <c r="J164" s="107"/>
      <c r="K164" s="107"/>
    </row>
    <row r="165" spans="1:19">
      <c r="A165" s="78">
        <v>1</v>
      </c>
      <c r="B165" s="71" t="s">
        <v>406</v>
      </c>
      <c r="C165" s="71" t="s">
        <v>614</v>
      </c>
      <c r="D165" s="107"/>
      <c r="E165" s="107"/>
      <c r="F165" s="107"/>
      <c r="G165" s="107"/>
      <c r="H165" s="107"/>
      <c r="I165" s="280">
        <f>'Act Att-H'!I169</f>
        <v>142113478.10076922</v>
      </c>
      <c r="J165" s="107"/>
      <c r="K165" s="107"/>
    </row>
    <row r="166" spans="1:19">
      <c r="A166" s="78">
        <v>2</v>
      </c>
      <c r="B166" s="71" t="s">
        <v>407</v>
      </c>
      <c r="C166" s="71" t="s">
        <v>615</v>
      </c>
      <c r="I166" s="280">
        <f>'Act Att-H'!I170</f>
        <v>0</v>
      </c>
      <c r="J166" s="107"/>
      <c r="K166" s="107"/>
    </row>
    <row r="167" spans="1:19">
      <c r="A167" s="78">
        <v>3</v>
      </c>
      <c r="B167" s="71" t="s">
        <v>408</v>
      </c>
      <c r="C167" s="71" t="s">
        <v>616</v>
      </c>
      <c r="D167" s="107"/>
      <c r="E167" s="107"/>
      <c r="F167" s="107"/>
      <c r="G167" s="108"/>
      <c r="H167" s="107"/>
      <c r="I167" s="280">
        <f>'Act Att-H'!I171</f>
        <v>5535990.4238461526</v>
      </c>
      <c r="J167" s="107"/>
      <c r="K167" s="107"/>
    </row>
    <row r="168" spans="1:19">
      <c r="A168" s="78">
        <v>4</v>
      </c>
      <c r="B168" s="181" t="s">
        <v>409</v>
      </c>
      <c r="C168" s="181" t="s">
        <v>410</v>
      </c>
      <c r="D168" s="107"/>
      <c r="E168" s="107"/>
      <c r="F168" s="107"/>
      <c r="G168" s="108"/>
      <c r="H168" s="107"/>
      <c r="I168" s="180">
        <f>I165-I166-I167</f>
        <v>136577487.67692307</v>
      </c>
      <c r="J168" s="107"/>
      <c r="K168" s="107"/>
    </row>
    <row r="169" spans="1:19" ht="9" customHeight="1">
      <c r="A169" s="78"/>
      <c r="C169" s="71"/>
      <c r="D169" s="107"/>
      <c r="E169" s="107"/>
      <c r="F169" s="107"/>
      <c r="G169" s="108"/>
      <c r="H169" s="107"/>
      <c r="J169" s="107"/>
      <c r="K169" s="107"/>
    </row>
    <row r="170" spans="1:19">
      <c r="A170" s="78">
        <v>5</v>
      </c>
      <c r="B170" s="71" t="s">
        <v>411</v>
      </c>
      <c r="C170" s="110" t="s">
        <v>412</v>
      </c>
      <c r="D170" s="110"/>
      <c r="E170" s="110"/>
      <c r="F170" s="110"/>
      <c r="G170" s="124"/>
      <c r="H170" s="107" t="s">
        <v>53</v>
      </c>
      <c r="I170" s="147">
        <f>IF(I165&gt;0,I168/I165,0)</f>
        <v>0.96104528227842878</v>
      </c>
      <c r="J170" s="107"/>
      <c r="K170" s="107"/>
      <c r="N170" s="148"/>
      <c r="O170" s="148"/>
      <c r="P170" s="148"/>
    </row>
    <row r="171" spans="1:19" ht="9" customHeight="1">
      <c r="A171" s="78"/>
      <c r="J171" s="107"/>
      <c r="K171" s="107"/>
      <c r="N171" s="71"/>
      <c r="P171" s="107"/>
      <c r="Q171" s="71"/>
    </row>
    <row r="172" spans="1:19">
      <c r="A172" s="78"/>
      <c r="B172" s="71" t="s">
        <v>51</v>
      </c>
      <c r="J172" s="107"/>
      <c r="K172" s="107"/>
      <c r="N172" s="922"/>
      <c r="O172" s="922"/>
      <c r="P172" s="922"/>
      <c r="Q172" s="922"/>
      <c r="R172" s="922"/>
      <c r="S172" s="922"/>
    </row>
    <row r="173" spans="1:19">
      <c r="A173" s="78">
        <v>6</v>
      </c>
      <c r="B173" s="103" t="s">
        <v>413</v>
      </c>
      <c r="C173" s="103" t="s">
        <v>423</v>
      </c>
      <c r="D173" s="71"/>
      <c r="E173" s="71"/>
      <c r="F173" s="71"/>
      <c r="G173" s="78"/>
      <c r="H173" s="71"/>
      <c r="I173" s="280">
        <f>D101</f>
        <v>33864753.328390785</v>
      </c>
      <c r="J173" s="107"/>
      <c r="K173" s="107"/>
      <c r="P173" s="107"/>
      <c r="Q173" s="71"/>
    </row>
    <row r="174" spans="1:19">
      <c r="A174" s="78">
        <v>7</v>
      </c>
      <c r="B174" s="71" t="s">
        <v>422</v>
      </c>
      <c r="C174" s="71" t="s">
        <v>617</v>
      </c>
      <c r="D174" s="107"/>
      <c r="E174" s="107"/>
      <c r="F174" s="107"/>
      <c r="G174" s="107"/>
      <c r="H174" s="107"/>
      <c r="I174" s="280">
        <f>'Act Att-H'!I178</f>
        <v>435967</v>
      </c>
      <c r="J174" s="107"/>
      <c r="K174" s="107"/>
      <c r="N174" s="150"/>
      <c r="O174" s="151"/>
      <c r="P174" s="107"/>
      <c r="Q174" s="71"/>
    </row>
    <row r="175" spans="1:19">
      <c r="A175" s="78">
        <v>8</v>
      </c>
      <c r="B175" s="181" t="s">
        <v>415</v>
      </c>
      <c r="C175" s="183" t="s">
        <v>414</v>
      </c>
      <c r="D175" s="110"/>
      <c r="E175" s="110"/>
      <c r="F175" s="110"/>
      <c r="G175" s="124"/>
      <c r="H175" s="110"/>
      <c r="I175" s="180">
        <f>+I173-I174</f>
        <v>33428786.328390785</v>
      </c>
      <c r="N175" s="152"/>
      <c r="O175" s="153"/>
      <c r="P175" s="154"/>
      <c r="Q175" s="154"/>
    </row>
    <row r="176" spans="1:19">
      <c r="A176" s="78"/>
      <c r="B176" s="71"/>
      <c r="C176" s="71"/>
      <c r="D176" s="107"/>
      <c r="E176" s="107"/>
      <c r="F176" s="107"/>
      <c r="G176" s="107"/>
      <c r="N176" s="152"/>
      <c r="O176" s="153"/>
    </row>
    <row r="177" spans="1:17">
      <c r="A177" s="78">
        <v>9</v>
      </c>
      <c r="B177" s="71" t="s">
        <v>416</v>
      </c>
      <c r="C177" s="71" t="s">
        <v>424</v>
      </c>
      <c r="D177" s="107"/>
      <c r="E177" s="107"/>
      <c r="F177" s="107"/>
      <c r="G177" s="107"/>
      <c r="H177" s="107"/>
      <c r="I177" s="131">
        <f>IF(I173&gt;0,I175/I173,0)</f>
        <v>0.98712623134229349</v>
      </c>
      <c r="N177" s="71"/>
      <c r="O177" s="155"/>
      <c r="P177" s="153"/>
      <c r="Q177" s="153"/>
    </row>
    <row r="178" spans="1:17">
      <c r="A178" s="78">
        <v>10</v>
      </c>
      <c r="B178" s="71" t="s">
        <v>417</v>
      </c>
      <c r="C178" s="71" t="s">
        <v>418</v>
      </c>
      <c r="D178" s="107"/>
      <c r="E178" s="107"/>
      <c r="F178" s="107"/>
      <c r="G178" s="107"/>
      <c r="H178" s="71" t="s">
        <v>11</v>
      </c>
      <c r="I178" s="131">
        <f>I170</f>
        <v>0.96104528227842878</v>
      </c>
      <c r="N178" s="150"/>
      <c r="O178" s="153"/>
      <c r="Q178" s="153"/>
    </row>
    <row r="179" spans="1:17">
      <c r="A179" s="78">
        <v>11</v>
      </c>
      <c r="B179" s="71" t="s">
        <v>420</v>
      </c>
      <c r="C179" s="71" t="s">
        <v>419</v>
      </c>
      <c r="D179" s="71"/>
      <c r="E179" s="71"/>
      <c r="F179" s="71"/>
      <c r="G179" s="71"/>
      <c r="H179" s="71" t="s">
        <v>52</v>
      </c>
      <c r="I179" s="114">
        <f>+I178*I177</f>
        <v>0.94867300764479601</v>
      </c>
      <c r="N179" s="150"/>
      <c r="O179" s="153"/>
      <c r="Q179" s="153"/>
    </row>
    <row r="180" spans="1:17">
      <c r="A180" s="78"/>
      <c r="C180" s="71"/>
      <c r="D180" s="107"/>
      <c r="E180" s="107"/>
      <c r="F180" s="107"/>
      <c r="G180" s="108"/>
      <c r="H180" s="107"/>
      <c r="N180" s="150"/>
      <c r="O180" s="153"/>
      <c r="Q180" s="156"/>
    </row>
    <row r="181" spans="1:17">
      <c r="A181" s="78" t="s">
        <v>2</v>
      </c>
      <c r="B181" s="71" t="s">
        <v>54</v>
      </c>
      <c r="C181" s="107"/>
      <c r="D181" s="107"/>
      <c r="E181" s="107"/>
      <c r="F181" s="107"/>
      <c r="G181" s="107"/>
      <c r="H181" s="107"/>
      <c r="I181" s="107"/>
      <c r="J181" s="107"/>
      <c r="K181" s="107"/>
      <c r="N181" s="152"/>
      <c r="O181" s="153"/>
      <c r="P181" s="107"/>
      <c r="Q181" s="71"/>
    </row>
    <row r="182" spans="1:17" ht="13.8" thickBot="1">
      <c r="A182" s="78" t="s">
        <v>2</v>
      </c>
      <c r="B182" s="71"/>
      <c r="C182" s="157" t="s">
        <v>577</v>
      </c>
      <c r="D182" s="158" t="s">
        <v>56</v>
      </c>
      <c r="E182" s="158" t="s">
        <v>11</v>
      </c>
      <c r="F182" s="107"/>
      <c r="G182" s="158" t="s">
        <v>57</v>
      </c>
      <c r="H182" s="107"/>
      <c r="I182" s="107"/>
      <c r="J182" s="107"/>
      <c r="K182" s="107"/>
      <c r="N182" s="152"/>
      <c r="O182" s="153"/>
      <c r="P182" s="107"/>
      <c r="Q182" s="71"/>
    </row>
    <row r="183" spans="1:17">
      <c r="A183" s="78">
        <v>12</v>
      </c>
      <c r="B183" s="71" t="s">
        <v>26</v>
      </c>
      <c r="C183" s="71" t="s">
        <v>600</v>
      </c>
      <c r="D183" s="280">
        <f>'Act Att-H'!D187</f>
        <v>3672443</v>
      </c>
      <c r="E183" s="159">
        <v>0</v>
      </c>
      <c r="F183" s="159"/>
      <c r="G183" s="115">
        <f>D183*E183</f>
        <v>0</v>
      </c>
      <c r="H183" s="107"/>
      <c r="I183" s="107"/>
      <c r="J183" s="107"/>
      <c r="K183" s="107"/>
    </row>
    <row r="184" spans="1:17">
      <c r="A184" s="78">
        <v>13</v>
      </c>
      <c r="B184" s="71" t="s">
        <v>28</v>
      </c>
      <c r="C184" s="71" t="s">
        <v>601</v>
      </c>
      <c r="D184" s="280">
        <f>'Act Att-H'!D188</f>
        <v>688100</v>
      </c>
      <c r="E184" s="160">
        <f>+I170</f>
        <v>0.96104528227842878</v>
      </c>
      <c r="F184" s="159"/>
      <c r="G184" s="115">
        <f>D184*E184</f>
        <v>661295.25873578689</v>
      </c>
      <c r="H184" s="107"/>
      <c r="I184" s="107"/>
      <c r="J184" s="107"/>
      <c r="K184" s="107"/>
    </row>
    <row r="185" spans="1:17">
      <c r="A185" s="78">
        <v>14</v>
      </c>
      <c r="B185" s="71" t="s">
        <v>29</v>
      </c>
      <c r="C185" s="71" t="s">
        <v>602</v>
      </c>
      <c r="D185" s="280">
        <f>'Act Att-H'!D189</f>
        <v>2368697</v>
      </c>
      <c r="E185" s="159">
        <v>0</v>
      </c>
      <c r="F185" s="159"/>
      <c r="G185" s="115">
        <f>D185*E185</f>
        <v>0</v>
      </c>
      <c r="H185" s="107"/>
      <c r="I185" s="108" t="s">
        <v>58</v>
      </c>
      <c r="J185" s="107"/>
      <c r="K185" s="107"/>
    </row>
    <row r="186" spans="1:17" ht="13.8" thickBot="1">
      <c r="A186" s="78">
        <v>15</v>
      </c>
      <c r="B186" s="71" t="s">
        <v>59</v>
      </c>
      <c r="C186" s="71" t="s">
        <v>603</v>
      </c>
      <c r="D186" s="280">
        <f>'Act Att-H'!D190</f>
        <v>521663</v>
      </c>
      <c r="E186" s="159">
        <v>0</v>
      </c>
      <c r="F186" s="159"/>
      <c r="G186" s="161">
        <f>D186*E186</f>
        <v>0</v>
      </c>
      <c r="H186" s="107"/>
      <c r="I186" s="111" t="s">
        <v>60</v>
      </c>
      <c r="J186" s="107"/>
      <c r="K186" s="107"/>
    </row>
    <row r="187" spans="1:17">
      <c r="A187" s="78">
        <v>16</v>
      </c>
      <c r="B187" s="71" t="s">
        <v>426</v>
      </c>
      <c r="C187" s="107" t="s">
        <v>425</v>
      </c>
      <c r="D187" s="180">
        <f>SUM(D183:D186)</f>
        <v>7250903</v>
      </c>
      <c r="E187" s="107"/>
      <c r="F187" s="107"/>
      <c r="G187" s="115">
        <f>SUM(G183:G186)</f>
        <v>661295.25873578689</v>
      </c>
      <c r="H187" s="78" t="s">
        <v>61</v>
      </c>
      <c r="I187" s="131">
        <f>IF(G187&gt;0,G187/D187,0)</f>
        <v>9.1201779797052435E-2</v>
      </c>
      <c r="J187" s="108" t="s">
        <v>61</v>
      </c>
      <c r="K187" s="143" t="s">
        <v>100</v>
      </c>
    </row>
    <row r="188" spans="1:17" ht="9" customHeight="1">
      <c r="A188" s="78"/>
      <c r="B188" s="71"/>
      <c r="C188" s="107"/>
      <c r="D188" s="107"/>
      <c r="E188" s="107"/>
      <c r="F188" s="107"/>
      <c r="G188" s="107"/>
      <c r="H188" s="107"/>
      <c r="I188" s="107"/>
      <c r="J188" s="107"/>
      <c r="K188" s="107"/>
    </row>
    <row r="189" spans="1:17">
      <c r="A189" s="78"/>
      <c r="B189" s="71" t="s">
        <v>153</v>
      </c>
      <c r="C189" s="107"/>
      <c r="D189" s="108" t="s">
        <v>56</v>
      </c>
      <c r="E189" s="107"/>
      <c r="F189" s="107"/>
      <c r="G189" s="108" t="s">
        <v>62</v>
      </c>
      <c r="H189" s="139" t="s">
        <v>2</v>
      </c>
      <c r="I189" s="132" t="str">
        <f>+I185</f>
        <v>W&amp;S Allocator</v>
      </c>
      <c r="J189" s="107"/>
      <c r="K189" s="107"/>
    </row>
    <row r="190" spans="1:17">
      <c r="A190" s="78">
        <v>17</v>
      </c>
      <c r="B190" s="71" t="s">
        <v>63</v>
      </c>
      <c r="C190" s="71" t="s">
        <v>604</v>
      </c>
      <c r="D190" s="280">
        <f>'Act Att-H'!D194</f>
        <v>791180372</v>
      </c>
      <c r="E190" s="107"/>
      <c r="G190" s="78" t="s">
        <v>65</v>
      </c>
      <c r="H190" s="139"/>
      <c r="I190" s="78" t="s">
        <v>66</v>
      </c>
      <c r="J190" s="107"/>
      <c r="K190" s="78" t="s">
        <v>67</v>
      </c>
    </row>
    <row r="191" spans="1:17">
      <c r="A191" s="78">
        <v>18</v>
      </c>
      <c r="B191" s="71" t="s">
        <v>68</v>
      </c>
      <c r="C191" s="71" t="s">
        <v>605</v>
      </c>
      <c r="D191" s="280">
        <f>'Act Att-H'!D195</f>
        <v>0</v>
      </c>
      <c r="E191" s="107"/>
      <c r="G191" s="114">
        <f>IF(D193&gt;0,D190/D193,0)</f>
        <v>0.97768686876734101</v>
      </c>
      <c r="H191" s="108" t="s">
        <v>69</v>
      </c>
      <c r="I191" s="114">
        <f>I187</f>
        <v>9.1201779797052435E-2</v>
      </c>
      <c r="J191" s="139" t="s">
        <v>61</v>
      </c>
      <c r="K191" s="162">
        <f>I191*G191</f>
        <v>8.9166782515788731E-2</v>
      </c>
    </row>
    <row r="192" spans="1:17">
      <c r="A192" s="78">
        <v>19</v>
      </c>
      <c r="B192" s="71" t="s">
        <v>59</v>
      </c>
      <c r="C192" s="71" t="s">
        <v>606</v>
      </c>
      <c r="D192" s="280">
        <f>'Act Att-H'!D196</f>
        <v>18056611</v>
      </c>
      <c r="E192" s="107"/>
      <c r="F192" s="107"/>
      <c r="G192" s="107" t="s">
        <v>2</v>
      </c>
      <c r="H192" s="107"/>
      <c r="I192" s="107"/>
      <c r="J192" s="107"/>
      <c r="K192" s="107"/>
    </row>
    <row r="193" spans="1:11">
      <c r="A193" s="78">
        <v>20</v>
      </c>
      <c r="B193" s="181" t="s">
        <v>426</v>
      </c>
      <c r="C193" s="182" t="s">
        <v>427</v>
      </c>
      <c r="D193" s="180">
        <f>D190+D191+D192</f>
        <v>809236983</v>
      </c>
      <c r="E193" s="107"/>
      <c r="F193" s="107"/>
      <c r="G193" s="107"/>
      <c r="H193" s="107"/>
      <c r="I193" s="107"/>
      <c r="J193" s="107"/>
      <c r="K193" s="107"/>
    </row>
    <row r="194" spans="1:11" ht="9" customHeight="1">
      <c r="A194" s="78"/>
      <c r="B194" s="71"/>
      <c r="C194" s="107"/>
      <c r="E194" s="107"/>
      <c r="F194" s="107"/>
      <c r="G194" s="107"/>
      <c r="H194" s="107"/>
      <c r="I194" s="107"/>
      <c r="J194" s="107"/>
      <c r="K194" s="107"/>
    </row>
    <row r="195" spans="1:11" ht="13.8" thickBot="1">
      <c r="A195" s="78"/>
      <c r="B195" s="71" t="s">
        <v>70</v>
      </c>
      <c r="C195" s="107"/>
      <c r="D195" s="107"/>
      <c r="E195" s="107"/>
      <c r="F195" s="107"/>
      <c r="G195" s="107"/>
      <c r="H195" s="107"/>
      <c r="I195" s="158" t="s">
        <v>56</v>
      </c>
      <c r="J195" s="107"/>
      <c r="K195" s="107"/>
    </row>
    <row r="196" spans="1:11">
      <c r="A196" s="78">
        <v>21</v>
      </c>
      <c r="B196" s="107" t="s">
        <v>430</v>
      </c>
      <c r="C196" s="71" t="s">
        <v>607</v>
      </c>
      <c r="D196" s="107"/>
      <c r="E196" s="107"/>
      <c r="F196" s="107"/>
      <c r="G196" s="107"/>
      <c r="H196" s="107"/>
      <c r="I196" s="280">
        <f>'Act Att-H'!I200</f>
        <v>22321493</v>
      </c>
      <c r="J196" s="107"/>
      <c r="K196" s="107"/>
    </row>
    <row r="197" spans="1:11" ht="9" customHeight="1">
      <c r="A197" s="78"/>
      <c r="B197" s="107"/>
      <c r="C197" s="107"/>
      <c r="D197" s="107"/>
      <c r="E197" s="107"/>
      <c r="F197" s="107"/>
      <c r="G197" s="107"/>
      <c r="H197" s="107"/>
      <c r="I197" s="107"/>
      <c r="J197" s="107"/>
      <c r="K197" s="107"/>
    </row>
    <row r="198" spans="1:11">
      <c r="A198" s="78">
        <v>22</v>
      </c>
      <c r="B198" s="107" t="s">
        <v>429</v>
      </c>
      <c r="C198" s="71" t="s">
        <v>608</v>
      </c>
      <c r="D198" s="107"/>
      <c r="E198" s="107"/>
      <c r="F198" s="107"/>
      <c r="G198" s="107"/>
      <c r="H198" s="107"/>
      <c r="I198" s="280">
        <f>'Act Att-H'!I202</f>
        <v>0</v>
      </c>
      <c r="J198" s="107"/>
      <c r="K198" s="107"/>
    </row>
    <row r="199" spans="1:11" ht="9" customHeight="1">
      <c r="A199" s="78"/>
      <c r="B199" s="71"/>
      <c r="C199" s="107"/>
      <c r="D199" s="107"/>
      <c r="E199" s="107"/>
      <c r="F199" s="107"/>
      <c r="G199" s="107"/>
      <c r="H199" s="107"/>
      <c r="I199" s="107"/>
      <c r="J199" s="107"/>
      <c r="K199" s="107"/>
    </row>
    <row r="200" spans="1:11">
      <c r="A200" s="78"/>
      <c r="B200" s="165" t="s">
        <v>431</v>
      </c>
      <c r="C200" s="107"/>
      <c r="D200" s="107"/>
      <c r="E200" s="107"/>
      <c r="F200" s="107"/>
      <c r="G200" s="107"/>
      <c r="H200" s="107"/>
      <c r="I200" s="107"/>
      <c r="J200" s="107"/>
      <c r="K200" s="107"/>
    </row>
    <row r="201" spans="1:11">
      <c r="A201" s="78">
        <v>23</v>
      </c>
      <c r="B201" s="107" t="s">
        <v>434</v>
      </c>
      <c r="C201" s="71" t="s">
        <v>609</v>
      </c>
      <c r="D201" s="71"/>
      <c r="E201" s="107"/>
      <c r="F201" s="107"/>
      <c r="G201" s="107"/>
      <c r="H201" s="107"/>
      <c r="I201" s="280">
        <f>'Act Att-H'!I205</f>
        <v>344050573</v>
      </c>
      <c r="J201" s="107"/>
      <c r="K201" s="107"/>
    </row>
    <row r="202" spans="1:11">
      <c r="A202" s="78">
        <v>24</v>
      </c>
      <c r="B202" s="107" t="s">
        <v>435</v>
      </c>
      <c r="C202" s="71" t="s">
        <v>610</v>
      </c>
      <c r="D202" s="107"/>
      <c r="E202" s="107"/>
      <c r="F202" s="107"/>
      <c r="G202" s="107"/>
      <c r="H202" s="107"/>
      <c r="I202" s="280">
        <f>'Act Att-H'!I206</f>
        <v>0</v>
      </c>
      <c r="J202" s="107"/>
      <c r="K202" s="107"/>
    </row>
    <row r="203" spans="1:11">
      <c r="A203" s="78">
        <v>25</v>
      </c>
      <c r="B203" s="71" t="s">
        <v>436</v>
      </c>
      <c r="C203" s="71" t="s">
        <v>611</v>
      </c>
      <c r="D203" s="107"/>
      <c r="E203" s="107"/>
      <c r="F203" s="107"/>
      <c r="G203" s="107"/>
      <c r="H203" s="107"/>
      <c r="I203" s="280">
        <f>'Act Att-H'!I207</f>
        <v>0</v>
      </c>
      <c r="J203" s="107"/>
      <c r="K203" s="107"/>
    </row>
    <row r="204" spans="1:11">
      <c r="A204" s="78">
        <v>26</v>
      </c>
      <c r="B204" s="71" t="s">
        <v>943</v>
      </c>
      <c r="C204" s="71" t="s">
        <v>954</v>
      </c>
      <c r="D204" s="107"/>
      <c r="E204" s="107"/>
      <c r="F204" s="107"/>
      <c r="G204" s="107"/>
      <c r="H204" s="107"/>
      <c r="I204" s="280">
        <f>'Act Att-H'!I208</f>
        <v>0</v>
      </c>
      <c r="J204" s="107"/>
      <c r="K204" s="107"/>
    </row>
    <row r="205" spans="1:11">
      <c r="A205" s="78">
        <v>27</v>
      </c>
      <c r="B205" s="181" t="s">
        <v>71</v>
      </c>
      <c r="C205" s="183" t="s">
        <v>955</v>
      </c>
      <c r="D205" s="115"/>
      <c r="E205" s="71"/>
      <c r="F205" s="71"/>
      <c r="G205" s="71"/>
      <c r="H205" s="71"/>
      <c r="I205" s="180">
        <f>I201-I202-I203-I204</f>
        <v>344050573</v>
      </c>
      <c r="J205" s="107"/>
      <c r="K205" s="107"/>
    </row>
    <row r="206" spans="1:11">
      <c r="A206" s="78"/>
      <c r="B206" s="71"/>
      <c r="C206" s="107"/>
      <c r="D206" s="107"/>
      <c r="E206" s="107"/>
      <c r="F206" s="107"/>
      <c r="G206" s="108"/>
      <c r="H206" s="107"/>
      <c r="I206" s="107"/>
      <c r="J206" s="107"/>
      <c r="K206" s="107"/>
    </row>
    <row r="207" spans="1:11" ht="13.8" thickBot="1">
      <c r="A207" s="78"/>
      <c r="B207" s="71"/>
      <c r="C207" s="107"/>
      <c r="D207" s="111" t="s">
        <v>56</v>
      </c>
      <c r="E207" s="111" t="s">
        <v>73</v>
      </c>
      <c r="F207" s="107"/>
      <c r="G207" s="185" t="s">
        <v>72</v>
      </c>
      <c r="H207" s="107"/>
      <c r="I207" s="111" t="s">
        <v>74</v>
      </c>
      <c r="J207" s="107"/>
      <c r="K207" s="107"/>
    </row>
    <row r="208" spans="1:11">
      <c r="A208" s="78">
        <v>28</v>
      </c>
      <c r="B208" s="71" t="s">
        <v>439</v>
      </c>
      <c r="C208" s="71" t="s">
        <v>612</v>
      </c>
      <c r="D208" s="280">
        <f>'Act Att-H'!D212</f>
        <v>364300000</v>
      </c>
      <c r="E208" s="166">
        <f>IF($D$211&gt;0,D208/$D$211,0)</f>
        <v>0.5142933652995012</v>
      </c>
      <c r="F208" s="167"/>
      <c r="G208" s="669">
        <f>IF(D208&gt;0,I196/D208,0)</f>
        <v>6.1272283832006585E-2</v>
      </c>
      <c r="I208" s="168">
        <f>G208*E208</f>
        <v>3.1511929051548884E-2</v>
      </c>
      <c r="J208" s="169" t="s">
        <v>75</v>
      </c>
    </row>
    <row r="209" spans="1:11">
      <c r="A209" s="78">
        <v>29</v>
      </c>
      <c r="B209" s="71" t="s">
        <v>440</v>
      </c>
      <c r="C209" s="71" t="s">
        <v>613</v>
      </c>
      <c r="D209" s="280">
        <f>'Act Att-H'!D213</f>
        <v>0</v>
      </c>
      <c r="E209" s="166">
        <f>IF($D$211&gt;0,D209/$D$211,0)</f>
        <v>0</v>
      </c>
      <c r="F209" s="167"/>
      <c r="G209" s="669">
        <f>IF(D209&gt;0,I198/D209,0)</f>
        <v>0</v>
      </c>
      <c r="I209" s="168">
        <f>G209*E209</f>
        <v>0</v>
      </c>
      <c r="J209" s="107"/>
    </row>
    <row r="210" spans="1:11" ht="13.8" thickBot="1">
      <c r="A210" s="78">
        <v>30</v>
      </c>
      <c r="B210" s="71" t="s">
        <v>441</v>
      </c>
      <c r="C210" s="71" t="s">
        <v>1160</v>
      </c>
      <c r="D210" s="280">
        <f>'Act Att-H'!D214</f>
        <v>344050573</v>
      </c>
      <c r="E210" s="166">
        <f>IF($D$211&gt;0,D210/$D$211,0)</f>
        <v>0.4857066347004988</v>
      </c>
      <c r="F210" s="167"/>
      <c r="G210" s="669">
        <f>'Act Att-H'!G214</f>
        <v>9.9000000000000005E-2</v>
      </c>
      <c r="I210" s="170">
        <f>G210*E210</f>
        <v>4.8084956835349385E-2</v>
      </c>
      <c r="J210" s="107"/>
    </row>
    <row r="211" spans="1:11">
      <c r="A211" s="78">
        <v>31</v>
      </c>
      <c r="B211" s="181" t="s">
        <v>388</v>
      </c>
      <c r="C211" s="183" t="s">
        <v>902</v>
      </c>
      <c r="D211" s="180">
        <f>D210+D209+D208</f>
        <v>708350573</v>
      </c>
      <c r="E211" s="107" t="s">
        <v>2</v>
      </c>
      <c r="F211" s="107"/>
      <c r="G211" s="107"/>
      <c r="H211" s="107"/>
      <c r="I211" s="168">
        <f>SUM(I208:I210)</f>
        <v>7.9596885886898269E-2</v>
      </c>
      <c r="J211" s="169" t="s">
        <v>76</v>
      </c>
    </row>
    <row r="212" spans="1:11" ht="9" customHeight="1">
      <c r="E212" s="107"/>
      <c r="F212" s="107"/>
      <c r="G212" s="107"/>
      <c r="H212" s="107"/>
    </row>
    <row r="213" spans="1:11">
      <c r="A213" s="71"/>
      <c r="B213" s="71"/>
      <c r="C213" s="71"/>
      <c r="D213" s="107"/>
      <c r="E213" s="107"/>
      <c r="F213" s="133"/>
      <c r="G213" s="107"/>
      <c r="H213" s="107"/>
      <c r="I213" s="107"/>
      <c r="J213" s="107"/>
      <c r="K213" s="107"/>
    </row>
    <row r="214" spans="1:11">
      <c r="A214" s="78">
        <v>32</v>
      </c>
      <c r="B214" s="71" t="s">
        <v>701</v>
      </c>
      <c r="C214" s="71" t="s">
        <v>723</v>
      </c>
      <c r="D214" s="104"/>
      <c r="E214" s="71"/>
      <c r="F214" s="71"/>
      <c r="G214" s="71"/>
      <c r="H214" s="347"/>
      <c r="I214" s="280">
        <f>'P4-IncentPlant'!F47</f>
        <v>0</v>
      </c>
      <c r="J214" s="347"/>
      <c r="K214" s="347"/>
    </row>
    <row r="215" spans="1:11">
      <c r="B215" s="71"/>
      <c r="C215" s="71"/>
      <c r="D215" s="104"/>
      <c r="E215" s="71"/>
      <c r="F215" s="71"/>
      <c r="G215" s="864"/>
      <c r="H215" s="864"/>
      <c r="I215" s="864"/>
      <c r="J215" s="864"/>
      <c r="K215" s="864"/>
    </row>
    <row r="216" spans="1:11">
      <c r="B216" s="71"/>
      <c r="C216" s="71"/>
      <c r="D216" s="104"/>
      <c r="E216" s="71"/>
      <c r="F216" s="71"/>
      <c r="G216" s="71"/>
      <c r="H216" s="71"/>
      <c r="I216" s="865" t="str">
        <f>I1</f>
        <v>Projected Attachment H</v>
      </c>
      <c r="J216" s="865"/>
      <c r="K216" s="865"/>
    </row>
    <row r="217" spans="1:11">
      <c r="B217" s="71"/>
      <c r="C217" s="71"/>
      <c r="D217" s="104"/>
      <c r="E217" s="71"/>
      <c r="F217" s="71"/>
      <c r="G217" s="71"/>
      <c r="H217" s="71"/>
      <c r="I217" s="71"/>
      <c r="J217" s="864" t="s">
        <v>359</v>
      </c>
      <c r="K217" s="864"/>
    </row>
    <row r="218" spans="1:11">
      <c r="B218" s="71"/>
      <c r="C218" s="71"/>
      <c r="D218" s="104"/>
      <c r="E218" s="71"/>
      <c r="F218" s="71"/>
      <c r="G218" s="71"/>
      <c r="H218" s="71"/>
      <c r="I218" s="71"/>
      <c r="J218" s="71"/>
      <c r="K218" s="105"/>
    </row>
    <row r="219" spans="1:11">
      <c r="B219" s="104" t="s">
        <v>0</v>
      </c>
      <c r="C219" s="78" t="s">
        <v>1</v>
      </c>
      <c r="E219" s="71"/>
      <c r="F219" s="71"/>
      <c r="G219" s="71"/>
      <c r="H219" s="71"/>
      <c r="I219" s="71"/>
      <c r="J219" s="71"/>
      <c r="K219" s="121" t="str">
        <f>K4</f>
        <v>Estimated - For the 12 months ended 12/31/yyyy</v>
      </c>
    </row>
    <row r="220" spans="1:11">
      <c r="B220" s="71"/>
      <c r="C220" s="108" t="s">
        <v>3</v>
      </c>
      <c r="E220" s="107"/>
      <c r="F220" s="107"/>
      <c r="G220" s="107"/>
      <c r="H220" s="71"/>
      <c r="I220" s="71"/>
      <c r="J220" s="71"/>
      <c r="K220" s="71"/>
    </row>
    <row r="221" spans="1:11">
      <c r="A221" s="78"/>
      <c r="C221" s="107"/>
      <c r="E221" s="107"/>
      <c r="F221" s="107"/>
      <c r="G221" s="107"/>
      <c r="H221" s="71"/>
      <c r="I221" s="152"/>
      <c r="K221" s="107"/>
    </row>
    <row r="222" spans="1:11">
      <c r="A222" s="78"/>
      <c r="C222" s="171" t="str">
        <f>C7</f>
        <v>Cheyenne Light, Fuel &amp; Power</v>
      </c>
      <c r="E222" s="107"/>
      <c r="F222" s="107"/>
      <c r="G222" s="107"/>
      <c r="H222" s="71"/>
      <c r="I222" s="152"/>
      <c r="K222" s="107"/>
    </row>
    <row r="223" spans="1:11">
      <c r="A223" s="78"/>
      <c r="C223" s="171"/>
      <c r="E223" s="107"/>
      <c r="F223" s="107"/>
      <c r="G223" s="107"/>
      <c r="H223" s="71"/>
      <c r="I223" s="152"/>
      <c r="K223" s="107"/>
    </row>
    <row r="224" spans="1:11" ht="15.75" customHeight="1">
      <c r="A224" s="78"/>
      <c r="B224" s="78" t="s">
        <v>15</v>
      </c>
      <c r="C224" s="78" t="s">
        <v>16</v>
      </c>
      <c r="D224" s="78" t="s">
        <v>17</v>
      </c>
      <c r="E224" s="107" t="s">
        <v>2</v>
      </c>
      <c r="F224" s="107"/>
      <c r="G224" s="123" t="s">
        <v>18</v>
      </c>
      <c r="H224" s="107"/>
      <c r="I224" s="124" t="s">
        <v>19</v>
      </c>
      <c r="K224" s="107"/>
    </row>
    <row r="225" spans="1:11">
      <c r="A225" s="78" t="s">
        <v>4</v>
      </c>
      <c r="B225" s="71"/>
      <c r="C225" s="125"/>
      <c r="D225" s="107"/>
      <c r="E225" s="107"/>
      <c r="F225" s="107"/>
      <c r="G225" s="78"/>
      <c r="H225" s="107"/>
      <c r="I225" s="126" t="s">
        <v>21</v>
      </c>
      <c r="J225" s="107"/>
      <c r="K225" s="107"/>
    </row>
    <row r="226" spans="1:11" ht="13.8" thickBot="1">
      <c r="A226" s="111" t="s">
        <v>6</v>
      </c>
      <c r="B226" s="71"/>
      <c r="C226" s="127" t="s">
        <v>577</v>
      </c>
      <c r="D226" s="126" t="s">
        <v>23</v>
      </c>
      <c r="E226" s="128"/>
      <c r="F226" s="126" t="s">
        <v>24</v>
      </c>
      <c r="H226" s="128"/>
      <c r="I226" s="78" t="s">
        <v>25</v>
      </c>
      <c r="J226" s="107"/>
      <c r="K226" s="107"/>
    </row>
    <row r="227" spans="1:11">
      <c r="A227" s="78"/>
      <c r="C227" s="78"/>
      <c r="D227" s="107"/>
      <c r="E227" s="107"/>
      <c r="F227" s="107"/>
      <c r="G227" s="107"/>
      <c r="H227" s="71"/>
      <c r="I227" s="152"/>
      <c r="J227" s="107"/>
      <c r="K227" s="107"/>
    </row>
    <row r="228" spans="1:11">
      <c r="A228" s="78"/>
      <c r="B228" s="71" t="s">
        <v>749</v>
      </c>
      <c r="C228" s="107"/>
      <c r="D228" s="108" t="s">
        <v>56</v>
      </c>
      <c r="E228" s="107"/>
      <c r="F228" s="107"/>
      <c r="G228" s="108"/>
      <c r="H228" s="139" t="s">
        <v>2</v>
      </c>
      <c r="I228" s="132"/>
      <c r="J228" s="107"/>
      <c r="K228" s="107"/>
    </row>
    <row r="229" spans="1:11">
      <c r="A229" s="78">
        <v>1</v>
      </c>
      <c r="B229" s="71" t="s">
        <v>26</v>
      </c>
      <c r="C229" s="107" t="s">
        <v>751</v>
      </c>
      <c r="D229" s="280">
        <f>'Act Att-H'!D45</f>
        <v>352151134.07846141</v>
      </c>
      <c r="E229" s="107"/>
      <c r="F229" s="107" t="s">
        <v>27</v>
      </c>
      <c r="G229" s="130" t="s">
        <v>2</v>
      </c>
      <c r="H229" s="107"/>
      <c r="I229" s="107" t="s">
        <v>2</v>
      </c>
      <c r="J229" s="107"/>
      <c r="K229" s="78"/>
    </row>
    <row r="230" spans="1:11">
      <c r="A230" s="78">
        <v>2</v>
      </c>
      <c r="B230" s="71" t="s">
        <v>28</v>
      </c>
      <c r="C230" s="107" t="s">
        <v>759</v>
      </c>
      <c r="D230" s="280">
        <f>D49</f>
        <v>178886824.50000003</v>
      </c>
      <c r="E230" s="107"/>
      <c r="F230" s="107" t="s">
        <v>11</v>
      </c>
      <c r="G230" s="131">
        <f>I170</f>
        <v>0.96104528227842878</v>
      </c>
      <c r="H230" s="107"/>
      <c r="I230" s="63">
        <f>+G230*D230</f>
        <v>171918338.74749428</v>
      </c>
      <c r="J230" s="139"/>
      <c r="K230" s="162"/>
    </row>
    <row r="231" spans="1:11">
      <c r="A231" s="78">
        <v>3</v>
      </c>
      <c r="B231" s="71" t="s">
        <v>29</v>
      </c>
      <c r="C231" s="107" t="s">
        <v>756</v>
      </c>
      <c r="D231" s="280">
        <f>'Act Att-H'!D47</f>
        <v>281165178.80680776</v>
      </c>
      <c r="E231" s="107"/>
      <c r="F231" s="107" t="s">
        <v>27</v>
      </c>
      <c r="G231" s="130" t="s">
        <v>2</v>
      </c>
      <c r="H231" s="107"/>
      <c r="I231" s="63" t="s">
        <v>2</v>
      </c>
      <c r="J231" s="107"/>
      <c r="K231" s="107"/>
    </row>
    <row r="232" spans="1:11">
      <c r="A232" s="78">
        <v>4</v>
      </c>
      <c r="B232" s="71" t="s">
        <v>30</v>
      </c>
      <c r="C232" s="107" t="s">
        <v>757</v>
      </c>
      <c r="D232" s="280">
        <f>'Act Att-H'!D48</f>
        <v>23517365.350000001</v>
      </c>
      <c r="E232" s="107"/>
      <c r="F232" s="107" t="s">
        <v>31</v>
      </c>
      <c r="G232" s="131">
        <f>I187</f>
        <v>9.1201779797052435E-2</v>
      </c>
      <c r="H232" s="107"/>
      <c r="I232" s="63">
        <f>+G232*D232</f>
        <v>2144825.5760575309</v>
      </c>
      <c r="J232" s="107"/>
      <c r="K232" s="107"/>
    </row>
    <row r="233" spans="1:11">
      <c r="A233" s="78">
        <v>5</v>
      </c>
      <c r="B233" s="71" t="s">
        <v>32</v>
      </c>
      <c r="C233" s="107" t="s">
        <v>758</v>
      </c>
      <c r="D233" s="280">
        <f>'Act Att-H'!D49</f>
        <v>16071783.461538462</v>
      </c>
      <c r="E233" s="107"/>
      <c r="F233" s="107" t="s">
        <v>67</v>
      </c>
      <c r="G233" s="131">
        <f>K191</f>
        <v>8.9166782515788731E-2</v>
      </c>
      <c r="H233" s="107"/>
      <c r="I233" s="63">
        <f>+G233*D233</f>
        <v>1433069.2205558503</v>
      </c>
      <c r="J233" s="107"/>
      <c r="K233" s="107"/>
    </row>
    <row r="234" spans="1:11">
      <c r="A234" s="78">
        <v>6</v>
      </c>
      <c r="B234" s="181" t="s">
        <v>426</v>
      </c>
      <c r="C234" s="182" t="s">
        <v>427</v>
      </c>
      <c r="D234" s="180">
        <f>SUM(D229:D233)</f>
        <v>851792286.19680762</v>
      </c>
      <c r="E234" s="107"/>
      <c r="F234" s="182" t="s">
        <v>33</v>
      </c>
      <c r="G234" s="547">
        <f>IF(I234&gt;0,I234/D234,0)</f>
        <v>0.20603172438633593</v>
      </c>
      <c r="H234" s="107"/>
      <c r="I234" s="184">
        <f>SUM(I229:I233)</f>
        <v>175496233.54410765</v>
      </c>
      <c r="J234" s="107"/>
      <c r="K234" s="107"/>
    </row>
    <row r="235" spans="1:11">
      <c r="A235" s="78"/>
      <c r="B235" s="71"/>
      <c r="C235" s="107"/>
      <c r="D235" s="115"/>
      <c r="E235" s="107"/>
      <c r="F235" s="107"/>
      <c r="G235" s="107"/>
      <c r="H235" s="107"/>
      <c r="I235" s="107"/>
      <c r="J235" s="107"/>
      <c r="K235" s="107"/>
    </row>
    <row r="236" spans="1:11">
      <c r="A236" s="78"/>
      <c r="B236" s="71" t="s">
        <v>750</v>
      </c>
      <c r="C236" s="107"/>
      <c r="D236" s="108" t="s">
        <v>56</v>
      </c>
      <c r="E236" s="107"/>
      <c r="F236" s="107"/>
      <c r="G236" s="108"/>
      <c r="H236" s="139" t="s">
        <v>2</v>
      </c>
      <c r="I236" s="132"/>
      <c r="J236" s="107"/>
      <c r="K236" s="107"/>
    </row>
    <row r="237" spans="1:11">
      <c r="A237" s="78">
        <v>7</v>
      </c>
      <c r="B237" s="71" t="s">
        <v>26</v>
      </c>
      <c r="C237" s="107" t="s">
        <v>752</v>
      </c>
      <c r="D237" s="280">
        <f>'Act Att-H'!D61</f>
        <v>265955683.04384604</v>
      </c>
      <c r="E237" s="107"/>
      <c r="F237" s="107" t="s">
        <v>27</v>
      </c>
      <c r="G237" s="130" t="s">
        <v>2</v>
      </c>
      <c r="H237" s="107"/>
      <c r="I237" s="107" t="s">
        <v>2</v>
      </c>
      <c r="J237" s="107"/>
      <c r="K237" s="78"/>
    </row>
    <row r="238" spans="1:11">
      <c r="A238" s="78">
        <v>8</v>
      </c>
      <c r="B238" s="71" t="s">
        <v>28</v>
      </c>
      <c r="C238" s="107" t="s">
        <v>760</v>
      </c>
      <c r="D238" s="280">
        <f>D59</f>
        <v>161724261.18107575</v>
      </c>
      <c r="E238" s="107"/>
      <c r="F238" s="107" t="s">
        <v>11</v>
      </c>
      <c r="G238" s="131">
        <f>G230</f>
        <v>0.96104528227842878</v>
      </c>
      <c r="H238" s="107"/>
      <c r="I238" s="63">
        <f>+G238*D238</f>
        <v>155424338.23803729</v>
      </c>
      <c r="J238" s="139"/>
      <c r="K238" s="162"/>
    </row>
    <row r="239" spans="1:11">
      <c r="A239" s="78">
        <v>9</v>
      </c>
      <c r="B239" s="71" t="s">
        <v>29</v>
      </c>
      <c r="C239" s="107" t="s">
        <v>753</v>
      </c>
      <c r="D239" s="280">
        <f>'Act Att-H'!D63</f>
        <v>203020223.9778682</v>
      </c>
      <c r="E239" s="107"/>
      <c r="F239" s="107" t="s">
        <v>27</v>
      </c>
      <c r="G239" s="130" t="s">
        <v>2</v>
      </c>
      <c r="H239" s="107"/>
      <c r="I239" s="63" t="s">
        <v>2</v>
      </c>
      <c r="J239" s="107"/>
      <c r="K239" s="107"/>
    </row>
    <row r="240" spans="1:11">
      <c r="A240" s="78">
        <v>10</v>
      </c>
      <c r="B240" s="71" t="s">
        <v>30</v>
      </c>
      <c r="C240" s="107" t="s">
        <v>754</v>
      </c>
      <c r="D240" s="280">
        <f>'Act Att-H'!D64</f>
        <v>16603986.995666236</v>
      </c>
      <c r="E240" s="107"/>
      <c r="F240" s="107" t="s">
        <v>31</v>
      </c>
      <c r="G240" s="131">
        <f>G232</f>
        <v>9.1201779797052435E-2</v>
      </c>
      <c r="H240" s="107"/>
      <c r="I240" s="63">
        <f>+G240*D240</f>
        <v>1514313.1657318743</v>
      </c>
      <c r="J240" s="107"/>
      <c r="K240" s="107"/>
    </row>
    <row r="241" spans="1:11">
      <c r="A241" s="78">
        <v>11</v>
      </c>
      <c r="B241" s="71" t="s">
        <v>32</v>
      </c>
      <c r="C241" s="107" t="s">
        <v>755</v>
      </c>
      <c r="D241" s="280">
        <f>'Act Att-H'!D65</f>
        <v>10603071.153846154</v>
      </c>
      <c r="E241" s="107"/>
      <c r="F241" s="107" t="s">
        <v>67</v>
      </c>
      <c r="G241" s="131">
        <f>G233</f>
        <v>8.9166782515788731E-2</v>
      </c>
      <c r="H241" s="107"/>
      <c r="I241" s="63">
        <f>+G241*D241</f>
        <v>945441.73957443307</v>
      </c>
      <c r="J241" s="107"/>
      <c r="K241" s="107"/>
    </row>
    <row r="242" spans="1:11">
      <c r="A242" s="78">
        <v>12</v>
      </c>
      <c r="B242" s="181" t="s">
        <v>426</v>
      </c>
      <c r="C242" s="182" t="s">
        <v>427</v>
      </c>
      <c r="D242" s="180">
        <f>SUM(D237:D241)</f>
        <v>657907226.35230243</v>
      </c>
      <c r="E242" s="107"/>
      <c r="F242" s="182" t="s">
        <v>34</v>
      </c>
      <c r="G242" s="547">
        <f>IF(I242&gt;0,I242/D242,0)</f>
        <v>0.23997926579818157</v>
      </c>
      <c r="H242" s="107"/>
      <c r="I242" s="184">
        <f>SUM(I237:I241)</f>
        <v>157884093.1433436</v>
      </c>
      <c r="J242" s="107"/>
      <c r="K242" s="107"/>
    </row>
    <row r="243" spans="1:11">
      <c r="A243" s="78"/>
      <c r="B243" s="71"/>
      <c r="C243" s="107"/>
      <c r="D243" s="115"/>
      <c r="E243" s="107"/>
      <c r="F243" s="107"/>
      <c r="G243" s="107"/>
      <c r="H243" s="107"/>
      <c r="I243" s="107"/>
      <c r="J243" s="71"/>
      <c r="K243" s="107"/>
    </row>
    <row r="244" spans="1:11">
      <c r="A244" s="78"/>
      <c r="B244" s="71"/>
      <c r="C244" s="107"/>
      <c r="D244" s="115"/>
      <c r="E244" s="107"/>
      <c r="F244" s="107"/>
      <c r="G244" s="107"/>
      <c r="H244" s="107"/>
      <c r="I244" s="107"/>
      <c r="J244" s="71"/>
      <c r="K244" s="107"/>
    </row>
    <row r="245" spans="1:11">
      <c r="A245" s="78"/>
      <c r="B245" s="71"/>
      <c r="C245" s="107"/>
      <c r="D245" s="115"/>
      <c r="E245" s="107"/>
      <c r="F245" s="107"/>
      <c r="G245" s="107"/>
      <c r="H245" s="107"/>
      <c r="I245" s="107"/>
      <c r="J245" s="71"/>
      <c r="K245" s="107"/>
    </row>
    <row r="246" spans="1:11">
      <c r="A246" s="78"/>
      <c r="B246" s="71" t="s">
        <v>120</v>
      </c>
      <c r="C246" s="78"/>
      <c r="D246" s="107"/>
      <c r="E246" s="107"/>
      <c r="F246" s="107"/>
      <c r="G246" s="107"/>
      <c r="H246" s="71"/>
      <c r="I246" s="107"/>
      <c r="J246" s="71"/>
      <c r="K246" s="107"/>
    </row>
    <row r="247" spans="1:11" ht="41.25" customHeight="1">
      <c r="A247" s="78"/>
      <c r="B247" s="172" t="s">
        <v>119</v>
      </c>
      <c r="C247" s="78"/>
      <c r="D247" s="107"/>
      <c r="E247" s="107"/>
      <c r="F247" s="107"/>
      <c r="G247" s="107"/>
      <c r="H247" s="71"/>
      <c r="I247" s="107"/>
      <c r="J247" s="444"/>
      <c r="K247" s="444"/>
    </row>
    <row r="248" spans="1:11">
      <c r="A248" s="78" t="s">
        <v>77</v>
      </c>
      <c r="B248" s="71"/>
      <c r="C248" s="71"/>
      <c r="D248" s="107"/>
      <c r="E248" s="107"/>
      <c r="F248" s="107"/>
      <c r="G248" s="107"/>
      <c r="H248" s="71"/>
      <c r="I248" s="107"/>
      <c r="J248" s="71"/>
      <c r="K248" s="71"/>
    </row>
    <row r="249" spans="1:11" ht="13.8" thickBot="1">
      <c r="A249" s="111" t="s">
        <v>78</v>
      </c>
      <c r="B249" s="71"/>
      <c r="C249" s="71"/>
      <c r="D249" s="107"/>
      <c r="E249" s="107"/>
      <c r="F249" s="107"/>
      <c r="G249" s="107"/>
      <c r="H249" s="71"/>
      <c r="I249" s="107"/>
      <c r="J249" s="71"/>
      <c r="K249" s="71"/>
    </row>
    <row r="250" spans="1:11" ht="55.5" customHeight="1">
      <c r="A250" s="79" t="s">
        <v>79</v>
      </c>
      <c r="B250" s="868" t="s">
        <v>147</v>
      </c>
      <c r="C250" s="868"/>
      <c r="D250" s="868"/>
      <c r="E250" s="868"/>
      <c r="F250" s="868"/>
      <c r="G250" s="868"/>
      <c r="H250" s="868"/>
      <c r="I250" s="868"/>
      <c r="J250" s="71"/>
      <c r="K250" s="71"/>
    </row>
    <row r="251" spans="1:11">
      <c r="A251" s="85" t="s">
        <v>2</v>
      </c>
      <c r="B251" s="71" t="s">
        <v>449</v>
      </c>
      <c r="C251" s="71" t="s">
        <v>93</v>
      </c>
      <c r="D251" s="173">
        <v>0</v>
      </c>
      <c r="E251" s="71" t="s">
        <v>450</v>
      </c>
      <c r="F251" s="71"/>
      <c r="G251" s="71"/>
      <c r="H251" s="71"/>
      <c r="I251" s="71"/>
      <c r="J251" s="92"/>
      <c r="K251" s="92"/>
    </row>
    <row r="252" spans="1:11">
      <c r="A252" s="85"/>
      <c r="B252" s="71"/>
      <c r="C252" s="71" t="s">
        <v>94</v>
      </c>
      <c r="D252" s="173">
        <v>0</v>
      </c>
      <c r="E252" s="71" t="s">
        <v>95</v>
      </c>
      <c r="F252" s="71"/>
      <c r="G252" s="71"/>
      <c r="H252" s="71"/>
      <c r="I252" s="71"/>
      <c r="J252" s="92"/>
      <c r="K252" s="92"/>
    </row>
    <row r="253" spans="1:11">
      <c r="A253" s="85"/>
      <c r="B253" s="71"/>
      <c r="C253" s="71" t="s">
        <v>96</v>
      </c>
      <c r="D253" s="173">
        <v>0</v>
      </c>
      <c r="E253" s="71" t="s">
        <v>97</v>
      </c>
      <c r="F253" s="71"/>
      <c r="G253" s="71"/>
      <c r="H253" s="71"/>
      <c r="I253" s="71"/>
      <c r="J253" s="92"/>
      <c r="K253" s="92"/>
    </row>
    <row r="254" spans="1:11">
      <c r="A254" s="93"/>
      <c r="B254" s="923"/>
      <c r="C254" s="923"/>
      <c r="D254" s="923"/>
      <c r="E254" s="923"/>
      <c r="F254" s="923"/>
      <c r="G254" s="923"/>
      <c r="H254" s="923"/>
      <c r="I254" s="923"/>
      <c r="J254" s="92"/>
      <c r="K254" s="92"/>
    </row>
    <row r="255" spans="1:11">
      <c r="A255" s="81" t="s">
        <v>80</v>
      </c>
      <c r="B255" s="103" t="s">
        <v>1005</v>
      </c>
      <c r="J255" s="92"/>
      <c r="K255" s="92"/>
    </row>
    <row r="256" spans="1:11">
      <c r="A256" s="27" t="s">
        <v>81</v>
      </c>
      <c r="B256" s="925" t="s">
        <v>1323</v>
      </c>
      <c r="C256" s="925"/>
      <c r="D256" s="925"/>
      <c r="E256" s="925"/>
      <c r="F256" s="925"/>
      <c r="G256" s="925"/>
      <c r="H256" s="925"/>
      <c r="I256" s="925"/>
      <c r="J256" s="92"/>
      <c r="K256" s="92"/>
    </row>
    <row r="257" spans="1:11">
      <c r="A257" s="90"/>
      <c r="B257" s="924"/>
      <c r="C257" s="924"/>
      <c r="D257" s="924"/>
      <c r="E257" s="924"/>
      <c r="F257" s="924"/>
      <c r="G257" s="924"/>
      <c r="H257" s="924"/>
      <c r="I257" s="924"/>
      <c r="J257" s="89"/>
      <c r="K257" s="89"/>
    </row>
    <row r="258" spans="1:11">
      <c r="A258" s="93"/>
      <c r="B258" s="923"/>
      <c r="C258" s="923"/>
      <c r="D258" s="923"/>
      <c r="E258" s="923"/>
      <c r="F258" s="923"/>
      <c r="G258" s="923"/>
      <c r="H258" s="923"/>
      <c r="I258" s="923"/>
      <c r="J258" s="89"/>
      <c r="K258" s="89"/>
    </row>
    <row r="259" spans="1:11">
      <c r="A259" s="90"/>
      <c r="C259" s="92"/>
      <c r="D259" s="92"/>
      <c r="E259" s="92"/>
      <c r="F259" s="92"/>
      <c r="G259" s="92"/>
      <c r="H259" s="92"/>
      <c r="I259" s="92"/>
      <c r="J259" s="96"/>
      <c r="K259" s="96"/>
    </row>
    <row r="260" spans="1:11">
      <c r="A260" s="95"/>
      <c r="B260" s="94"/>
      <c r="C260" s="89"/>
      <c r="D260" s="89"/>
      <c r="E260" s="89"/>
      <c r="F260" s="89"/>
      <c r="G260" s="89"/>
      <c r="H260" s="89"/>
      <c r="I260" s="89"/>
    </row>
    <row r="261" spans="1:11">
      <c r="A261" s="95"/>
      <c r="B261" s="89"/>
      <c r="C261" s="89"/>
      <c r="D261" s="89"/>
      <c r="E261" s="89"/>
      <c r="F261" s="89"/>
      <c r="G261" s="89"/>
      <c r="H261" s="89"/>
      <c r="I261" s="89"/>
    </row>
    <row r="262" spans="1:11">
      <c r="A262" s="93"/>
      <c r="B262" s="877"/>
      <c r="C262" s="877"/>
      <c r="D262" s="877"/>
      <c r="E262" s="877"/>
      <c r="F262" s="877"/>
      <c r="G262" s="877"/>
      <c r="H262" s="877"/>
      <c r="I262" s="877"/>
      <c r="J262" s="100"/>
      <c r="K262" s="100"/>
    </row>
    <row r="263" spans="1:11" ht="25.5" customHeight="1">
      <c r="A263" s="93"/>
      <c r="J263" s="101"/>
      <c r="K263" s="101"/>
    </row>
    <row r="264" spans="1:11">
      <c r="A264" s="93"/>
      <c r="J264" s="89"/>
      <c r="K264" s="89"/>
    </row>
    <row r="265" spans="1:11">
      <c r="A265" s="90"/>
      <c r="B265" s="97"/>
      <c r="C265" s="97"/>
      <c r="D265" s="97"/>
      <c r="E265" s="97"/>
      <c r="F265" s="97"/>
      <c r="G265" s="97"/>
      <c r="H265" s="98"/>
      <c r="I265" s="99"/>
      <c r="J265" s="89"/>
      <c r="K265" s="89"/>
    </row>
    <row r="266" spans="1:11">
      <c r="A266" s="90"/>
      <c r="J266" s="89"/>
      <c r="K266" s="89"/>
    </row>
    <row r="267" spans="1:11">
      <c r="A267" s="90"/>
      <c r="B267" s="89"/>
      <c r="C267" s="89"/>
      <c r="D267" s="89"/>
      <c r="E267" s="89"/>
      <c r="F267" s="89"/>
      <c r="G267" s="89"/>
      <c r="H267" s="89"/>
      <c r="I267" s="89"/>
      <c r="J267" s="89"/>
      <c r="K267" s="89"/>
    </row>
    <row r="268" spans="1:11">
      <c r="A268" s="90"/>
      <c r="B268" s="89"/>
      <c r="C268" s="89"/>
      <c r="D268" s="89"/>
      <c r="E268" s="89"/>
      <c r="F268" s="89"/>
      <c r="G268" s="89"/>
      <c r="H268" s="89"/>
      <c r="I268" s="89"/>
      <c r="J268" s="89"/>
      <c r="K268" s="89"/>
    </row>
    <row r="269" spans="1:11">
      <c r="A269" s="90"/>
      <c r="C269" s="89"/>
      <c r="D269" s="89"/>
      <c r="E269" s="89"/>
      <c r="F269" s="89"/>
      <c r="G269" s="89"/>
      <c r="H269" s="89"/>
      <c r="I269" s="89"/>
      <c r="J269" s="89"/>
      <c r="K269" s="89"/>
    </row>
    <row r="270" spans="1:11">
      <c r="A270" s="93"/>
      <c r="B270" s="875"/>
      <c r="C270" s="875"/>
      <c r="D270" s="875"/>
      <c r="E270" s="875"/>
      <c r="F270" s="875"/>
      <c r="G270" s="875"/>
      <c r="H270" s="875"/>
      <c r="I270" s="875"/>
    </row>
    <row r="271" spans="1:11">
      <c r="A271" s="90"/>
      <c r="B271" s="102"/>
      <c r="C271" s="89"/>
      <c r="D271" s="89"/>
      <c r="E271" s="89"/>
      <c r="F271" s="89"/>
      <c r="G271" s="89"/>
      <c r="H271" s="89"/>
      <c r="I271" s="89"/>
    </row>
    <row r="272" spans="1:11">
      <c r="A272" s="89"/>
      <c r="B272" s="102"/>
      <c r="C272" s="89"/>
      <c r="D272" s="89"/>
      <c r="E272" s="89"/>
      <c r="F272" s="89"/>
      <c r="G272" s="89"/>
      <c r="H272" s="89"/>
      <c r="I272" s="89"/>
    </row>
  </sheetData>
  <sheetProtection formatCells="0" formatColumns="0"/>
  <mergeCells count="21">
    <mergeCell ref="B262:I262"/>
    <mergeCell ref="B270:I270"/>
    <mergeCell ref="B254:I254"/>
    <mergeCell ref="B257:I257"/>
    <mergeCell ref="G215:K215"/>
    <mergeCell ref="I216:K216"/>
    <mergeCell ref="J217:K217"/>
    <mergeCell ref="B258:I258"/>
    <mergeCell ref="B250:I250"/>
    <mergeCell ref="B256:I256"/>
    <mergeCell ref="N172:S172"/>
    <mergeCell ref="I1:K1"/>
    <mergeCell ref="J2:K2"/>
    <mergeCell ref="I36:K36"/>
    <mergeCell ref="J37:K37"/>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rowBreaks count="4" manualBreakCount="4">
    <brk id="35" max="10" man="1"/>
    <brk id="88" max="10" man="1"/>
    <brk id="153" max="10" man="1"/>
    <brk id="215" max="10" man="1"/>
  </rowBreaks>
  <ignoredErrors>
    <ignoredError sqref="D101:D104 D115:D119 D123:D128 D63 D56 D59:D61 I165:I167 I173:I174 D183:D186 I203:I204 D208:D210 I214 D229:D233 D237:D241 G210 D79 D82 D137:D138 D29:D35 I89 I154 I216 I196:I202 D85 D190:D192 D72:D75 D66:D71 D76:D77 D83:D84 I23 I36:K44 D54 D51 D49:D50 D52:D53 D55 D140:D145 D139 D146 G208:G209 D130 D106:D112" unlockedFormula="1"/>
    <ignoredError sqref="I70:I75 G107" formula="1"/>
    <ignoredError sqref="A44:G44 B97:I97 B224:I22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workbookViewId="0">
      <selection activeCell="A52" sqref="A52"/>
    </sheetView>
  </sheetViews>
  <sheetFormatPr defaultColWidth="8.81640625" defaultRowHeight="13.2"/>
  <cols>
    <col min="1" max="1" width="3.08984375" style="569" customWidth="1"/>
    <col min="2" max="2" width="6.54296875" style="272" customWidth="1"/>
    <col min="3" max="3" width="4.81640625" style="272" hidden="1" customWidth="1"/>
    <col min="4" max="4" width="12.1796875" style="272" customWidth="1"/>
    <col min="5" max="5" width="11.1796875" style="272" bestFit="1" customWidth="1"/>
    <col min="6" max="6" width="11.08984375" style="272" bestFit="1" customWidth="1"/>
    <col min="7" max="7" width="16.08984375" style="272" customWidth="1"/>
    <col min="8" max="8" width="12" style="272" bestFit="1" customWidth="1"/>
    <col min="9" max="9" width="13.08984375" style="272" bestFit="1" customWidth="1"/>
    <col min="10" max="10" width="10.1796875" style="272" bestFit="1" customWidth="1"/>
    <col min="11" max="12" width="10.1796875" style="272" customWidth="1"/>
    <col min="13" max="14" width="10.81640625" style="272" customWidth="1"/>
    <col min="15" max="15" width="9.54296875" style="272" bestFit="1" customWidth="1"/>
    <col min="16" max="16" width="11.08984375" style="272" customWidth="1"/>
    <col min="17" max="17" width="12.1796875" style="272" customWidth="1"/>
    <col min="18" max="18" width="11.08984375" style="272" customWidth="1"/>
    <col min="19" max="20" width="9.54296875" style="272" customWidth="1"/>
    <col min="21" max="21" width="11.08984375" style="272" customWidth="1"/>
    <col min="22" max="22" width="11.81640625" style="272" customWidth="1"/>
    <col min="23" max="27" width="11.08984375" style="272" customWidth="1"/>
    <col min="28" max="28" width="11.1796875" style="272" customWidth="1"/>
    <col min="29" max="29" width="10.1796875" style="272" customWidth="1"/>
    <col min="30" max="30" width="8.81640625" style="272"/>
    <col min="31" max="31" width="12.81640625" style="272" customWidth="1"/>
    <col min="32" max="32" width="13" style="272" customWidth="1"/>
    <col min="33" max="33" width="13.453125" style="272" customWidth="1"/>
    <col min="34" max="34" width="10.54296875" style="272" customWidth="1"/>
    <col min="35" max="35" width="8.81640625" style="272"/>
    <col min="36" max="36" width="9.54296875" style="272" customWidth="1"/>
    <col min="37" max="37" width="13.453125" style="272" customWidth="1"/>
    <col min="38" max="38" width="10.81640625" style="272" customWidth="1"/>
    <col min="39" max="39" width="10.1796875" style="272" customWidth="1"/>
    <col min="40" max="40" width="11.08984375" style="272" customWidth="1"/>
    <col min="41" max="16384" width="8.81640625" style="272"/>
  </cols>
  <sheetData>
    <row r="1" spans="1:38" ht="13.35" customHeight="1">
      <c r="A1" s="567"/>
      <c r="B1" s="537" t="s">
        <v>536</v>
      </c>
      <c r="C1" s="537"/>
      <c r="D1" s="537"/>
      <c r="E1" s="537"/>
      <c r="F1" s="537"/>
      <c r="G1" s="537"/>
      <c r="H1" s="537"/>
      <c r="I1" s="537"/>
      <c r="J1" s="537"/>
      <c r="K1" s="366"/>
      <c r="L1" s="366"/>
      <c r="M1" s="480"/>
      <c r="N1" s="480"/>
      <c r="Q1" s="480"/>
      <c r="AA1" s="932"/>
      <c r="AB1" s="932"/>
      <c r="AK1" s="932" t="s">
        <v>481</v>
      </c>
      <c r="AL1" s="932"/>
    </row>
    <row r="2" spans="1:38" ht="13.35" customHeight="1">
      <c r="A2" s="567"/>
      <c r="B2" s="537" t="s">
        <v>557</v>
      </c>
      <c r="C2" s="537"/>
      <c r="D2" s="537"/>
      <c r="E2" s="537"/>
      <c r="F2" s="537"/>
      <c r="G2" s="537"/>
      <c r="H2" s="537"/>
      <c r="I2" s="537"/>
      <c r="J2" s="537"/>
      <c r="K2" s="366"/>
      <c r="L2" s="366"/>
      <c r="M2" s="481"/>
      <c r="N2" s="481"/>
      <c r="Q2" s="481"/>
      <c r="AB2" s="481"/>
      <c r="AL2" s="481"/>
    </row>
    <row r="3" spans="1:38" ht="13.35" customHeight="1">
      <c r="A3" s="568"/>
      <c r="B3" s="537" t="str">
        <f>'Act Att-H'!C7</f>
        <v>Cheyenne Light, Fuel &amp; Power</v>
      </c>
      <c r="C3" s="537"/>
      <c r="D3" s="537"/>
      <c r="E3" s="537"/>
      <c r="F3" s="537"/>
      <c r="G3" s="537"/>
      <c r="H3" s="537"/>
      <c r="I3" s="537"/>
      <c r="J3" s="537"/>
      <c r="K3" s="366"/>
      <c r="L3" s="366"/>
    </row>
    <row r="4" spans="1:38" ht="13.35" customHeight="1">
      <c r="I4" s="273"/>
      <c r="J4" s="273" t="s">
        <v>857</v>
      </c>
      <c r="K4" s="273"/>
      <c r="L4" s="273"/>
      <c r="P4" s="273"/>
      <c r="Q4" s="273" t="s">
        <v>482</v>
      </c>
      <c r="V4" s="273" t="s">
        <v>483</v>
      </c>
      <c r="AA4" s="273" t="s">
        <v>858</v>
      </c>
      <c r="AL4" s="272" t="s">
        <v>483</v>
      </c>
    </row>
    <row r="5" spans="1:38">
      <c r="G5" s="55"/>
      <c r="H5" s="55"/>
      <c r="I5" s="55"/>
      <c r="J5" s="55"/>
      <c r="K5" s="55"/>
      <c r="L5" s="55"/>
      <c r="AA5" s="273"/>
    </row>
    <row r="6" spans="1:38">
      <c r="B6" s="926"/>
      <c r="C6" s="926"/>
      <c r="D6" s="926"/>
      <c r="E6" s="926"/>
      <c r="F6" s="927"/>
      <c r="G6" s="482"/>
      <c r="H6" s="483"/>
      <c r="I6" s="483"/>
      <c r="J6" s="484"/>
      <c r="K6" s="276"/>
      <c r="L6" s="276"/>
      <c r="M6" s="276"/>
      <c r="N6" s="276"/>
      <c r="Q6" s="276"/>
      <c r="X6" s="277"/>
    </row>
    <row r="7" spans="1:38">
      <c r="B7" s="928" t="s">
        <v>728</v>
      </c>
      <c r="C7" s="928"/>
      <c r="D7" s="928"/>
      <c r="E7" s="928"/>
      <c r="F7" s="928"/>
      <c r="G7" s="929" t="s">
        <v>489</v>
      </c>
      <c r="H7" s="930"/>
      <c r="I7" s="930"/>
      <c r="J7" s="931"/>
      <c r="K7" s="559"/>
      <c r="L7" s="559"/>
      <c r="M7" s="348"/>
      <c r="N7" s="348"/>
      <c r="Q7" s="348"/>
    </row>
    <row r="8" spans="1:38">
      <c r="G8" s="485"/>
      <c r="H8" s="412"/>
      <c r="I8" s="412"/>
      <c r="J8" s="574"/>
      <c r="K8" s="580"/>
      <c r="L8" s="581"/>
      <c r="M8" s="483"/>
      <c r="N8" s="483"/>
      <c r="O8" s="483"/>
      <c r="P8" s="400"/>
      <c r="Q8" s="588"/>
      <c r="R8" s="482"/>
      <c r="S8" s="937" t="s">
        <v>903</v>
      </c>
      <c r="T8" s="937"/>
      <c r="U8" s="937"/>
      <c r="V8" s="938"/>
      <c r="W8" s="936" t="s">
        <v>904</v>
      </c>
      <c r="X8" s="937"/>
      <c r="Y8" s="937"/>
      <c r="Z8" s="937"/>
      <c r="AA8" s="938"/>
    </row>
    <row r="9" spans="1:38">
      <c r="G9" s="349"/>
      <c r="H9" s="412"/>
      <c r="I9" s="412" t="s">
        <v>490</v>
      </c>
      <c r="J9" s="486" t="s">
        <v>490</v>
      </c>
      <c r="K9" s="487"/>
      <c r="L9" s="933" t="s">
        <v>864</v>
      </c>
      <c r="M9" s="933"/>
      <c r="N9" s="298"/>
      <c r="O9" s="298"/>
      <c r="P9" s="934" t="s">
        <v>892</v>
      </c>
      <c r="Q9" s="935"/>
      <c r="R9" s="351"/>
      <c r="S9" s="275"/>
      <c r="T9" s="275"/>
      <c r="U9" s="275"/>
      <c r="V9" s="283"/>
      <c r="W9" s="351"/>
      <c r="X9" s="275"/>
      <c r="Y9" s="275"/>
      <c r="Z9" s="275"/>
      <c r="AA9" s="283"/>
    </row>
    <row r="10" spans="1:38">
      <c r="B10" s="390" t="s">
        <v>268</v>
      </c>
      <c r="G10" s="487" t="s">
        <v>491</v>
      </c>
      <c r="H10" s="298"/>
      <c r="I10" s="298" t="s">
        <v>485</v>
      </c>
      <c r="J10" s="488" t="s">
        <v>492</v>
      </c>
      <c r="K10" s="487" t="s">
        <v>871</v>
      </c>
      <c r="L10" s="933" t="s">
        <v>863</v>
      </c>
      <c r="M10" s="933"/>
      <c r="N10" s="933" t="s">
        <v>891</v>
      </c>
      <c r="O10" s="933"/>
      <c r="P10" s="934" t="s">
        <v>905</v>
      </c>
      <c r="Q10" s="935"/>
      <c r="R10" s="487" t="s">
        <v>872</v>
      </c>
      <c r="S10" s="298" t="s">
        <v>866</v>
      </c>
      <c r="T10" s="298" t="s">
        <v>867</v>
      </c>
      <c r="U10" s="298"/>
      <c r="V10" s="488"/>
      <c r="W10" s="487" t="s">
        <v>872</v>
      </c>
      <c r="X10" s="298" t="s">
        <v>866</v>
      </c>
      <c r="Y10" s="298" t="s">
        <v>867</v>
      </c>
      <c r="Z10" s="298"/>
      <c r="AA10" s="488"/>
    </row>
    <row r="11" spans="1:38" ht="16.5" customHeight="1" thickBot="1">
      <c r="A11" s="571" t="s">
        <v>873</v>
      </c>
      <c r="B11" s="489" t="s">
        <v>656</v>
      </c>
      <c r="C11" s="489"/>
      <c r="D11" s="489" t="s">
        <v>484</v>
      </c>
      <c r="E11" s="489" t="s">
        <v>485</v>
      </c>
      <c r="F11" s="489" t="s">
        <v>486</v>
      </c>
      <c r="G11" s="490" t="s">
        <v>644</v>
      </c>
      <c r="H11" s="491" t="s">
        <v>493</v>
      </c>
      <c r="I11" s="491" t="s">
        <v>645</v>
      </c>
      <c r="J11" s="492" t="s">
        <v>485</v>
      </c>
      <c r="K11" s="561" t="s">
        <v>870</v>
      </c>
      <c r="L11" s="562" t="s">
        <v>903</v>
      </c>
      <c r="M11" s="562" t="s">
        <v>904</v>
      </c>
      <c r="N11" s="562" t="s">
        <v>903</v>
      </c>
      <c r="O11" s="562" t="s">
        <v>904</v>
      </c>
      <c r="P11" s="562" t="s">
        <v>903</v>
      </c>
      <c r="Q11" s="680" t="s">
        <v>904</v>
      </c>
      <c r="R11" s="565" t="s">
        <v>562</v>
      </c>
      <c r="S11" s="563" t="s">
        <v>485</v>
      </c>
      <c r="T11" s="563" t="s">
        <v>860</v>
      </c>
      <c r="U11" s="563" t="s">
        <v>861</v>
      </c>
      <c r="V11" s="566" t="s">
        <v>862</v>
      </c>
      <c r="W11" s="565" t="s">
        <v>562</v>
      </c>
      <c r="X11" s="563" t="s">
        <v>485</v>
      </c>
      <c r="Y11" s="563" t="s">
        <v>860</v>
      </c>
      <c r="Z11" s="563" t="s">
        <v>861</v>
      </c>
      <c r="AA11" s="566" t="s">
        <v>862</v>
      </c>
    </row>
    <row r="12" spans="1:38">
      <c r="A12" s="570">
        <v>1</v>
      </c>
      <c r="G12" s="351"/>
      <c r="H12" s="493"/>
      <c r="I12" s="494">
        <f>IF('Act Att-H'!D46=0,0,ROUND('Act Att-H'!D119/'Act Att-H'!D46,6)/12)</f>
        <v>1.6558333333333332E-3</v>
      </c>
      <c r="J12" s="495"/>
      <c r="K12" s="351"/>
      <c r="L12" s="275"/>
      <c r="M12" s="275"/>
      <c r="N12" s="275"/>
      <c r="O12" s="275"/>
      <c r="P12" s="278"/>
      <c r="Q12" s="681"/>
      <c r="R12" s="351"/>
      <c r="S12" s="275"/>
      <c r="T12" s="275"/>
      <c r="U12" s="275"/>
      <c r="V12" s="283"/>
      <c r="W12" s="351"/>
      <c r="X12" s="275"/>
      <c r="Y12" s="275"/>
      <c r="Z12" s="275"/>
      <c r="AA12" s="283"/>
    </row>
    <row r="13" spans="1:38">
      <c r="A13" s="570">
        <v>2</v>
      </c>
      <c r="G13" s="351"/>
      <c r="H13" s="275"/>
      <c r="I13" s="496"/>
      <c r="J13" s="283"/>
      <c r="K13" s="351"/>
      <c r="L13" s="275"/>
      <c r="M13" s="275"/>
      <c r="N13" s="275" t="s">
        <v>865</v>
      </c>
      <c r="O13" s="275"/>
      <c r="P13" s="278"/>
      <c r="Q13" s="681"/>
      <c r="R13" s="351"/>
      <c r="S13" s="275"/>
      <c r="T13" s="275"/>
      <c r="U13" s="275"/>
      <c r="V13" s="283"/>
      <c r="W13" s="351"/>
      <c r="X13" s="275"/>
      <c r="Y13" s="275"/>
      <c r="Z13" s="275"/>
      <c r="AA13" s="283"/>
    </row>
    <row r="14" spans="1:38" ht="25.5" customHeight="1">
      <c r="A14" s="570">
        <v>3</v>
      </c>
      <c r="B14" s="292"/>
      <c r="C14" s="292"/>
      <c r="D14" s="497"/>
      <c r="E14" s="498"/>
      <c r="F14" s="282"/>
      <c r="G14" s="576" t="s">
        <v>1169</v>
      </c>
      <c r="H14" s="350">
        <f>'A4-Rate Base'!D22</f>
        <v>178886824.50000003</v>
      </c>
      <c r="I14" s="498"/>
      <c r="J14" s="281">
        <f>'A4-Rate Base'!F45</f>
        <v>11830841.514701752</v>
      </c>
      <c r="K14" s="351"/>
      <c r="L14" s="275"/>
      <c r="M14" s="282"/>
      <c r="N14" s="282"/>
      <c r="O14" s="275"/>
      <c r="P14" s="590">
        <v>0</v>
      </c>
      <c r="Q14" s="682">
        <v>0</v>
      </c>
      <c r="R14" s="351"/>
      <c r="S14" s="275"/>
      <c r="T14" s="275"/>
      <c r="U14" s="275"/>
      <c r="V14" s="283"/>
      <c r="W14" s="351"/>
      <c r="X14" s="275"/>
      <c r="Y14" s="275"/>
      <c r="Z14" s="275"/>
      <c r="AA14" s="283"/>
    </row>
    <row r="15" spans="1:38">
      <c r="G15" s="351"/>
      <c r="H15" s="275"/>
      <c r="I15" s="275"/>
      <c r="J15" s="283"/>
      <c r="K15" s="351"/>
      <c r="L15" s="275"/>
      <c r="M15" s="275"/>
      <c r="N15" s="275"/>
      <c r="O15" s="275"/>
      <c r="P15" s="278"/>
      <c r="Q15" s="681"/>
      <c r="R15" s="351"/>
      <c r="S15" s="275"/>
      <c r="T15" s="275"/>
      <c r="U15" s="275"/>
      <c r="V15" s="283"/>
      <c r="W15" s="351"/>
      <c r="X15" s="275"/>
      <c r="Y15" s="275"/>
      <c r="Z15" s="275"/>
      <c r="AA15" s="283"/>
    </row>
    <row r="16" spans="1:38" s="575" customFormat="1">
      <c r="A16" s="722"/>
      <c r="B16" s="723" t="s">
        <v>508</v>
      </c>
      <c r="C16" s="723"/>
      <c r="D16" s="723" t="s">
        <v>509</v>
      </c>
      <c r="E16" s="723" t="s">
        <v>510</v>
      </c>
      <c r="F16" s="723" t="s">
        <v>511</v>
      </c>
      <c r="G16" s="724" t="s">
        <v>512</v>
      </c>
      <c r="H16" s="723" t="s">
        <v>513</v>
      </c>
      <c r="I16" s="723" t="s">
        <v>874</v>
      </c>
      <c r="J16" s="725" t="s">
        <v>875</v>
      </c>
      <c r="K16" s="724" t="s">
        <v>876</v>
      </c>
      <c r="L16" s="723" t="s">
        <v>877</v>
      </c>
      <c r="M16" s="726" t="s">
        <v>878</v>
      </c>
      <c r="N16" s="723" t="s">
        <v>879</v>
      </c>
      <c r="O16" s="723" t="s">
        <v>880</v>
      </c>
      <c r="P16" s="723" t="s">
        <v>881</v>
      </c>
      <c r="Q16" s="727" t="s">
        <v>882</v>
      </c>
      <c r="R16" s="724" t="s">
        <v>883</v>
      </c>
      <c r="S16" s="723" t="s">
        <v>884</v>
      </c>
      <c r="T16" s="723" t="s">
        <v>885</v>
      </c>
      <c r="U16" s="723" t="s">
        <v>886</v>
      </c>
      <c r="V16" s="725" t="s">
        <v>887</v>
      </c>
      <c r="W16" s="724" t="s">
        <v>888</v>
      </c>
      <c r="X16" s="723" t="s">
        <v>1152</v>
      </c>
      <c r="Y16" s="723" t="s">
        <v>1153</v>
      </c>
      <c r="Z16" s="723" t="s">
        <v>1154</v>
      </c>
      <c r="AA16" s="725" t="s">
        <v>1155</v>
      </c>
    </row>
    <row r="17" spans="1:27">
      <c r="G17" s="352"/>
      <c r="H17" s="284"/>
      <c r="I17" s="275"/>
      <c r="J17" s="283"/>
      <c r="K17" s="351"/>
      <c r="L17" s="275"/>
      <c r="M17" s="275"/>
      <c r="N17" s="275"/>
      <c r="O17" s="275"/>
      <c r="P17" s="278"/>
      <c r="Q17" s="681"/>
      <c r="R17" s="351"/>
      <c r="S17" s="275"/>
      <c r="T17" s="275"/>
      <c r="U17" s="275"/>
      <c r="V17" s="283"/>
      <c r="W17" s="351"/>
      <c r="X17" s="275"/>
      <c r="Y17" s="275"/>
      <c r="Z17" s="275"/>
      <c r="AA17" s="283"/>
    </row>
    <row r="18" spans="1:27">
      <c r="A18" s="570">
        <f>+A14+1</f>
        <v>4</v>
      </c>
      <c r="B18" s="285" t="s">
        <v>1170</v>
      </c>
      <c r="C18" s="499"/>
      <c r="D18" s="409">
        <f>H18</f>
        <v>178886824.50000003</v>
      </c>
      <c r="E18" s="409">
        <f>I18</f>
        <v>296206.76690125</v>
      </c>
      <c r="F18" s="409">
        <f>J18</f>
        <v>12127048.281603001</v>
      </c>
      <c r="G18" s="500">
        <v>0</v>
      </c>
      <c r="H18" s="501">
        <f>H$14+G18</f>
        <v>178886824.50000003</v>
      </c>
      <c r="I18" s="502">
        <f>I$12*H14</f>
        <v>296206.76690125</v>
      </c>
      <c r="J18" s="503">
        <f>J14+I18</f>
        <v>12127048.281603001</v>
      </c>
      <c r="K18" s="683">
        <f>G18</f>
        <v>0</v>
      </c>
      <c r="L18" s="560">
        <v>0</v>
      </c>
      <c r="M18" s="560">
        <v>0</v>
      </c>
      <c r="N18" s="275">
        <f t="shared" ref="N18:N29" si="0">K18*L18</f>
        <v>0</v>
      </c>
      <c r="O18" s="275">
        <f t="shared" ref="O18:O29" si="1">K18*M18</f>
        <v>0</v>
      </c>
      <c r="P18" s="278">
        <f t="shared" ref="P18:P29" si="2">(P$14)/12</f>
        <v>0</v>
      </c>
      <c r="Q18" s="684"/>
      <c r="R18" s="693">
        <f>N$42/12+P18</f>
        <v>0</v>
      </c>
      <c r="S18" s="694">
        <f>E18</f>
        <v>296206.76690125</v>
      </c>
      <c r="T18" s="694">
        <f>S18-R18</f>
        <v>296206.76690125</v>
      </c>
      <c r="U18" s="695">
        <f>+'Proj Att-H'!$D$133</f>
        <v>0</v>
      </c>
      <c r="V18" s="696">
        <f>T18*U18</f>
        <v>0</v>
      </c>
      <c r="W18" s="697"/>
      <c r="X18" s="685"/>
      <c r="Y18" s="685"/>
      <c r="Z18" s="685"/>
      <c r="AA18" s="684"/>
    </row>
    <row r="19" spans="1:27">
      <c r="A19" s="570">
        <f t="shared" ref="A19:A41" si="3">+A18+1</f>
        <v>5</v>
      </c>
      <c r="B19" s="285" t="s">
        <v>1170</v>
      </c>
      <c r="C19" s="499"/>
      <c r="D19" s="409">
        <f t="shared" ref="D19:D41" si="4">H19</f>
        <v>178886824.50000003</v>
      </c>
      <c r="E19" s="409">
        <f t="shared" ref="E19:E41" si="5">I19</f>
        <v>296206.76690125</v>
      </c>
      <c r="F19" s="409">
        <f t="shared" ref="F19:F41" si="6">J19</f>
        <v>12423255.048504252</v>
      </c>
      <c r="G19" s="500">
        <v>0</v>
      </c>
      <c r="H19" s="501">
        <f t="shared" ref="H19:H41" si="7">H$14+G19</f>
        <v>178886824.50000003</v>
      </c>
      <c r="I19" s="502">
        <f>I$12*H18</f>
        <v>296206.76690125</v>
      </c>
      <c r="J19" s="503">
        <f t="shared" ref="J19:J41" si="8">J18+I19</f>
        <v>12423255.048504252</v>
      </c>
      <c r="K19" s="683">
        <f>G19-G18</f>
        <v>0</v>
      </c>
      <c r="L19" s="560">
        <v>0</v>
      </c>
      <c r="M19" s="560">
        <v>0</v>
      </c>
      <c r="N19" s="275">
        <f t="shared" si="0"/>
        <v>0</v>
      </c>
      <c r="O19" s="275">
        <f t="shared" si="1"/>
        <v>0</v>
      </c>
      <c r="P19" s="278">
        <f t="shared" si="2"/>
        <v>0</v>
      </c>
      <c r="Q19" s="684"/>
      <c r="R19" s="693">
        <f t="shared" ref="R19:R29" si="9">N$42/12+P19</f>
        <v>0</v>
      </c>
      <c r="S19" s="694">
        <f t="shared" ref="S19:S29" si="10">E19</f>
        <v>296206.76690125</v>
      </c>
      <c r="T19" s="694">
        <f t="shared" ref="T19:T29" si="11">S19-R19</f>
        <v>296206.76690125</v>
      </c>
      <c r="U19" s="695">
        <f>+'Proj Att-H'!$D$133</f>
        <v>0</v>
      </c>
      <c r="V19" s="696">
        <f t="shared" ref="V19:V29" si="12">T19*U19</f>
        <v>0</v>
      </c>
      <c r="W19" s="697"/>
      <c r="X19" s="685"/>
      <c r="Y19" s="685"/>
      <c r="Z19" s="685"/>
      <c r="AA19" s="684"/>
    </row>
    <row r="20" spans="1:27">
      <c r="A20" s="570">
        <f t="shared" si="3"/>
        <v>6</v>
      </c>
      <c r="B20" s="285" t="s">
        <v>1170</v>
      </c>
      <c r="C20" s="499"/>
      <c r="D20" s="409">
        <f t="shared" si="4"/>
        <v>178886824.50000003</v>
      </c>
      <c r="E20" s="409">
        <f t="shared" si="5"/>
        <v>296206.76690125</v>
      </c>
      <c r="F20" s="409">
        <f t="shared" si="6"/>
        <v>12719461.815405503</v>
      </c>
      <c r="G20" s="500">
        <v>0</v>
      </c>
      <c r="H20" s="501">
        <f t="shared" si="7"/>
        <v>178886824.50000003</v>
      </c>
      <c r="I20" s="502">
        <f t="shared" ref="I20:I41" si="13">I$12*H19</f>
        <v>296206.76690125</v>
      </c>
      <c r="J20" s="503">
        <f t="shared" si="8"/>
        <v>12719461.815405503</v>
      </c>
      <c r="K20" s="683">
        <f t="shared" ref="K20:K41" si="14">G20-G19</f>
        <v>0</v>
      </c>
      <c r="L20" s="560">
        <v>0</v>
      </c>
      <c r="M20" s="560">
        <v>0</v>
      </c>
      <c r="N20" s="275">
        <f t="shared" si="0"/>
        <v>0</v>
      </c>
      <c r="O20" s="275">
        <f t="shared" si="1"/>
        <v>0</v>
      </c>
      <c r="P20" s="278">
        <f t="shared" si="2"/>
        <v>0</v>
      </c>
      <c r="Q20" s="684"/>
      <c r="R20" s="693">
        <f t="shared" si="9"/>
        <v>0</v>
      </c>
      <c r="S20" s="694">
        <f t="shared" si="10"/>
        <v>296206.76690125</v>
      </c>
      <c r="T20" s="694">
        <f t="shared" si="11"/>
        <v>296206.76690125</v>
      </c>
      <c r="U20" s="695">
        <f>+'Proj Att-H'!$D$133</f>
        <v>0</v>
      </c>
      <c r="V20" s="696">
        <f t="shared" si="12"/>
        <v>0</v>
      </c>
      <c r="W20" s="697"/>
      <c r="X20" s="685"/>
      <c r="Y20" s="685"/>
      <c r="Z20" s="685"/>
      <c r="AA20" s="684"/>
    </row>
    <row r="21" spans="1:27">
      <c r="A21" s="570">
        <f t="shared" si="3"/>
        <v>7</v>
      </c>
      <c r="B21" s="285" t="s">
        <v>1170</v>
      </c>
      <c r="C21" s="499"/>
      <c r="D21" s="409">
        <f t="shared" si="4"/>
        <v>178886824.50000003</v>
      </c>
      <c r="E21" s="409">
        <f t="shared" si="5"/>
        <v>296206.76690125</v>
      </c>
      <c r="F21" s="409">
        <f t="shared" si="6"/>
        <v>13015668.582306754</v>
      </c>
      <c r="G21" s="500">
        <v>0</v>
      </c>
      <c r="H21" s="501">
        <f t="shared" si="7"/>
        <v>178886824.50000003</v>
      </c>
      <c r="I21" s="502">
        <f t="shared" si="13"/>
        <v>296206.76690125</v>
      </c>
      <c r="J21" s="503">
        <f t="shared" si="8"/>
        <v>13015668.582306754</v>
      </c>
      <c r="K21" s="683">
        <f t="shared" si="14"/>
        <v>0</v>
      </c>
      <c r="L21" s="560">
        <v>0</v>
      </c>
      <c r="M21" s="560">
        <v>0</v>
      </c>
      <c r="N21" s="275">
        <f t="shared" si="0"/>
        <v>0</v>
      </c>
      <c r="O21" s="275">
        <f t="shared" si="1"/>
        <v>0</v>
      </c>
      <c r="P21" s="278">
        <f t="shared" si="2"/>
        <v>0</v>
      </c>
      <c r="Q21" s="684"/>
      <c r="R21" s="693">
        <f t="shared" si="9"/>
        <v>0</v>
      </c>
      <c r="S21" s="694">
        <f t="shared" si="10"/>
        <v>296206.76690125</v>
      </c>
      <c r="T21" s="694">
        <f t="shared" si="11"/>
        <v>296206.76690125</v>
      </c>
      <c r="U21" s="695">
        <f>+'Proj Att-H'!$D$133</f>
        <v>0</v>
      </c>
      <c r="V21" s="696">
        <f t="shared" si="12"/>
        <v>0</v>
      </c>
      <c r="W21" s="697"/>
      <c r="X21" s="685"/>
      <c r="Y21" s="685"/>
      <c r="Z21" s="685"/>
      <c r="AA21" s="684"/>
    </row>
    <row r="22" spans="1:27">
      <c r="A22" s="570">
        <f t="shared" si="3"/>
        <v>8</v>
      </c>
      <c r="B22" s="285" t="s">
        <v>1170</v>
      </c>
      <c r="C22" s="499"/>
      <c r="D22" s="409">
        <f t="shared" si="4"/>
        <v>178886824.50000003</v>
      </c>
      <c r="E22" s="409">
        <f t="shared" si="5"/>
        <v>296206.76690125</v>
      </c>
      <c r="F22" s="409">
        <f t="shared" si="6"/>
        <v>13311875.349208005</v>
      </c>
      <c r="G22" s="500">
        <v>0</v>
      </c>
      <c r="H22" s="501">
        <f t="shared" si="7"/>
        <v>178886824.50000003</v>
      </c>
      <c r="I22" s="502">
        <f t="shared" si="13"/>
        <v>296206.76690125</v>
      </c>
      <c r="J22" s="503">
        <f t="shared" si="8"/>
        <v>13311875.349208005</v>
      </c>
      <c r="K22" s="683">
        <f t="shared" si="14"/>
        <v>0</v>
      </c>
      <c r="L22" s="560">
        <v>0</v>
      </c>
      <c r="M22" s="560">
        <v>0</v>
      </c>
      <c r="N22" s="275">
        <f t="shared" si="0"/>
        <v>0</v>
      </c>
      <c r="O22" s="275">
        <f t="shared" si="1"/>
        <v>0</v>
      </c>
      <c r="P22" s="278">
        <f t="shared" si="2"/>
        <v>0</v>
      </c>
      <c r="Q22" s="684"/>
      <c r="R22" s="693">
        <f t="shared" si="9"/>
        <v>0</v>
      </c>
      <c r="S22" s="694">
        <f t="shared" si="10"/>
        <v>296206.76690125</v>
      </c>
      <c r="T22" s="694">
        <f t="shared" si="11"/>
        <v>296206.76690125</v>
      </c>
      <c r="U22" s="695">
        <f>+'Proj Att-H'!$D$133</f>
        <v>0</v>
      </c>
      <c r="V22" s="696">
        <f t="shared" si="12"/>
        <v>0</v>
      </c>
      <c r="W22" s="697"/>
      <c r="X22" s="685"/>
      <c r="Y22" s="685"/>
      <c r="Z22" s="685"/>
      <c r="AA22" s="684"/>
    </row>
    <row r="23" spans="1:27">
      <c r="A23" s="570">
        <f t="shared" si="3"/>
        <v>9</v>
      </c>
      <c r="B23" s="285" t="s">
        <v>1170</v>
      </c>
      <c r="C23" s="499"/>
      <c r="D23" s="409">
        <f t="shared" si="4"/>
        <v>178886824.50000003</v>
      </c>
      <c r="E23" s="409">
        <f t="shared" si="5"/>
        <v>296206.76690125</v>
      </c>
      <c r="F23" s="409">
        <f t="shared" si="6"/>
        <v>13608082.116109256</v>
      </c>
      <c r="G23" s="500">
        <v>0</v>
      </c>
      <c r="H23" s="501">
        <f t="shared" si="7"/>
        <v>178886824.50000003</v>
      </c>
      <c r="I23" s="502">
        <f t="shared" si="13"/>
        <v>296206.76690125</v>
      </c>
      <c r="J23" s="503">
        <f t="shared" si="8"/>
        <v>13608082.116109256</v>
      </c>
      <c r="K23" s="683">
        <f t="shared" si="14"/>
        <v>0</v>
      </c>
      <c r="L23" s="560">
        <v>0</v>
      </c>
      <c r="M23" s="560">
        <v>0</v>
      </c>
      <c r="N23" s="275">
        <f t="shared" si="0"/>
        <v>0</v>
      </c>
      <c r="O23" s="275">
        <f t="shared" si="1"/>
        <v>0</v>
      </c>
      <c r="P23" s="278">
        <f t="shared" si="2"/>
        <v>0</v>
      </c>
      <c r="Q23" s="684"/>
      <c r="R23" s="693">
        <f t="shared" si="9"/>
        <v>0</v>
      </c>
      <c r="S23" s="694">
        <f t="shared" si="10"/>
        <v>296206.76690125</v>
      </c>
      <c r="T23" s="694">
        <f t="shared" si="11"/>
        <v>296206.76690125</v>
      </c>
      <c r="U23" s="695">
        <f>+'Proj Att-H'!$D$133</f>
        <v>0</v>
      </c>
      <c r="V23" s="696">
        <f t="shared" si="12"/>
        <v>0</v>
      </c>
      <c r="W23" s="697"/>
      <c r="X23" s="685"/>
      <c r="Y23" s="685"/>
      <c r="Z23" s="685"/>
      <c r="AA23" s="684"/>
    </row>
    <row r="24" spans="1:27">
      <c r="A24" s="570">
        <f t="shared" si="3"/>
        <v>10</v>
      </c>
      <c r="B24" s="285" t="s">
        <v>1170</v>
      </c>
      <c r="C24" s="499"/>
      <c r="D24" s="409">
        <f t="shared" si="4"/>
        <v>178886824.50000003</v>
      </c>
      <c r="E24" s="409">
        <f t="shared" si="5"/>
        <v>296206.76690125</v>
      </c>
      <c r="F24" s="409">
        <f t="shared" si="6"/>
        <v>13904288.883010507</v>
      </c>
      <c r="G24" s="500">
        <v>0</v>
      </c>
      <c r="H24" s="501">
        <f t="shared" si="7"/>
        <v>178886824.50000003</v>
      </c>
      <c r="I24" s="502">
        <f t="shared" si="13"/>
        <v>296206.76690125</v>
      </c>
      <c r="J24" s="503">
        <f t="shared" si="8"/>
        <v>13904288.883010507</v>
      </c>
      <c r="K24" s="683">
        <f t="shared" si="14"/>
        <v>0</v>
      </c>
      <c r="L24" s="560">
        <v>0</v>
      </c>
      <c r="M24" s="560">
        <v>0</v>
      </c>
      <c r="N24" s="275">
        <f t="shared" si="0"/>
        <v>0</v>
      </c>
      <c r="O24" s="275">
        <f t="shared" si="1"/>
        <v>0</v>
      </c>
      <c r="P24" s="278">
        <f t="shared" si="2"/>
        <v>0</v>
      </c>
      <c r="Q24" s="684"/>
      <c r="R24" s="693">
        <f t="shared" si="9"/>
        <v>0</v>
      </c>
      <c r="S24" s="694">
        <f t="shared" si="10"/>
        <v>296206.76690125</v>
      </c>
      <c r="T24" s="694">
        <f t="shared" si="11"/>
        <v>296206.76690125</v>
      </c>
      <c r="U24" s="695">
        <f>+'Proj Att-H'!$D$133</f>
        <v>0</v>
      </c>
      <c r="V24" s="696">
        <f t="shared" si="12"/>
        <v>0</v>
      </c>
      <c r="W24" s="697"/>
      <c r="X24" s="685"/>
      <c r="Y24" s="685"/>
      <c r="Z24" s="685"/>
      <c r="AA24" s="684"/>
    </row>
    <row r="25" spans="1:27">
      <c r="A25" s="570">
        <f t="shared" si="3"/>
        <v>11</v>
      </c>
      <c r="B25" s="285" t="s">
        <v>1170</v>
      </c>
      <c r="C25" s="499"/>
      <c r="D25" s="409">
        <f t="shared" si="4"/>
        <v>178886824.50000003</v>
      </c>
      <c r="E25" s="409">
        <f t="shared" si="5"/>
        <v>296206.76690125</v>
      </c>
      <c r="F25" s="409">
        <f t="shared" si="6"/>
        <v>14200495.649911758</v>
      </c>
      <c r="G25" s="500">
        <v>0</v>
      </c>
      <c r="H25" s="501">
        <f t="shared" si="7"/>
        <v>178886824.50000003</v>
      </c>
      <c r="I25" s="502">
        <f t="shared" si="13"/>
        <v>296206.76690125</v>
      </c>
      <c r="J25" s="503">
        <f t="shared" si="8"/>
        <v>14200495.649911758</v>
      </c>
      <c r="K25" s="683">
        <f t="shared" si="14"/>
        <v>0</v>
      </c>
      <c r="L25" s="560">
        <v>0</v>
      </c>
      <c r="M25" s="560">
        <v>0</v>
      </c>
      <c r="N25" s="275">
        <f t="shared" si="0"/>
        <v>0</v>
      </c>
      <c r="O25" s="275">
        <f t="shared" si="1"/>
        <v>0</v>
      </c>
      <c r="P25" s="278">
        <f t="shared" si="2"/>
        <v>0</v>
      </c>
      <c r="Q25" s="684"/>
      <c r="R25" s="693">
        <f t="shared" si="9"/>
        <v>0</v>
      </c>
      <c r="S25" s="694">
        <f t="shared" si="10"/>
        <v>296206.76690125</v>
      </c>
      <c r="T25" s="694">
        <f t="shared" si="11"/>
        <v>296206.76690125</v>
      </c>
      <c r="U25" s="695">
        <f>+'Proj Att-H'!$D$133</f>
        <v>0</v>
      </c>
      <c r="V25" s="696">
        <f t="shared" si="12"/>
        <v>0</v>
      </c>
      <c r="W25" s="697"/>
      <c r="X25" s="685"/>
      <c r="Y25" s="685"/>
      <c r="Z25" s="685"/>
      <c r="AA25" s="684"/>
    </row>
    <row r="26" spans="1:27">
      <c r="A26" s="570">
        <f t="shared" si="3"/>
        <v>12</v>
      </c>
      <c r="B26" s="285" t="s">
        <v>1170</v>
      </c>
      <c r="C26" s="499"/>
      <c r="D26" s="409">
        <f t="shared" si="4"/>
        <v>178886824.50000003</v>
      </c>
      <c r="E26" s="409">
        <f t="shared" si="5"/>
        <v>296206.76690125</v>
      </c>
      <c r="F26" s="409">
        <f t="shared" si="6"/>
        <v>14496702.416813008</v>
      </c>
      <c r="G26" s="500">
        <v>0</v>
      </c>
      <c r="H26" s="501">
        <f t="shared" si="7"/>
        <v>178886824.50000003</v>
      </c>
      <c r="I26" s="502">
        <f t="shared" si="13"/>
        <v>296206.76690125</v>
      </c>
      <c r="J26" s="503">
        <f t="shared" si="8"/>
        <v>14496702.416813008</v>
      </c>
      <c r="K26" s="683">
        <f t="shared" si="14"/>
        <v>0</v>
      </c>
      <c r="L26" s="560">
        <v>0</v>
      </c>
      <c r="M26" s="560">
        <v>0</v>
      </c>
      <c r="N26" s="275">
        <f t="shared" si="0"/>
        <v>0</v>
      </c>
      <c r="O26" s="275">
        <f t="shared" si="1"/>
        <v>0</v>
      </c>
      <c r="P26" s="278">
        <f t="shared" si="2"/>
        <v>0</v>
      </c>
      <c r="Q26" s="684"/>
      <c r="R26" s="693">
        <f t="shared" si="9"/>
        <v>0</v>
      </c>
      <c r="S26" s="694">
        <f t="shared" si="10"/>
        <v>296206.76690125</v>
      </c>
      <c r="T26" s="694">
        <f t="shared" si="11"/>
        <v>296206.76690125</v>
      </c>
      <c r="U26" s="695">
        <f>+'Proj Att-H'!$D$133</f>
        <v>0</v>
      </c>
      <c r="V26" s="696">
        <f t="shared" si="12"/>
        <v>0</v>
      </c>
      <c r="W26" s="697"/>
      <c r="X26" s="685"/>
      <c r="Y26" s="685"/>
      <c r="Z26" s="685"/>
      <c r="AA26" s="684"/>
    </row>
    <row r="27" spans="1:27">
      <c r="A27" s="570">
        <f t="shared" si="3"/>
        <v>13</v>
      </c>
      <c r="B27" s="285" t="s">
        <v>1170</v>
      </c>
      <c r="C27" s="499"/>
      <c r="D27" s="409">
        <f t="shared" si="4"/>
        <v>178886824.50000003</v>
      </c>
      <c r="E27" s="409">
        <f t="shared" si="5"/>
        <v>296206.76690125</v>
      </c>
      <c r="F27" s="409">
        <f t="shared" si="6"/>
        <v>14792909.183714259</v>
      </c>
      <c r="G27" s="500">
        <v>0</v>
      </c>
      <c r="H27" s="501">
        <f t="shared" si="7"/>
        <v>178886824.50000003</v>
      </c>
      <c r="I27" s="502">
        <f t="shared" si="13"/>
        <v>296206.76690125</v>
      </c>
      <c r="J27" s="503">
        <f t="shared" si="8"/>
        <v>14792909.183714259</v>
      </c>
      <c r="K27" s="683">
        <f t="shared" si="14"/>
        <v>0</v>
      </c>
      <c r="L27" s="560">
        <v>0</v>
      </c>
      <c r="M27" s="560">
        <v>0</v>
      </c>
      <c r="N27" s="275">
        <f t="shared" si="0"/>
        <v>0</v>
      </c>
      <c r="O27" s="275">
        <f t="shared" si="1"/>
        <v>0</v>
      </c>
      <c r="P27" s="278">
        <f t="shared" si="2"/>
        <v>0</v>
      </c>
      <c r="Q27" s="684"/>
      <c r="R27" s="693">
        <f t="shared" si="9"/>
        <v>0</v>
      </c>
      <c r="S27" s="694">
        <f t="shared" si="10"/>
        <v>296206.76690125</v>
      </c>
      <c r="T27" s="694">
        <f t="shared" si="11"/>
        <v>296206.76690125</v>
      </c>
      <c r="U27" s="695">
        <f>+'Proj Att-H'!$D$133</f>
        <v>0</v>
      </c>
      <c r="V27" s="696">
        <f t="shared" si="12"/>
        <v>0</v>
      </c>
      <c r="W27" s="697"/>
      <c r="X27" s="685"/>
      <c r="Y27" s="685"/>
      <c r="Z27" s="685"/>
      <c r="AA27" s="684"/>
    </row>
    <row r="28" spans="1:27">
      <c r="A28" s="570">
        <f t="shared" si="3"/>
        <v>14</v>
      </c>
      <c r="B28" s="285" t="s">
        <v>1170</v>
      </c>
      <c r="C28" s="499"/>
      <c r="D28" s="409">
        <f t="shared" si="4"/>
        <v>178886824.50000003</v>
      </c>
      <c r="E28" s="409">
        <f t="shared" si="5"/>
        <v>296206.76690125</v>
      </c>
      <c r="F28" s="409">
        <f t="shared" si="6"/>
        <v>15089115.95061551</v>
      </c>
      <c r="G28" s="500">
        <v>0</v>
      </c>
      <c r="H28" s="501">
        <f t="shared" si="7"/>
        <v>178886824.50000003</v>
      </c>
      <c r="I28" s="502">
        <f t="shared" si="13"/>
        <v>296206.76690125</v>
      </c>
      <c r="J28" s="503">
        <f t="shared" si="8"/>
        <v>15089115.95061551</v>
      </c>
      <c r="K28" s="683">
        <f t="shared" si="14"/>
        <v>0</v>
      </c>
      <c r="L28" s="560">
        <v>0</v>
      </c>
      <c r="M28" s="560">
        <v>0</v>
      </c>
      <c r="N28" s="275">
        <f t="shared" si="0"/>
        <v>0</v>
      </c>
      <c r="O28" s="275">
        <f t="shared" si="1"/>
        <v>0</v>
      </c>
      <c r="P28" s="278">
        <f t="shared" si="2"/>
        <v>0</v>
      </c>
      <c r="Q28" s="684"/>
      <c r="R28" s="693">
        <f t="shared" si="9"/>
        <v>0</v>
      </c>
      <c r="S28" s="694">
        <f t="shared" si="10"/>
        <v>296206.76690125</v>
      </c>
      <c r="T28" s="694">
        <f t="shared" si="11"/>
        <v>296206.76690125</v>
      </c>
      <c r="U28" s="695">
        <f>+'Proj Att-H'!$D$133</f>
        <v>0</v>
      </c>
      <c r="V28" s="696">
        <f t="shared" si="12"/>
        <v>0</v>
      </c>
      <c r="W28" s="697"/>
      <c r="X28" s="685"/>
      <c r="Y28" s="685"/>
      <c r="Z28" s="685"/>
      <c r="AA28" s="684"/>
    </row>
    <row r="29" spans="1:27">
      <c r="A29" s="570">
        <f t="shared" si="3"/>
        <v>15</v>
      </c>
      <c r="B29" s="285" t="s">
        <v>1170</v>
      </c>
      <c r="C29" s="499"/>
      <c r="D29" s="409">
        <f t="shared" si="4"/>
        <v>178886824.50000003</v>
      </c>
      <c r="E29" s="409">
        <f t="shared" si="5"/>
        <v>296206.76690125</v>
      </c>
      <c r="F29" s="409">
        <f t="shared" si="6"/>
        <v>15385322.717516761</v>
      </c>
      <c r="G29" s="500">
        <v>0</v>
      </c>
      <c r="H29" s="501">
        <f t="shared" si="7"/>
        <v>178886824.50000003</v>
      </c>
      <c r="I29" s="502">
        <f>I$12*H28</f>
        <v>296206.76690125</v>
      </c>
      <c r="J29" s="503">
        <f t="shared" si="8"/>
        <v>15385322.717516761</v>
      </c>
      <c r="K29" s="683">
        <f t="shared" si="14"/>
        <v>0</v>
      </c>
      <c r="L29" s="560">
        <v>0</v>
      </c>
      <c r="M29" s="560">
        <v>0</v>
      </c>
      <c r="N29" s="275">
        <f t="shared" si="0"/>
        <v>0</v>
      </c>
      <c r="O29" s="275">
        <f t="shared" si="1"/>
        <v>0</v>
      </c>
      <c r="P29" s="278">
        <f t="shared" si="2"/>
        <v>0</v>
      </c>
      <c r="Q29" s="684"/>
      <c r="R29" s="693">
        <f t="shared" si="9"/>
        <v>0</v>
      </c>
      <c r="S29" s="694">
        <f t="shared" si="10"/>
        <v>296206.76690125</v>
      </c>
      <c r="T29" s="694">
        <f t="shared" si="11"/>
        <v>296206.76690125</v>
      </c>
      <c r="U29" s="695">
        <f>+'Proj Att-H'!$D$133</f>
        <v>0</v>
      </c>
      <c r="V29" s="696">
        <f t="shared" si="12"/>
        <v>0</v>
      </c>
      <c r="W29" s="697"/>
      <c r="X29" s="685"/>
      <c r="Y29" s="685"/>
      <c r="Z29" s="685"/>
      <c r="AA29" s="684"/>
    </row>
    <row r="30" spans="1:27">
      <c r="A30" s="570">
        <f>+A29+1</f>
        <v>16</v>
      </c>
      <c r="B30" s="285" t="s">
        <v>1170</v>
      </c>
      <c r="C30" s="499"/>
      <c r="D30" s="409">
        <f t="shared" si="4"/>
        <v>178886824.50000003</v>
      </c>
      <c r="E30" s="409">
        <f t="shared" si="5"/>
        <v>296206.76690125</v>
      </c>
      <c r="F30" s="409">
        <f t="shared" si="6"/>
        <v>15681529.484418012</v>
      </c>
      <c r="G30" s="500">
        <v>0</v>
      </c>
      <c r="H30" s="501">
        <f t="shared" si="7"/>
        <v>178886824.50000003</v>
      </c>
      <c r="I30" s="502">
        <f t="shared" si="13"/>
        <v>296206.76690125</v>
      </c>
      <c r="J30" s="503">
        <f t="shared" si="8"/>
        <v>15681529.484418012</v>
      </c>
      <c r="K30" s="683">
        <f t="shared" si="14"/>
        <v>0</v>
      </c>
      <c r="L30" s="560">
        <v>0</v>
      </c>
      <c r="M30" s="560">
        <v>0</v>
      </c>
      <c r="N30" s="685"/>
      <c r="O30" s="275">
        <f t="shared" ref="O30:O41" si="15">K30*L30</f>
        <v>0</v>
      </c>
      <c r="P30" s="685"/>
      <c r="Q30" s="681">
        <f>(Q$14)/12</f>
        <v>0</v>
      </c>
      <c r="R30" s="697"/>
      <c r="S30" s="685"/>
      <c r="T30" s="685"/>
      <c r="U30" s="685"/>
      <c r="V30" s="684"/>
      <c r="W30" s="701">
        <f>(O$42/12)+Q30</f>
        <v>0</v>
      </c>
      <c r="X30" s="694">
        <f>E30</f>
        <v>296206.76690125</v>
      </c>
      <c r="Y30" s="694">
        <f>X30-W30</f>
        <v>296206.76690125</v>
      </c>
      <c r="Z30" s="695">
        <f>+'Proj Att-H'!$D$133</f>
        <v>0</v>
      </c>
      <c r="AA30" s="696">
        <f>Z30*Y30</f>
        <v>0</v>
      </c>
    </row>
    <row r="31" spans="1:27">
      <c r="A31" s="570">
        <f t="shared" si="3"/>
        <v>17</v>
      </c>
      <c r="B31" s="285" t="s">
        <v>1170</v>
      </c>
      <c r="C31" s="499"/>
      <c r="D31" s="409">
        <f t="shared" si="4"/>
        <v>178886824.50000003</v>
      </c>
      <c r="E31" s="409">
        <f t="shared" si="5"/>
        <v>296206.76690125</v>
      </c>
      <c r="F31" s="409">
        <f t="shared" si="6"/>
        <v>15977736.251319263</v>
      </c>
      <c r="G31" s="500">
        <v>0</v>
      </c>
      <c r="H31" s="501">
        <f t="shared" si="7"/>
        <v>178886824.50000003</v>
      </c>
      <c r="I31" s="502">
        <f t="shared" si="13"/>
        <v>296206.76690125</v>
      </c>
      <c r="J31" s="503">
        <f t="shared" si="8"/>
        <v>15977736.251319263</v>
      </c>
      <c r="K31" s="683">
        <f t="shared" si="14"/>
        <v>0</v>
      </c>
      <c r="L31" s="560">
        <v>0</v>
      </c>
      <c r="M31" s="560">
        <v>0</v>
      </c>
      <c r="N31" s="685"/>
      <c r="O31" s="275">
        <f t="shared" si="15"/>
        <v>0</v>
      </c>
      <c r="P31" s="685"/>
      <c r="Q31" s="681">
        <f t="shared" ref="Q31:Q41" si="16">(Q$14)/12</f>
        <v>0</v>
      </c>
      <c r="R31" s="697"/>
      <c r="S31" s="685"/>
      <c r="T31" s="685"/>
      <c r="U31" s="685"/>
      <c r="V31" s="684"/>
      <c r="W31" s="701">
        <f t="shared" ref="W31:W41" si="17">(O$42/12)+Q31</f>
        <v>0</v>
      </c>
      <c r="X31" s="694">
        <f t="shared" ref="X31:X41" si="18">E31</f>
        <v>296206.76690125</v>
      </c>
      <c r="Y31" s="694">
        <f t="shared" ref="Y31:Y41" si="19">X31-W31</f>
        <v>296206.76690125</v>
      </c>
      <c r="Z31" s="695">
        <f>+'Proj Att-H'!$D$133</f>
        <v>0</v>
      </c>
      <c r="AA31" s="696">
        <f t="shared" ref="AA31:AA41" si="20">Z31*Y31</f>
        <v>0</v>
      </c>
    </row>
    <row r="32" spans="1:27">
      <c r="A32" s="570">
        <f t="shared" si="3"/>
        <v>18</v>
      </c>
      <c r="B32" s="285" t="s">
        <v>1170</v>
      </c>
      <c r="C32" s="499"/>
      <c r="D32" s="409">
        <f t="shared" si="4"/>
        <v>178886824.50000003</v>
      </c>
      <c r="E32" s="409">
        <f t="shared" si="5"/>
        <v>296206.76690125</v>
      </c>
      <c r="F32" s="409">
        <f t="shared" si="6"/>
        <v>16273943.018220514</v>
      </c>
      <c r="G32" s="500">
        <v>0</v>
      </c>
      <c r="H32" s="501">
        <f t="shared" si="7"/>
        <v>178886824.50000003</v>
      </c>
      <c r="I32" s="502">
        <f t="shared" si="13"/>
        <v>296206.76690125</v>
      </c>
      <c r="J32" s="503">
        <f t="shared" si="8"/>
        <v>16273943.018220514</v>
      </c>
      <c r="K32" s="683">
        <f t="shared" si="14"/>
        <v>0</v>
      </c>
      <c r="L32" s="560">
        <v>0</v>
      </c>
      <c r="M32" s="560">
        <v>0</v>
      </c>
      <c r="N32" s="685"/>
      <c r="O32" s="275">
        <f t="shared" si="15"/>
        <v>0</v>
      </c>
      <c r="P32" s="685"/>
      <c r="Q32" s="681">
        <f t="shared" si="16"/>
        <v>0</v>
      </c>
      <c r="R32" s="697"/>
      <c r="S32" s="685"/>
      <c r="T32" s="685"/>
      <c r="U32" s="685"/>
      <c r="V32" s="684"/>
      <c r="W32" s="701">
        <f t="shared" si="17"/>
        <v>0</v>
      </c>
      <c r="X32" s="694">
        <f t="shared" si="18"/>
        <v>296206.76690125</v>
      </c>
      <c r="Y32" s="694">
        <f t="shared" si="19"/>
        <v>296206.76690125</v>
      </c>
      <c r="Z32" s="695">
        <f>+'Proj Att-H'!$D$133</f>
        <v>0</v>
      </c>
      <c r="AA32" s="696">
        <f t="shared" si="20"/>
        <v>0</v>
      </c>
    </row>
    <row r="33" spans="1:27">
      <c r="A33" s="570">
        <f t="shared" si="3"/>
        <v>19</v>
      </c>
      <c r="B33" s="285" t="s">
        <v>1170</v>
      </c>
      <c r="C33" s="499"/>
      <c r="D33" s="409">
        <f t="shared" si="4"/>
        <v>178886824.50000003</v>
      </c>
      <c r="E33" s="409">
        <f t="shared" si="5"/>
        <v>296206.76690125</v>
      </c>
      <c r="F33" s="409">
        <f t="shared" si="6"/>
        <v>16570149.785121765</v>
      </c>
      <c r="G33" s="500">
        <v>0</v>
      </c>
      <c r="H33" s="501">
        <f t="shared" si="7"/>
        <v>178886824.50000003</v>
      </c>
      <c r="I33" s="502">
        <f t="shared" si="13"/>
        <v>296206.76690125</v>
      </c>
      <c r="J33" s="503">
        <f t="shared" si="8"/>
        <v>16570149.785121765</v>
      </c>
      <c r="K33" s="683">
        <f t="shared" si="14"/>
        <v>0</v>
      </c>
      <c r="L33" s="560">
        <v>0</v>
      </c>
      <c r="M33" s="560">
        <v>0</v>
      </c>
      <c r="N33" s="685"/>
      <c r="O33" s="275">
        <f t="shared" si="15"/>
        <v>0</v>
      </c>
      <c r="P33" s="685"/>
      <c r="Q33" s="681">
        <f t="shared" si="16"/>
        <v>0</v>
      </c>
      <c r="R33" s="697"/>
      <c r="S33" s="685"/>
      <c r="T33" s="685"/>
      <c r="U33" s="685"/>
      <c r="V33" s="684"/>
      <c r="W33" s="701">
        <f t="shared" si="17"/>
        <v>0</v>
      </c>
      <c r="X33" s="694">
        <f t="shared" si="18"/>
        <v>296206.76690125</v>
      </c>
      <c r="Y33" s="694">
        <f t="shared" si="19"/>
        <v>296206.76690125</v>
      </c>
      <c r="Z33" s="695">
        <f>+'Proj Att-H'!$D$133</f>
        <v>0</v>
      </c>
      <c r="AA33" s="696">
        <f t="shared" si="20"/>
        <v>0</v>
      </c>
    </row>
    <row r="34" spans="1:27">
      <c r="A34" s="570">
        <f t="shared" si="3"/>
        <v>20</v>
      </c>
      <c r="B34" s="285" t="s">
        <v>1170</v>
      </c>
      <c r="C34" s="499"/>
      <c r="D34" s="409">
        <f t="shared" si="4"/>
        <v>178886824.50000003</v>
      </c>
      <c r="E34" s="409">
        <f t="shared" si="5"/>
        <v>296206.76690125</v>
      </c>
      <c r="F34" s="409">
        <f t="shared" si="6"/>
        <v>16866356.552023016</v>
      </c>
      <c r="G34" s="500">
        <v>0</v>
      </c>
      <c r="H34" s="501">
        <f t="shared" si="7"/>
        <v>178886824.50000003</v>
      </c>
      <c r="I34" s="502">
        <f t="shared" si="13"/>
        <v>296206.76690125</v>
      </c>
      <c r="J34" s="503">
        <f t="shared" si="8"/>
        <v>16866356.552023016</v>
      </c>
      <c r="K34" s="683">
        <f t="shared" si="14"/>
        <v>0</v>
      </c>
      <c r="L34" s="560">
        <v>0</v>
      </c>
      <c r="M34" s="560">
        <v>0</v>
      </c>
      <c r="N34" s="685"/>
      <c r="O34" s="275">
        <f t="shared" si="15"/>
        <v>0</v>
      </c>
      <c r="P34" s="685"/>
      <c r="Q34" s="681">
        <f t="shared" si="16"/>
        <v>0</v>
      </c>
      <c r="R34" s="697"/>
      <c r="S34" s="685"/>
      <c r="T34" s="685"/>
      <c r="U34" s="685"/>
      <c r="V34" s="684"/>
      <c r="W34" s="701">
        <f t="shared" si="17"/>
        <v>0</v>
      </c>
      <c r="X34" s="694">
        <f t="shared" si="18"/>
        <v>296206.76690125</v>
      </c>
      <c r="Y34" s="694">
        <f t="shared" si="19"/>
        <v>296206.76690125</v>
      </c>
      <c r="Z34" s="695">
        <f>+'Proj Att-H'!$D$133</f>
        <v>0</v>
      </c>
      <c r="AA34" s="696">
        <f t="shared" si="20"/>
        <v>0</v>
      </c>
    </row>
    <row r="35" spans="1:27">
      <c r="A35" s="570">
        <f t="shared" si="3"/>
        <v>21</v>
      </c>
      <c r="B35" s="285" t="s">
        <v>1170</v>
      </c>
      <c r="C35" s="499"/>
      <c r="D35" s="409">
        <f t="shared" si="4"/>
        <v>178886824.50000003</v>
      </c>
      <c r="E35" s="409">
        <f t="shared" si="5"/>
        <v>296206.76690125</v>
      </c>
      <c r="F35" s="409">
        <f t="shared" si="6"/>
        <v>17162563.318924267</v>
      </c>
      <c r="G35" s="500">
        <v>0</v>
      </c>
      <c r="H35" s="501">
        <f t="shared" si="7"/>
        <v>178886824.50000003</v>
      </c>
      <c r="I35" s="502">
        <f t="shared" si="13"/>
        <v>296206.76690125</v>
      </c>
      <c r="J35" s="503">
        <f t="shared" si="8"/>
        <v>17162563.318924267</v>
      </c>
      <c r="K35" s="683">
        <f t="shared" si="14"/>
        <v>0</v>
      </c>
      <c r="L35" s="560">
        <v>0</v>
      </c>
      <c r="M35" s="560">
        <v>0</v>
      </c>
      <c r="N35" s="685"/>
      <c r="O35" s="275">
        <f t="shared" si="15"/>
        <v>0</v>
      </c>
      <c r="P35" s="685"/>
      <c r="Q35" s="681">
        <f t="shared" si="16"/>
        <v>0</v>
      </c>
      <c r="R35" s="697"/>
      <c r="S35" s="685"/>
      <c r="T35" s="685"/>
      <c r="U35" s="685"/>
      <c r="V35" s="684"/>
      <c r="W35" s="701">
        <f t="shared" si="17"/>
        <v>0</v>
      </c>
      <c r="X35" s="694">
        <f t="shared" si="18"/>
        <v>296206.76690125</v>
      </c>
      <c r="Y35" s="694">
        <f t="shared" si="19"/>
        <v>296206.76690125</v>
      </c>
      <c r="Z35" s="695">
        <f>+'Proj Att-H'!$D$133</f>
        <v>0</v>
      </c>
      <c r="AA35" s="696">
        <f t="shared" si="20"/>
        <v>0</v>
      </c>
    </row>
    <row r="36" spans="1:27">
      <c r="A36" s="570">
        <f t="shared" si="3"/>
        <v>22</v>
      </c>
      <c r="B36" s="285" t="s">
        <v>1170</v>
      </c>
      <c r="C36" s="499"/>
      <c r="D36" s="409">
        <f t="shared" si="4"/>
        <v>178886824.50000003</v>
      </c>
      <c r="E36" s="409">
        <f t="shared" si="5"/>
        <v>296206.76690125</v>
      </c>
      <c r="F36" s="409">
        <f t="shared" si="6"/>
        <v>17458770.085825518</v>
      </c>
      <c r="G36" s="500">
        <v>0</v>
      </c>
      <c r="H36" s="501">
        <f t="shared" si="7"/>
        <v>178886824.50000003</v>
      </c>
      <c r="I36" s="502">
        <f t="shared" si="13"/>
        <v>296206.76690125</v>
      </c>
      <c r="J36" s="503">
        <f t="shared" si="8"/>
        <v>17458770.085825518</v>
      </c>
      <c r="K36" s="683">
        <f t="shared" si="14"/>
        <v>0</v>
      </c>
      <c r="L36" s="560">
        <v>0</v>
      </c>
      <c r="M36" s="560">
        <v>0</v>
      </c>
      <c r="N36" s="685"/>
      <c r="O36" s="275">
        <f t="shared" si="15"/>
        <v>0</v>
      </c>
      <c r="P36" s="685"/>
      <c r="Q36" s="681">
        <f t="shared" si="16"/>
        <v>0</v>
      </c>
      <c r="R36" s="697"/>
      <c r="S36" s="685"/>
      <c r="T36" s="685"/>
      <c r="U36" s="685"/>
      <c r="V36" s="684"/>
      <c r="W36" s="701">
        <f t="shared" si="17"/>
        <v>0</v>
      </c>
      <c r="X36" s="694">
        <f t="shared" si="18"/>
        <v>296206.76690125</v>
      </c>
      <c r="Y36" s="694">
        <f t="shared" si="19"/>
        <v>296206.76690125</v>
      </c>
      <c r="Z36" s="695">
        <f>+'Proj Att-H'!$D$133</f>
        <v>0</v>
      </c>
      <c r="AA36" s="696">
        <f t="shared" si="20"/>
        <v>0</v>
      </c>
    </row>
    <row r="37" spans="1:27">
      <c r="A37" s="570">
        <f t="shared" si="3"/>
        <v>23</v>
      </c>
      <c r="B37" s="285" t="s">
        <v>1170</v>
      </c>
      <c r="C37" s="499"/>
      <c r="D37" s="409">
        <f t="shared" si="4"/>
        <v>178886824.50000003</v>
      </c>
      <c r="E37" s="409">
        <f t="shared" si="5"/>
        <v>296206.76690125</v>
      </c>
      <c r="F37" s="409">
        <f t="shared" si="6"/>
        <v>17754976.852726769</v>
      </c>
      <c r="G37" s="500">
        <v>0</v>
      </c>
      <c r="H37" s="501">
        <f t="shared" si="7"/>
        <v>178886824.50000003</v>
      </c>
      <c r="I37" s="502">
        <f t="shared" si="13"/>
        <v>296206.76690125</v>
      </c>
      <c r="J37" s="503">
        <f t="shared" si="8"/>
        <v>17754976.852726769</v>
      </c>
      <c r="K37" s="683">
        <f t="shared" si="14"/>
        <v>0</v>
      </c>
      <c r="L37" s="560">
        <v>0</v>
      </c>
      <c r="M37" s="560">
        <v>0</v>
      </c>
      <c r="N37" s="685"/>
      <c r="O37" s="275">
        <f t="shared" si="15"/>
        <v>0</v>
      </c>
      <c r="P37" s="685"/>
      <c r="Q37" s="681">
        <f t="shared" si="16"/>
        <v>0</v>
      </c>
      <c r="R37" s="697"/>
      <c r="S37" s="685"/>
      <c r="T37" s="685"/>
      <c r="U37" s="685"/>
      <c r="V37" s="684"/>
      <c r="W37" s="701">
        <f t="shared" si="17"/>
        <v>0</v>
      </c>
      <c r="X37" s="694">
        <f t="shared" si="18"/>
        <v>296206.76690125</v>
      </c>
      <c r="Y37" s="694">
        <f t="shared" si="19"/>
        <v>296206.76690125</v>
      </c>
      <c r="Z37" s="695">
        <f>+'Proj Att-H'!$D$133</f>
        <v>0</v>
      </c>
      <c r="AA37" s="696">
        <f t="shared" si="20"/>
        <v>0</v>
      </c>
    </row>
    <row r="38" spans="1:27">
      <c r="A38" s="570">
        <f t="shared" si="3"/>
        <v>24</v>
      </c>
      <c r="B38" s="285" t="s">
        <v>1170</v>
      </c>
      <c r="C38" s="499"/>
      <c r="D38" s="409">
        <f t="shared" si="4"/>
        <v>178886824.50000003</v>
      </c>
      <c r="E38" s="409">
        <f t="shared" si="5"/>
        <v>296206.76690125</v>
      </c>
      <c r="F38" s="409">
        <f t="shared" si="6"/>
        <v>18051183.61962802</v>
      </c>
      <c r="G38" s="500">
        <v>0</v>
      </c>
      <c r="H38" s="501">
        <f t="shared" si="7"/>
        <v>178886824.50000003</v>
      </c>
      <c r="I38" s="502">
        <f t="shared" si="13"/>
        <v>296206.76690125</v>
      </c>
      <c r="J38" s="503">
        <f t="shared" si="8"/>
        <v>18051183.61962802</v>
      </c>
      <c r="K38" s="683">
        <f t="shared" si="14"/>
        <v>0</v>
      </c>
      <c r="L38" s="560">
        <v>0</v>
      </c>
      <c r="M38" s="560">
        <v>0</v>
      </c>
      <c r="N38" s="685"/>
      <c r="O38" s="275">
        <f t="shared" si="15"/>
        <v>0</v>
      </c>
      <c r="P38" s="685"/>
      <c r="Q38" s="681">
        <f t="shared" si="16"/>
        <v>0</v>
      </c>
      <c r="R38" s="697"/>
      <c r="S38" s="685"/>
      <c r="T38" s="685"/>
      <c r="U38" s="685"/>
      <c r="V38" s="684"/>
      <c r="W38" s="701">
        <f t="shared" si="17"/>
        <v>0</v>
      </c>
      <c r="X38" s="694">
        <f t="shared" si="18"/>
        <v>296206.76690125</v>
      </c>
      <c r="Y38" s="694">
        <f t="shared" si="19"/>
        <v>296206.76690125</v>
      </c>
      <c r="Z38" s="695">
        <f>+'Proj Att-H'!$D$133</f>
        <v>0</v>
      </c>
      <c r="AA38" s="696">
        <f t="shared" si="20"/>
        <v>0</v>
      </c>
    </row>
    <row r="39" spans="1:27">
      <c r="A39" s="570">
        <f t="shared" si="3"/>
        <v>25</v>
      </c>
      <c r="B39" s="285" t="s">
        <v>1170</v>
      </c>
      <c r="C39" s="499"/>
      <c r="D39" s="409">
        <f t="shared" si="4"/>
        <v>178886824.50000003</v>
      </c>
      <c r="E39" s="409">
        <f t="shared" si="5"/>
        <v>296206.76690125</v>
      </c>
      <c r="F39" s="409">
        <f t="shared" si="6"/>
        <v>18347390.386529271</v>
      </c>
      <c r="G39" s="500">
        <v>0</v>
      </c>
      <c r="H39" s="501">
        <f t="shared" si="7"/>
        <v>178886824.50000003</v>
      </c>
      <c r="I39" s="502">
        <f t="shared" si="13"/>
        <v>296206.76690125</v>
      </c>
      <c r="J39" s="503">
        <f t="shared" si="8"/>
        <v>18347390.386529271</v>
      </c>
      <c r="K39" s="683">
        <f t="shared" si="14"/>
        <v>0</v>
      </c>
      <c r="L39" s="560">
        <v>0</v>
      </c>
      <c r="M39" s="560">
        <v>0</v>
      </c>
      <c r="N39" s="685"/>
      <c r="O39" s="275">
        <f t="shared" si="15"/>
        <v>0</v>
      </c>
      <c r="P39" s="685"/>
      <c r="Q39" s="681">
        <f t="shared" si="16"/>
        <v>0</v>
      </c>
      <c r="R39" s="697"/>
      <c r="S39" s="685"/>
      <c r="T39" s="685"/>
      <c r="U39" s="685"/>
      <c r="V39" s="684"/>
      <c r="W39" s="701">
        <f t="shared" si="17"/>
        <v>0</v>
      </c>
      <c r="X39" s="694">
        <f t="shared" si="18"/>
        <v>296206.76690125</v>
      </c>
      <c r="Y39" s="694">
        <f t="shared" si="19"/>
        <v>296206.76690125</v>
      </c>
      <c r="Z39" s="695">
        <f>+'Proj Att-H'!$D$133</f>
        <v>0</v>
      </c>
      <c r="AA39" s="696">
        <f t="shared" si="20"/>
        <v>0</v>
      </c>
    </row>
    <row r="40" spans="1:27">
      <c r="A40" s="570">
        <f t="shared" si="3"/>
        <v>26</v>
      </c>
      <c r="B40" s="285" t="s">
        <v>1170</v>
      </c>
      <c r="C40" s="499"/>
      <c r="D40" s="409">
        <f t="shared" si="4"/>
        <v>178886824.50000003</v>
      </c>
      <c r="E40" s="409">
        <f t="shared" si="5"/>
        <v>296206.76690125</v>
      </c>
      <c r="F40" s="409">
        <f t="shared" si="6"/>
        <v>18643597.153430521</v>
      </c>
      <c r="G40" s="500">
        <v>0</v>
      </c>
      <c r="H40" s="501">
        <f t="shared" si="7"/>
        <v>178886824.50000003</v>
      </c>
      <c r="I40" s="502">
        <f t="shared" si="13"/>
        <v>296206.76690125</v>
      </c>
      <c r="J40" s="503">
        <f t="shared" si="8"/>
        <v>18643597.153430521</v>
      </c>
      <c r="K40" s="683">
        <f t="shared" si="14"/>
        <v>0</v>
      </c>
      <c r="L40" s="560">
        <v>0</v>
      </c>
      <c r="M40" s="560">
        <v>0</v>
      </c>
      <c r="N40" s="685"/>
      <c r="O40" s="275">
        <f t="shared" si="15"/>
        <v>0</v>
      </c>
      <c r="P40" s="685"/>
      <c r="Q40" s="681">
        <f t="shared" si="16"/>
        <v>0</v>
      </c>
      <c r="R40" s="697"/>
      <c r="S40" s="685"/>
      <c r="T40" s="685"/>
      <c r="U40" s="685"/>
      <c r="V40" s="684"/>
      <c r="W40" s="701">
        <f t="shared" si="17"/>
        <v>0</v>
      </c>
      <c r="X40" s="694">
        <f t="shared" si="18"/>
        <v>296206.76690125</v>
      </c>
      <c r="Y40" s="694">
        <f t="shared" si="19"/>
        <v>296206.76690125</v>
      </c>
      <c r="Z40" s="695">
        <f>+'Proj Att-H'!$D$133</f>
        <v>0</v>
      </c>
      <c r="AA40" s="696">
        <f t="shared" si="20"/>
        <v>0</v>
      </c>
    </row>
    <row r="41" spans="1:27">
      <c r="A41" s="570">
        <f t="shared" si="3"/>
        <v>27</v>
      </c>
      <c r="B41" s="285" t="s">
        <v>1170</v>
      </c>
      <c r="C41" s="499"/>
      <c r="D41" s="409">
        <f t="shared" si="4"/>
        <v>178886824.50000003</v>
      </c>
      <c r="E41" s="409">
        <f t="shared" si="5"/>
        <v>296206.76690125</v>
      </c>
      <c r="F41" s="409">
        <f t="shared" si="6"/>
        <v>18939803.920331772</v>
      </c>
      <c r="G41" s="500">
        <v>0</v>
      </c>
      <c r="H41" s="501">
        <f t="shared" si="7"/>
        <v>178886824.50000003</v>
      </c>
      <c r="I41" s="502">
        <f t="shared" si="13"/>
        <v>296206.76690125</v>
      </c>
      <c r="J41" s="503">
        <f t="shared" si="8"/>
        <v>18939803.920331772</v>
      </c>
      <c r="K41" s="683">
        <f t="shared" si="14"/>
        <v>0</v>
      </c>
      <c r="L41" s="560">
        <v>0</v>
      </c>
      <c r="M41" s="560">
        <v>0</v>
      </c>
      <c r="N41" s="685"/>
      <c r="O41" s="275">
        <f t="shared" si="15"/>
        <v>0</v>
      </c>
      <c r="P41" s="685"/>
      <c r="Q41" s="681">
        <f t="shared" si="16"/>
        <v>0</v>
      </c>
      <c r="R41" s="697"/>
      <c r="S41" s="685"/>
      <c r="T41" s="685"/>
      <c r="U41" s="685"/>
      <c r="V41" s="684"/>
      <c r="W41" s="701">
        <f t="shared" si="17"/>
        <v>0</v>
      </c>
      <c r="X41" s="694">
        <f t="shared" si="18"/>
        <v>296206.76690125</v>
      </c>
      <c r="Y41" s="694">
        <f t="shared" si="19"/>
        <v>296206.76690125</v>
      </c>
      <c r="Z41" s="695">
        <f>+'Proj Att-H'!$D$133</f>
        <v>0</v>
      </c>
      <c r="AA41" s="696">
        <f t="shared" si="20"/>
        <v>0</v>
      </c>
    </row>
    <row r="42" spans="1:27">
      <c r="A42" s="569" t="s">
        <v>889</v>
      </c>
      <c r="B42" s="504"/>
      <c r="C42" s="504"/>
      <c r="G42" s="505"/>
      <c r="H42" s="291"/>
      <c r="I42" s="291"/>
      <c r="J42" s="290"/>
      <c r="K42" s="686"/>
      <c r="L42" s="291"/>
      <c r="M42" s="275"/>
      <c r="N42" s="564">
        <f t="shared" ref="N42:T42" si="21">SUM(N18:N41)</f>
        <v>0</v>
      </c>
      <c r="O42" s="564">
        <f>SUM(O18:O41)</f>
        <v>0</v>
      </c>
      <c r="P42" s="589">
        <f t="shared" si="21"/>
        <v>0</v>
      </c>
      <c r="Q42" s="687">
        <f t="shared" si="21"/>
        <v>0</v>
      </c>
      <c r="R42" s="698">
        <f t="shared" si="21"/>
        <v>0</v>
      </c>
      <c r="S42" s="564">
        <f t="shared" si="21"/>
        <v>3554481.202815</v>
      </c>
      <c r="T42" s="564">
        <f t="shared" si="21"/>
        <v>3554481.202815</v>
      </c>
      <c r="U42" s="564"/>
      <c r="V42" s="699">
        <f>T42*'Proj Att-H'!D133</f>
        <v>0</v>
      </c>
      <c r="W42" s="698">
        <f>SUM(W18:W41)</f>
        <v>0</v>
      </c>
      <c r="X42" s="564">
        <f>SUM(X18:X41)</f>
        <v>3554481.202815</v>
      </c>
      <c r="Y42" s="564">
        <f>SUM(Y18:Y41)</f>
        <v>3554481.202815</v>
      </c>
      <c r="Z42" s="564"/>
      <c r="AA42" s="699">
        <f>SUM(AA18:AA41)</f>
        <v>0</v>
      </c>
    </row>
    <row r="43" spans="1:27">
      <c r="A43" s="570">
        <f>A41+1</f>
        <v>28</v>
      </c>
      <c r="B43" s="292" t="s">
        <v>487</v>
      </c>
      <c r="C43" s="292"/>
      <c r="D43" s="409"/>
      <c r="E43" s="506">
        <f>SUM(E30:E41)</f>
        <v>3554481.202815</v>
      </c>
      <c r="F43" s="409"/>
      <c r="G43" s="351"/>
      <c r="H43" s="506"/>
      <c r="I43" s="506">
        <f>SUM(I30:I41)</f>
        <v>3554481.202815</v>
      </c>
      <c r="J43" s="290"/>
      <c r="K43" s="686"/>
      <c r="L43" s="291"/>
      <c r="M43" s="278"/>
      <c r="N43" s="278"/>
      <c r="O43" s="275"/>
      <c r="P43" s="275"/>
      <c r="Q43" s="681"/>
      <c r="R43" s="351"/>
      <c r="S43" s="275"/>
      <c r="T43" s="275"/>
      <c r="U43" s="275"/>
      <c r="V43" s="283"/>
      <c r="W43" s="351"/>
      <c r="X43" s="275"/>
      <c r="Y43" s="275"/>
      <c r="Z43" s="275"/>
      <c r="AA43" s="283"/>
    </row>
    <row r="44" spans="1:27">
      <c r="A44" s="570">
        <f>+A43+1</f>
        <v>29</v>
      </c>
      <c r="B44" s="292" t="s">
        <v>488</v>
      </c>
      <c r="C44" s="409"/>
      <c r="D44" s="409">
        <f>SUM(D29:D41)/13</f>
        <v>178886824.50000003</v>
      </c>
      <c r="E44" s="291"/>
      <c r="F44" s="409">
        <f>SUM(F29:F41)/13</f>
        <v>17162563.318924263</v>
      </c>
      <c r="G44" s="507"/>
      <c r="H44" s="646">
        <f>SUM(H29:H41)/13</f>
        <v>178886824.50000003</v>
      </c>
      <c r="I44" s="508"/>
      <c r="J44" s="509">
        <f>SUM(J29:J41)/13</f>
        <v>17162563.318924263</v>
      </c>
      <c r="K44" s="688"/>
      <c r="L44" s="689"/>
      <c r="M44" s="690"/>
      <c r="N44" s="690"/>
      <c r="O44" s="691"/>
      <c r="P44" s="691"/>
      <c r="Q44" s="692"/>
      <c r="R44" s="507"/>
      <c r="S44" s="691"/>
      <c r="T44" s="691"/>
      <c r="U44" s="691"/>
      <c r="V44" s="700"/>
      <c r="W44" s="507"/>
      <c r="X44" s="691"/>
      <c r="Y44" s="691"/>
      <c r="Z44" s="691"/>
      <c r="AA44" s="700"/>
    </row>
    <row r="45" spans="1:27">
      <c r="B45" s="292"/>
      <c r="D45" s="293"/>
      <c r="E45" s="293"/>
      <c r="F45" s="293"/>
      <c r="J45" s="294"/>
      <c r="K45" s="294"/>
      <c r="L45" s="294"/>
      <c r="M45" s="275"/>
      <c r="N45" s="275"/>
      <c r="Q45" s="275"/>
    </row>
    <row r="46" spans="1:27" ht="15.75" customHeight="1">
      <c r="A46" s="570"/>
    </row>
    <row r="48" spans="1:27">
      <c r="C48" s="296"/>
      <c r="G48" s="295" t="s">
        <v>205</v>
      </c>
    </row>
    <row r="49" spans="2:12" ht="66" customHeight="1">
      <c r="D49" s="572"/>
      <c r="E49" s="572"/>
      <c r="F49" s="572"/>
      <c r="G49" s="297" t="s">
        <v>79</v>
      </c>
      <c r="H49" s="939" t="s">
        <v>646</v>
      </c>
      <c r="I49" s="939"/>
      <c r="J49" s="939"/>
      <c r="K49" s="551"/>
      <c r="L49" s="551"/>
    </row>
    <row r="50" spans="2:12">
      <c r="B50" s="297"/>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ageMargins left="0.5" right="0.25" top="1" bottom="1" header="0.5" footer="0.5"/>
  <pageSetup scale="69"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fitToPage="1"/>
  </sheetPr>
  <dimension ref="A1:M73"/>
  <sheetViews>
    <sheetView workbookViewId="0">
      <selection activeCell="D12" sqref="D12"/>
    </sheetView>
  </sheetViews>
  <sheetFormatPr defaultColWidth="8.81640625" defaultRowHeight="13.2"/>
  <cols>
    <col min="1" max="1" width="5.1796875" style="272" customWidth="1"/>
    <col min="2" max="2" width="34.54296875" style="272" customWidth="1"/>
    <col min="3" max="3" width="29.54296875" style="272" customWidth="1"/>
    <col min="4" max="4" width="13.81640625" style="272" customWidth="1"/>
    <col min="5" max="5" width="14.81640625" style="272" customWidth="1"/>
    <col min="6" max="6" width="16.54296875" style="272" customWidth="1"/>
    <col min="7" max="7" width="3.1796875" style="272" customWidth="1"/>
    <col min="8" max="8" width="13.81640625" style="272" customWidth="1"/>
    <col min="9" max="9" width="11.1796875" style="272" customWidth="1"/>
    <col min="10" max="10" width="3.1796875" style="272" customWidth="1"/>
    <col min="11" max="11" width="14.1796875" style="272" customWidth="1"/>
    <col min="12" max="12" width="13.453125" style="272" customWidth="1"/>
    <col min="13" max="13" width="14.453125" style="272" bestFit="1" customWidth="1"/>
    <col min="14" max="14" width="13.1796875" style="272" customWidth="1"/>
    <col min="15" max="16384" width="8.81640625" style="272"/>
  </cols>
  <sheetData>
    <row r="1" spans="1:13">
      <c r="A1" s="940" t="s">
        <v>537</v>
      </c>
      <c r="B1" s="940"/>
      <c r="C1" s="940"/>
      <c r="D1" s="940"/>
      <c r="E1" s="940"/>
      <c r="F1" s="940"/>
    </row>
    <row r="2" spans="1:13">
      <c r="A2" s="940" t="s">
        <v>558</v>
      </c>
      <c r="B2" s="940"/>
      <c r="C2" s="940"/>
      <c r="D2" s="940"/>
      <c r="E2" s="940"/>
      <c r="F2" s="940"/>
    </row>
    <row r="3" spans="1:13">
      <c r="A3" s="940" t="str">
        <f>'Act Att-H'!C7</f>
        <v>Cheyenne Light, Fuel &amp; Power</v>
      </c>
      <c r="B3" s="940"/>
      <c r="C3" s="940"/>
      <c r="D3" s="940"/>
      <c r="E3" s="940"/>
      <c r="F3" s="940"/>
    </row>
    <row r="4" spans="1:13">
      <c r="A4" s="366"/>
      <c r="B4" s="366"/>
      <c r="C4" s="366"/>
      <c r="D4" s="366"/>
      <c r="E4" s="366"/>
      <c r="F4" s="384" t="s">
        <v>672</v>
      </c>
    </row>
    <row r="5" spans="1:13" s="275" customFormat="1">
      <c r="B5" s="385"/>
      <c r="D5" s="386"/>
      <c r="E5" s="386"/>
      <c r="F5" s="386"/>
    </row>
    <row r="6" spans="1:13">
      <c r="B6" s="387" t="s">
        <v>15</v>
      </c>
      <c r="C6" s="387" t="s">
        <v>16</v>
      </c>
      <c r="D6" s="387" t="s">
        <v>17</v>
      </c>
      <c r="E6" s="388" t="s">
        <v>18</v>
      </c>
      <c r="F6" s="388" t="s">
        <v>19</v>
      </c>
    </row>
    <row r="7" spans="1:13">
      <c r="B7" s="389"/>
      <c r="C7" s="275"/>
      <c r="D7" s="348"/>
      <c r="E7" s="386" t="s">
        <v>494</v>
      </c>
      <c r="F7" s="348"/>
      <c r="G7" s="275"/>
      <c r="H7" s="275"/>
      <c r="I7" s="275"/>
      <c r="J7" s="275"/>
      <c r="K7" s="275"/>
      <c r="L7" s="275"/>
      <c r="M7" s="275"/>
    </row>
    <row r="8" spans="1:13">
      <c r="B8" s="389"/>
      <c r="C8" s="275"/>
      <c r="D8" s="390"/>
      <c r="E8" s="386" t="s">
        <v>495</v>
      </c>
      <c r="F8" s="348"/>
      <c r="G8" s="275"/>
      <c r="H8" s="275"/>
      <c r="I8" s="275"/>
      <c r="J8" s="275"/>
      <c r="K8" s="275"/>
      <c r="L8" s="275"/>
      <c r="M8" s="275"/>
    </row>
    <row r="9" spans="1:13">
      <c r="B9" s="389"/>
      <c r="C9" s="275"/>
      <c r="D9" s="390" t="s">
        <v>496</v>
      </c>
      <c r="E9" s="386" t="s">
        <v>497</v>
      </c>
      <c r="F9" s="386" t="s">
        <v>491</v>
      </c>
      <c r="G9" s="275"/>
      <c r="H9" s="275"/>
      <c r="I9" s="275"/>
      <c r="J9" s="275"/>
      <c r="K9" s="275"/>
      <c r="L9" s="275"/>
      <c r="M9" s="275"/>
    </row>
    <row r="10" spans="1:13" ht="13.8" thickBot="1">
      <c r="A10" s="391" t="s">
        <v>4</v>
      </c>
      <c r="B10" s="391" t="s">
        <v>477</v>
      </c>
      <c r="C10" s="391" t="s">
        <v>577</v>
      </c>
      <c r="D10" s="391" t="s">
        <v>498</v>
      </c>
      <c r="E10" s="392" t="s">
        <v>493</v>
      </c>
      <c r="F10" s="391" t="s">
        <v>498</v>
      </c>
      <c r="G10" s="275"/>
      <c r="H10" s="275"/>
      <c r="I10" s="275"/>
      <c r="J10" s="275"/>
      <c r="K10" s="275"/>
      <c r="L10" s="275"/>
      <c r="M10" s="275"/>
    </row>
    <row r="11" spans="1:13">
      <c r="C11" s="275"/>
      <c r="D11" s="275"/>
      <c r="E11" s="275" t="s">
        <v>499</v>
      </c>
      <c r="F11" s="298" t="s">
        <v>500</v>
      </c>
      <c r="G11" s="275"/>
      <c r="H11" s="275"/>
      <c r="I11" s="275"/>
      <c r="J11" s="275"/>
      <c r="K11" s="275"/>
      <c r="L11" s="275"/>
      <c r="M11" s="275"/>
    </row>
    <row r="12" spans="1:13">
      <c r="A12" s="393">
        <v>1</v>
      </c>
      <c r="B12" s="272" t="s">
        <v>501</v>
      </c>
      <c r="C12" s="278" t="s">
        <v>578</v>
      </c>
      <c r="D12" s="280">
        <f>'Act Att-H'!I66</f>
        <v>128483775.13744086</v>
      </c>
      <c r="E12" s="394"/>
      <c r="F12" s="294"/>
      <c r="G12" s="275"/>
      <c r="H12" s="275"/>
      <c r="I12" s="275"/>
      <c r="J12" s="275"/>
      <c r="K12" s="275"/>
      <c r="L12" s="275"/>
      <c r="M12" s="275"/>
    </row>
    <row r="13" spans="1:13">
      <c r="A13" s="395">
        <v>2</v>
      </c>
      <c r="B13" s="272" t="s">
        <v>502</v>
      </c>
      <c r="C13" s="294" t="s">
        <v>647</v>
      </c>
      <c r="D13" s="294"/>
      <c r="E13" s="294"/>
      <c r="F13" s="280">
        <f>'Proj Att-H'!I61</f>
        <v>156927330.0145255</v>
      </c>
      <c r="G13" s="275"/>
      <c r="H13" s="275"/>
    </row>
    <row r="14" spans="1:13">
      <c r="A14" s="274"/>
      <c r="C14" s="294"/>
      <c r="D14" s="294"/>
      <c r="E14" s="294"/>
      <c r="F14" s="294"/>
      <c r="H14" s="275"/>
    </row>
    <row r="15" spans="1:13">
      <c r="A15" s="274"/>
      <c r="B15" s="389" t="s">
        <v>503</v>
      </c>
      <c r="C15" s="294"/>
      <c r="D15" s="294"/>
      <c r="E15" s="396"/>
      <c r="F15" s="294"/>
      <c r="H15" s="275"/>
    </row>
    <row r="16" spans="1:13">
      <c r="A16" s="395">
        <f>A13+1</f>
        <v>3</v>
      </c>
      <c r="B16" s="294" t="s">
        <v>38</v>
      </c>
      <c r="C16" s="294" t="s">
        <v>579</v>
      </c>
      <c r="D16" s="280">
        <f>'Act Att-H'!D105</f>
        <v>27726664</v>
      </c>
      <c r="E16" s="65">
        <f>IF($D$12=0,0,D16/$D$12)</f>
        <v>0.21579895181582581</v>
      </c>
      <c r="F16" s="63">
        <f>E16*F$13</f>
        <v>33864753.328390785</v>
      </c>
      <c r="G16" s="294"/>
      <c r="H16" s="275"/>
      <c r="I16" s="282"/>
    </row>
    <row r="17" spans="1:9">
      <c r="A17" s="301">
        <f>A16+1</f>
        <v>4</v>
      </c>
      <c r="B17" s="294" t="s">
        <v>144</v>
      </c>
      <c r="C17" s="294" t="s">
        <v>580</v>
      </c>
      <c r="D17" s="280">
        <f>'Act Att-H'!D106</f>
        <v>435967</v>
      </c>
      <c r="E17" s="65">
        <f t="shared" ref="E17:E26" si="0">IF($D$12=0,0,D17/$D$12)</f>
        <v>3.3931677329191185E-3</v>
      </c>
      <c r="F17" s="63">
        <f t="shared" ref="F17:F26" si="1">E17*F$13</f>
        <v>532480.75261843787</v>
      </c>
      <c r="G17" s="294"/>
      <c r="H17" s="275"/>
      <c r="I17" s="397"/>
    </row>
    <row r="18" spans="1:9">
      <c r="A18" s="301">
        <f t="shared" ref="A18:A26" si="2">A17+1</f>
        <v>5</v>
      </c>
      <c r="B18" s="294" t="s">
        <v>39</v>
      </c>
      <c r="C18" s="294" t="s">
        <v>582</v>
      </c>
      <c r="D18" s="280">
        <f>'Act Att-H'!D107</f>
        <v>26120677</v>
      </c>
      <c r="E18" s="65">
        <f t="shared" si="0"/>
        <v>0.20329942027355868</v>
      </c>
      <c r="F18" s="63">
        <f t="shared" si="1"/>
        <v>31903235.217030462</v>
      </c>
      <c r="G18" s="294"/>
      <c r="H18" s="275"/>
      <c r="I18" s="397"/>
    </row>
    <row r="19" spans="1:9">
      <c r="A19" s="301">
        <f t="shared" si="2"/>
        <v>6</v>
      </c>
      <c r="B19" s="294" t="s">
        <v>40</v>
      </c>
      <c r="C19" s="294" t="s">
        <v>581</v>
      </c>
      <c r="D19" s="280">
        <f>'Act Att-H'!D108</f>
        <v>17922938</v>
      </c>
      <c r="E19" s="65">
        <f t="shared" si="0"/>
        <v>0.13949572995366602</v>
      </c>
      <c r="F19" s="63">
        <f t="shared" si="1"/>
        <v>21890692.450056076</v>
      </c>
      <c r="G19" s="294"/>
      <c r="H19" s="275"/>
      <c r="I19" s="397"/>
    </row>
    <row r="20" spans="1:9">
      <c r="A20" s="301">
        <f t="shared" si="2"/>
        <v>7</v>
      </c>
      <c r="B20" s="71" t="s">
        <v>1164</v>
      </c>
      <c r="C20" s="294"/>
      <c r="D20" s="294"/>
      <c r="E20" s="294"/>
      <c r="F20" s="294"/>
      <c r="G20" s="294"/>
      <c r="H20" s="275"/>
      <c r="I20" s="397"/>
    </row>
    <row r="21" spans="1:9">
      <c r="A21" s="301">
        <f t="shared" si="2"/>
        <v>8</v>
      </c>
      <c r="B21" s="294" t="s">
        <v>574</v>
      </c>
      <c r="C21" s="294" t="s">
        <v>583</v>
      </c>
      <c r="D21" s="280">
        <f>'Act Att-H'!D110</f>
        <v>894033.55</v>
      </c>
      <c r="E21" s="65">
        <f t="shared" si="0"/>
        <v>6.9583381173509264E-3</v>
      </c>
      <c r="F21" s="63">
        <f t="shared" si="1"/>
        <v>1091953.4220941809</v>
      </c>
      <c r="H21" s="275"/>
      <c r="I21" s="397"/>
    </row>
    <row r="22" spans="1:9">
      <c r="A22" s="301">
        <f t="shared" si="2"/>
        <v>9</v>
      </c>
      <c r="B22" s="294" t="s">
        <v>575</v>
      </c>
      <c r="C22" s="294" t="s">
        <v>587</v>
      </c>
      <c r="D22" s="280">
        <f>'Act Att-H'!D111</f>
        <v>0</v>
      </c>
      <c r="E22" s="65">
        <f t="shared" si="0"/>
        <v>0</v>
      </c>
      <c r="F22" s="63">
        <f t="shared" si="1"/>
        <v>0</v>
      </c>
      <c r="H22" s="275"/>
      <c r="I22" s="397"/>
    </row>
    <row r="23" spans="1:9">
      <c r="A23" s="301">
        <f t="shared" si="2"/>
        <v>10</v>
      </c>
      <c r="B23" s="294" t="s">
        <v>921</v>
      </c>
      <c r="C23" s="294" t="s">
        <v>588</v>
      </c>
      <c r="D23" s="280">
        <f>'Act Att-H'!D112</f>
        <v>320689</v>
      </c>
      <c r="E23" s="398"/>
      <c r="F23" s="280">
        <f>D23</f>
        <v>320689</v>
      </c>
      <c r="H23" s="275"/>
      <c r="I23" s="397"/>
    </row>
    <row r="24" spans="1:9">
      <c r="A24" s="301">
        <f t="shared" si="2"/>
        <v>11</v>
      </c>
      <c r="B24" s="294" t="s">
        <v>922</v>
      </c>
      <c r="C24" s="294" t="s">
        <v>589</v>
      </c>
      <c r="D24" s="280">
        <f>'Act Att-H'!D113</f>
        <v>554897</v>
      </c>
      <c r="E24" s="65">
        <f t="shared" si="0"/>
        <v>4.3188098995878589E-3</v>
      </c>
      <c r="F24" s="63">
        <f t="shared" si="1"/>
        <v>677739.30638262373</v>
      </c>
      <c r="H24" s="275"/>
      <c r="I24" s="397"/>
    </row>
    <row r="25" spans="1:9">
      <c r="A25" s="301">
        <f t="shared" si="2"/>
        <v>12</v>
      </c>
      <c r="B25" s="294" t="s">
        <v>32</v>
      </c>
      <c r="C25" s="294" t="s">
        <v>584</v>
      </c>
      <c r="D25" s="280">
        <f>'Act Att-H'!D114</f>
        <v>0</v>
      </c>
      <c r="E25" s="65">
        <f t="shared" si="0"/>
        <v>0</v>
      </c>
      <c r="F25" s="63">
        <f t="shared" si="1"/>
        <v>0</v>
      </c>
      <c r="G25" s="294"/>
      <c r="H25" s="275"/>
      <c r="I25" s="399"/>
    </row>
    <row r="26" spans="1:9" ht="13.8" thickBot="1">
      <c r="A26" s="301">
        <f t="shared" si="2"/>
        <v>13</v>
      </c>
      <c r="B26" s="294" t="s">
        <v>41</v>
      </c>
      <c r="C26" s="294" t="s">
        <v>585</v>
      </c>
      <c r="D26" s="280">
        <f>'Act Att-H'!D115</f>
        <v>0</v>
      </c>
      <c r="E26" s="65">
        <f t="shared" si="0"/>
        <v>0</v>
      </c>
      <c r="F26" s="63">
        <f t="shared" si="1"/>
        <v>0</v>
      </c>
      <c r="G26" s="294"/>
      <c r="H26" s="275"/>
      <c r="I26" s="282"/>
    </row>
    <row r="27" spans="1:9">
      <c r="A27" s="301">
        <f>A26+1</f>
        <v>14</v>
      </c>
      <c r="B27" s="400" t="s">
        <v>576</v>
      </c>
      <c r="C27" s="400" t="s">
        <v>1167</v>
      </c>
      <c r="D27" s="72">
        <f>+D16-D17-D18+D19-D21+D25+D26+D22+D23-D24</f>
        <v>17964716.449999999</v>
      </c>
      <c r="E27" s="72"/>
      <c r="F27" s="72">
        <f>+F16-F17-F18+F19-F21+F25+F26+F22+F23-F24</f>
        <v>21870726.080321155</v>
      </c>
      <c r="H27" s="275"/>
    </row>
    <row r="28" spans="1:9">
      <c r="A28" s="274"/>
      <c r="C28" s="294"/>
      <c r="D28" s="294"/>
      <c r="E28" s="294"/>
      <c r="F28" s="294"/>
      <c r="H28" s="275"/>
    </row>
    <row r="29" spans="1:9">
      <c r="A29" s="274"/>
      <c r="C29" s="294"/>
      <c r="D29" s="294"/>
      <c r="E29" s="294"/>
      <c r="F29" s="294"/>
      <c r="H29" s="275"/>
    </row>
    <row r="30" spans="1:9">
      <c r="A30" s="274"/>
      <c r="B30" s="389" t="s">
        <v>504</v>
      </c>
      <c r="C30" s="294"/>
      <c r="D30" s="294"/>
      <c r="E30" s="294"/>
      <c r="F30" s="294"/>
      <c r="H30" s="275"/>
    </row>
    <row r="31" spans="1:9">
      <c r="A31" s="274"/>
      <c r="B31" s="274" t="s">
        <v>42</v>
      </c>
      <c r="C31" s="296"/>
      <c r="D31" s="294"/>
      <c r="E31" s="294"/>
      <c r="F31" s="294"/>
      <c r="H31" s="275"/>
    </row>
    <row r="32" spans="1:9">
      <c r="A32" s="395">
        <f>A27+1</f>
        <v>15</v>
      </c>
      <c r="B32" s="274" t="s">
        <v>43</v>
      </c>
      <c r="C32" s="294" t="s">
        <v>590</v>
      </c>
      <c r="D32" s="280">
        <f>'Act Att-H'!D127</f>
        <v>1051244</v>
      </c>
      <c r="E32" s="65">
        <f t="shared" ref="E32:E38" si="3">IF($D$12=0,0,D32/$D$12)</f>
        <v>8.1819202375978586E-3</v>
      </c>
      <c r="F32" s="63">
        <f t="shared" ref="F32:F38" si="4">E32*F$13</f>
        <v>1283966.8972780441</v>
      </c>
      <c r="H32" s="275"/>
    </row>
    <row r="33" spans="1:9">
      <c r="A33" s="395">
        <f>A32+1</f>
        <v>16</v>
      </c>
      <c r="B33" s="274" t="s">
        <v>44</v>
      </c>
      <c r="C33" s="294" t="s">
        <v>591</v>
      </c>
      <c r="D33" s="280">
        <f>'Act Att-H'!D128</f>
        <v>0</v>
      </c>
      <c r="E33" s="65">
        <f t="shared" si="3"/>
        <v>0</v>
      </c>
      <c r="F33" s="63">
        <f t="shared" si="4"/>
        <v>0</v>
      </c>
      <c r="H33" s="275"/>
    </row>
    <row r="34" spans="1:9">
      <c r="A34" s="395">
        <f t="shared" ref="A34:A39" si="5">A33+1</f>
        <v>17</v>
      </c>
      <c r="B34" s="274" t="s">
        <v>45</v>
      </c>
      <c r="C34" s="294"/>
      <c r="D34" s="403"/>
      <c r="E34" s="65"/>
      <c r="F34" s="63"/>
      <c r="H34" s="275"/>
    </row>
    <row r="35" spans="1:9">
      <c r="A35" s="395">
        <f t="shared" si="5"/>
        <v>18</v>
      </c>
      <c r="B35" s="728" t="s">
        <v>46</v>
      </c>
      <c r="C35" s="294" t="s">
        <v>592</v>
      </c>
      <c r="D35" s="280">
        <f>'Act Att-H'!D130</f>
        <v>2940362</v>
      </c>
      <c r="E35" s="65">
        <f t="shared" si="3"/>
        <v>2.288508410384622E-2</v>
      </c>
      <c r="F35" s="63">
        <f t="shared" si="4"/>
        <v>3591295.1455744472</v>
      </c>
      <c r="H35" s="275"/>
    </row>
    <row r="36" spans="1:9">
      <c r="A36" s="395">
        <f t="shared" si="5"/>
        <v>19</v>
      </c>
      <c r="B36" s="274" t="s">
        <v>47</v>
      </c>
      <c r="C36" s="294" t="s">
        <v>593</v>
      </c>
      <c r="D36" s="280">
        <f>'Act Att-H'!D131</f>
        <v>1455714</v>
      </c>
      <c r="E36" s="65">
        <f t="shared" si="3"/>
        <v>1.1329944177331361E-2</v>
      </c>
      <c r="F36" s="63">
        <f t="shared" si="4"/>
        <v>1777977.8889622302</v>
      </c>
      <c r="H36" s="275"/>
    </row>
    <row r="37" spans="1:9">
      <c r="A37" s="395">
        <f t="shared" si="5"/>
        <v>20</v>
      </c>
      <c r="B37" s="274" t="s">
        <v>48</v>
      </c>
      <c r="C37" s="294" t="s">
        <v>594</v>
      </c>
      <c r="D37" s="280">
        <f>'Act Att-H'!D132</f>
        <v>0</v>
      </c>
      <c r="E37" s="65">
        <f t="shared" si="3"/>
        <v>0</v>
      </c>
      <c r="F37" s="63">
        <f t="shared" si="4"/>
        <v>0</v>
      </c>
      <c r="H37" s="275"/>
    </row>
    <row r="38" spans="1:9">
      <c r="A38" s="395">
        <f t="shared" si="5"/>
        <v>21</v>
      </c>
      <c r="B38" s="274" t="s">
        <v>573</v>
      </c>
      <c r="C38" s="294" t="s">
        <v>595</v>
      </c>
      <c r="D38" s="280">
        <f>'Act Att-H'!D133</f>
        <v>0</v>
      </c>
      <c r="E38" s="65">
        <f t="shared" si="3"/>
        <v>0</v>
      </c>
      <c r="F38" s="63">
        <f t="shared" si="4"/>
        <v>0</v>
      </c>
      <c r="H38" s="275"/>
    </row>
    <row r="39" spans="1:9">
      <c r="A39" s="395">
        <f t="shared" si="5"/>
        <v>22</v>
      </c>
      <c r="B39" s="404" t="s">
        <v>505</v>
      </c>
      <c r="C39" s="405" t="s">
        <v>596</v>
      </c>
      <c r="D39" s="406">
        <f>'Act Att-H'!D134</f>
        <v>5447320</v>
      </c>
      <c r="E39" s="402"/>
      <c r="F39" s="401">
        <f>SUM(F32:F38)</f>
        <v>6653239.9318147209</v>
      </c>
      <c r="H39" s="275"/>
    </row>
    <row r="40" spans="1:9">
      <c r="A40" s="274"/>
      <c r="D40" s="407"/>
      <c r="E40" s="294"/>
      <c r="F40" s="407"/>
      <c r="H40" s="275"/>
    </row>
    <row r="41" spans="1:9">
      <c r="C41" s="408"/>
      <c r="D41" s="408"/>
      <c r="E41" s="408"/>
      <c r="F41" s="408"/>
      <c r="I41" s="409"/>
    </row>
    <row r="42" spans="1:9">
      <c r="C42" s="408"/>
      <c r="D42" s="408"/>
      <c r="E42" s="408"/>
      <c r="F42" s="408"/>
      <c r="I42" s="409"/>
    </row>
    <row r="43" spans="1:9">
      <c r="C43" s="408"/>
      <c r="D43" s="408"/>
      <c r="E43" s="408"/>
      <c r="F43" s="408"/>
      <c r="I43" s="409"/>
    </row>
    <row r="44" spans="1:9">
      <c r="C44" s="408"/>
      <c r="D44" s="408"/>
      <c r="E44" s="408"/>
      <c r="F44" s="408"/>
      <c r="I44" s="409"/>
    </row>
    <row r="45" spans="1:9">
      <c r="C45" s="408"/>
      <c r="D45" s="408"/>
      <c r="E45" s="408"/>
      <c r="F45" s="408"/>
      <c r="I45" s="409"/>
    </row>
    <row r="46" spans="1:9">
      <c r="C46" s="408"/>
      <c r="D46" s="408"/>
      <c r="E46" s="408"/>
      <c r="F46" s="408"/>
      <c r="I46" s="409"/>
    </row>
    <row r="47" spans="1:9">
      <c r="C47" s="408"/>
      <c r="D47" s="408"/>
      <c r="E47" s="408"/>
      <c r="F47" s="408"/>
      <c r="I47" s="409"/>
    </row>
    <row r="48" spans="1:9">
      <c r="C48" s="408"/>
      <c r="D48" s="408"/>
      <c r="E48" s="408"/>
      <c r="F48" s="408"/>
      <c r="I48" s="409"/>
    </row>
    <row r="49" spans="1:8">
      <c r="A49" s="276"/>
      <c r="B49" s="410"/>
      <c r="C49" s="278"/>
      <c r="D49" s="411"/>
      <c r="E49" s="412"/>
      <c r="F49" s="413"/>
      <c r="G49" s="278"/>
      <c r="H49" s="414"/>
    </row>
    <row r="50" spans="1:8">
      <c r="A50" s="276"/>
      <c r="B50" s="278"/>
      <c r="C50" s="278"/>
      <c r="D50" s="278"/>
      <c r="E50" s="278"/>
      <c r="F50" s="278"/>
      <c r="G50" s="278"/>
      <c r="H50" s="278"/>
    </row>
    <row r="51" spans="1:8">
      <c r="A51" s="276"/>
      <c r="B51" s="410"/>
      <c r="C51" s="278"/>
      <c r="D51" s="399"/>
      <c r="E51" s="412"/>
      <c r="F51" s="413"/>
      <c r="G51" s="278"/>
      <c r="H51" s="414"/>
    </row>
    <row r="52" spans="1:8">
      <c r="A52" s="276"/>
      <c r="B52" s="410"/>
      <c r="C52" s="278"/>
      <c r="D52" s="399"/>
      <c r="E52" s="278"/>
      <c r="F52" s="415"/>
      <c r="G52" s="278"/>
      <c r="H52" s="414"/>
    </row>
    <row r="53" spans="1:8">
      <c r="A53" s="275"/>
      <c r="B53" s="410"/>
      <c r="C53" s="278"/>
      <c r="D53" s="399"/>
      <c r="E53" s="278"/>
      <c r="F53" s="415"/>
      <c r="G53" s="278"/>
      <c r="H53" s="414"/>
    </row>
    <row r="54" spans="1:8">
      <c r="B54" s="410"/>
      <c r="C54" s="278"/>
      <c r="D54" s="399"/>
      <c r="E54" s="278"/>
      <c r="F54" s="415"/>
      <c r="G54" s="278"/>
      <c r="H54" s="414"/>
    </row>
    <row r="55" spans="1:8">
      <c r="B55" s="410"/>
      <c r="C55" s="278"/>
      <c r="D55" s="399"/>
      <c r="E55" s="278"/>
      <c r="F55" s="415"/>
      <c r="G55" s="278"/>
      <c r="H55" s="414"/>
    </row>
    <row r="56" spans="1:8">
      <c r="B56" s="410"/>
      <c r="C56" s="278"/>
      <c r="D56" s="414"/>
      <c r="E56" s="278"/>
      <c r="F56" s="415"/>
      <c r="G56" s="278"/>
      <c r="H56" s="414"/>
    </row>
    <row r="57" spans="1:8">
      <c r="B57" s="410"/>
      <c r="C57" s="278"/>
      <c r="D57" s="399"/>
      <c r="E57" s="278"/>
      <c r="F57" s="415"/>
      <c r="G57" s="278"/>
      <c r="H57" s="414"/>
    </row>
    <row r="58" spans="1:8">
      <c r="B58" s="410"/>
      <c r="C58" s="278"/>
      <c r="D58" s="399"/>
      <c r="E58" s="278"/>
      <c r="F58" s="415"/>
      <c r="G58" s="278"/>
      <c r="H58" s="414"/>
    </row>
    <row r="59" spans="1:8">
      <c r="B59" s="410"/>
      <c r="C59" s="278"/>
      <c r="D59" s="399"/>
      <c r="E59" s="278"/>
      <c r="F59" s="415"/>
      <c r="G59" s="278"/>
      <c r="H59" s="414"/>
    </row>
    <row r="60" spans="1:8">
      <c r="B60" s="410"/>
      <c r="C60" s="278"/>
      <c r="D60" s="399"/>
      <c r="E60" s="278"/>
      <c r="F60" s="415"/>
      <c r="G60" s="278"/>
      <c r="H60" s="414"/>
    </row>
    <row r="61" spans="1:8">
      <c r="B61" s="410"/>
      <c r="C61" s="278"/>
      <c r="D61" s="414"/>
      <c r="E61" s="278"/>
      <c r="F61" s="415"/>
      <c r="G61" s="278"/>
      <c r="H61" s="414"/>
    </row>
    <row r="62" spans="1:8">
      <c r="B62" s="410"/>
      <c r="C62" s="278"/>
      <c r="D62" s="416"/>
      <c r="E62" s="278"/>
      <c r="F62" s="415"/>
      <c r="G62" s="278"/>
      <c r="H62" s="414"/>
    </row>
    <row r="63" spans="1:8">
      <c r="B63" s="417"/>
      <c r="C63" s="278"/>
      <c r="D63" s="399"/>
      <c r="E63" s="278"/>
      <c r="F63" s="415"/>
      <c r="G63" s="278"/>
      <c r="H63" s="414"/>
    </row>
    <row r="64" spans="1:8">
      <c r="B64" s="417"/>
      <c r="C64" s="278"/>
      <c r="D64" s="416"/>
      <c r="E64" s="278"/>
      <c r="F64" s="415"/>
      <c r="G64" s="278"/>
      <c r="H64" s="414"/>
    </row>
    <row r="65" spans="2:8">
      <c r="B65" s="417"/>
      <c r="C65" s="278"/>
      <c r="D65" s="416"/>
      <c r="E65" s="278"/>
      <c r="F65" s="415"/>
      <c r="G65" s="278"/>
      <c r="H65" s="414"/>
    </row>
    <row r="66" spans="2:8">
      <c r="B66" s="417"/>
      <c r="C66" s="278"/>
      <c r="D66" s="399"/>
      <c r="E66" s="278"/>
      <c r="F66" s="415"/>
      <c r="G66" s="278"/>
      <c r="H66" s="414"/>
    </row>
    <row r="67" spans="2:8">
      <c r="B67" s="410"/>
      <c r="C67" s="278"/>
      <c r="D67" s="278"/>
      <c r="E67" s="278"/>
      <c r="F67" s="415"/>
      <c r="G67" s="278"/>
      <c r="H67" s="414"/>
    </row>
    <row r="68" spans="2:8">
      <c r="B68" s="410"/>
      <c r="C68" s="278"/>
      <c r="D68" s="278"/>
      <c r="E68" s="278"/>
      <c r="F68" s="278"/>
      <c r="G68" s="278"/>
      <c r="H68" s="414"/>
    </row>
    <row r="69" spans="2:8">
      <c r="B69" s="410"/>
      <c r="C69" s="278"/>
      <c r="D69" s="278"/>
      <c r="E69" s="278"/>
      <c r="F69" s="278"/>
      <c r="G69" s="278"/>
      <c r="H69" s="414"/>
    </row>
    <row r="70" spans="2:8">
      <c r="B70" s="410"/>
      <c r="C70" s="278"/>
      <c r="D70" s="278"/>
      <c r="E70" s="278"/>
      <c r="F70" s="278"/>
      <c r="G70" s="278"/>
      <c r="H70" s="414"/>
    </row>
    <row r="71" spans="2:8">
      <c r="B71" s="410"/>
      <c r="C71" s="278"/>
      <c r="D71" s="278"/>
      <c r="E71" s="278"/>
      <c r="F71" s="278"/>
      <c r="G71" s="278"/>
      <c r="H71" s="414"/>
    </row>
    <row r="72" spans="2:8">
      <c r="B72" s="417"/>
      <c r="C72" s="278"/>
      <c r="D72" s="414"/>
      <c r="E72" s="278"/>
      <c r="F72" s="415"/>
      <c r="G72" s="278"/>
      <c r="H72" s="414"/>
    </row>
    <row r="73" spans="2:8">
      <c r="B73" s="417"/>
      <c r="C73" s="278"/>
      <c r="D73" s="414"/>
      <c r="E73" s="278"/>
      <c r="F73" s="278"/>
      <c r="G73" s="278"/>
      <c r="H73" s="414"/>
    </row>
  </sheetData>
  <mergeCells count="3">
    <mergeCell ref="A1:F1"/>
    <mergeCell ref="A2:F2"/>
    <mergeCell ref="A3:F3"/>
  </mergeCells>
  <printOptions horizontalCentered="1"/>
  <pageMargins left="0.5" right="0.25" top="1" bottom="1" header="0.5" footer="0.5"/>
  <pageSetup scale="72" orientation="portrait" r:id="rId1"/>
  <headerFooter alignWithMargins="0"/>
  <ignoredErrors>
    <ignoredError sqref="B6:F6" numberStoredAsText="1"/>
    <ignoredError sqref="F13:F19 D12:D19 D32:D39 D21:D26 F21:F23"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O35"/>
  <sheetViews>
    <sheetView workbookViewId="0">
      <selection activeCell="A31" sqref="A31"/>
    </sheetView>
  </sheetViews>
  <sheetFormatPr defaultColWidth="8.81640625" defaultRowHeight="13.2"/>
  <cols>
    <col min="1" max="1" width="5.1796875" style="272" customWidth="1"/>
    <col min="2" max="2" width="15.08984375" style="272" customWidth="1"/>
    <col min="3" max="3" width="19.08984375" style="272" bestFit="1" customWidth="1"/>
    <col min="4" max="4" width="17.08984375" style="272" customWidth="1"/>
    <col min="5" max="5" width="17.453125" style="272" customWidth="1"/>
    <col min="6" max="6" width="13.81640625" style="272" customWidth="1"/>
    <col min="7" max="7" width="12.54296875" style="272" customWidth="1"/>
    <col min="8" max="8" width="7" style="272" customWidth="1"/>
    <col min="9" max="9" width="7.81640625" style="272" bestFit="1" customWidth="1"/>
    <col min="10" max="10" width="2.1796875" style="272" customWidth="1"/>
    <col min="11" max="11" width="6.81640625" style="272" customWidth="1"/>
    <col min="12" max="16384" width="8.81640625" style="272"/>
  </cols>
  <sheetData>
    <row r="1" spans="1:14">
      <c r="A1" s="940" t="s">
        <v>559</v>
      </c>
      <c r="B1" s="940"/>
      <c r="C1" s="940"/>
      <c r="D1" s="940"/>
      <c r="E1" s="940"/>
      <c r="F1" s="940"/>
      <c r="G1" s="940"/>
    </row>
    <row r="2" spans="1:14">
      <c r="A2" s="940" t="s">
        <v>710</v>
      </c>
      <c r="B2" s="940"/>
      <c r="C2" s="940"/>
      <c r="D2" s="940"/>
      <c r="E2" s="940"/>
      <c r="F2" s="940"/>
      <c r="G2" s="940"/>
    </row>
    <row r="3" spans="1:14">
      <c r="A3" s="940" t="str">
        <f>'P1-Trans Plant'!B3</f>
        <v>Cheyenne Light, Fuel &amp; Power</v>
      </c>
      <c r="B3" s="940"/>
      <c r="C3" s="940"/>
      <c r="D3" s="940"/>
      <c r="E3" s="940"/>
      <c r="F3" s="940"/>
      <c r="G3" s="940"/>
    </row>
    <row r="4" spans="1:14">
      <c r="A4" s="294"/>
      <c r="B4" s="294"/>
      <c r="C4" s="294"/>
      <c r="D4" s="294"/>
      <c r="E4" s="294"/>
      <c r="F4" s="294"/>
      <c r="G4" s="384" t="s">
        <v>672</v>
      </c>
    </row>
    <row r="5" spans="1:14">
      <c r="A5" s="299" t="s">
        <v>506</v>
      </c>
      <c r="B5" s="294"/>
      <c r="C5" s="294"/>
      <c r="D5" s="294"/>
      <c r="E5" s="294"/>
      <c r="F5" s="294"/>
      <c r="G5" s="294"/>
    </row>
    <row r="6" spans="1:14">
      <c r="A6" s="300"/>
      <c r="B6" s="294"/>
      <c r="C6" s="294"/>
      <c r="D6" s="294"/>
      <c r="E6" s="294"/>
      <c r="F6" s="294"/>
      <c r="G6" s="294"/>
    </row>
    <row r="7" spans="1:14" ht="15" customHeight="1">
      <c r="A7" s="301">
        <v>1</v>
      </c>
      <c r="B7" s="294" t="s">
        <v>507</v>
      </c>
      <c r="C7" s="294"/>
      <c r="D7" s="294"/>
      <c r="E7" s="294"/>
      <c r="F7" s="294"/>
      <c r="G7" s="294"/>
      <c r="I7" s="510"/>
      <c r="J7" s="294"/>
      <c r="K7" s="510"/>
      <c r="L7" s="294"/>
      <c r="M7" s="511"/>
      <c r="N7" s="294"/>
    </row>
    <row r="8" spans="1:14">
      <c r="A8" s="294"/>
      <c r="B8" s="294"/>
      <c r="C8" s="294"/>
      <c r="D8" s="294"/>
      <c r="E8" s="294"/>
      <c r="F8" s="294"/>
      <c r="G8" s="294"/>
    </row>
    <row r="9" spans="1:14">
      <c r="A9" s="294"/>
      <c r="B9" s="512" t="s">
        <v>508</v>
      </c>
      <c r="C9" s="513" t="s">
        <v>509</v>
      </c>
      <c r="D9" s="512" t="s">
        <v>510</v>
      </c>
      <c r="E9" s="512" t="s">
        <v>511</v>
      </c>
      <c r="F9" s="512" t="s">
        <v>512</v>
      </c>
      <c r="G9" s="512" t="s">
        <v>513</v>
      </c>
    </row>
    <row r="10" spans="1:14" ht="92.25" customHeight="1">
      <c r="A10" s="294"/>
      <c r="B10" s="302" t="s">
        <v>268</v>
      </c>
      <c r="C10" s="302" t="s">
        <v>566</v>
      </c>
      <c r="D10" s="303" t="s">
        <v>564</v>
      </c>
      <c r="E10" s="303" t="s">
        <v>563</v>
      </c>
      <c r="F10" s="302" t="s">
        <v>565</v>
      </c>
      <c r="G10" s="302" t="s">
        <v>514</v>
      </c>
    </row>
    <row r="11" spans="1:14">
      <c r="A11" s="301">
        <v>2</v>
      </c>
      <c r="B11" s="514" t="s">
        <v>165</v>
      </c>
      <c r="C11" s="515"/>
      <c r="D11" s="515"/>
      <c r="E11" s="516"/>
      <c r="F11" s="517"/>
      <c r="G11" s="518">
        <f t="shared" ref="G11:G18" si="0">F11</f>
        <v>0</v>
      </c>
      <c r="I11" s="519"/>
    </row>
    <row r="12" spans="1:14">
      <c r="A12" s="301">
        <v>3</v>
      </c>
      <c r="B12" s="514" t="s">
        <v>166</v>
      </c>
      <c r="C12" s="520"/>
      <c r="D12" s="520"/>
      <c r="E12" s="521"/>
      <c r="F12" s="517"/>
      <c r="G12" s="518">
        <f t="shared" si="0"/>
        <v>0</v>
      </c>
    </row>
    <row r="13" spans="1:14">
      <c r="A13" s="301">
        <v>4</v>
      </c>
      <c r="B13" s="514" t="s">
        <v>515</v>
      </c>
      <c r="C13" s="520"/>
      <c r="D13" s="520"/>
      <c r="E13" s="521"/>
      <c r="F13" s="517"/>
      <c r="G13" s="518">
        <f t="shared" si="0"/>
        <v>0</v>
      </c>
    </row>
    <row r="14" spans="1:14">
      <c r="A14" s="301">
        <v>5</v>
      </c>
      <c r="B14" s="514" t="s">
        <v>167</v>
      </c>
      <c r="C14" s="520"/>
      <c r="D14" s="520"/>
      <c r="E14" s="521"/>
      <c r="F14" s="517"/>
      <c r="G14" s="518">
        <f t="shared" si="0"/>
        <v>0</v>
      </c>
    </row>
    <row r="15" spans="1:14">
      <c r="A15" s="301">
        <v>6</v>
      </c>
      <c r="B15" s="514" t="s">
        <v>168</v>
      </c>
      <c r="C15" s="520"/>
      <c r="D15" s="520"/>
      <c r="E15" s="521"/>
      <c r="F15" s="517"/>
      <c r="G15" s="518">
        <f t="shared" si="0"/>
        <v>0</v>
      </c>
    </row>
    <row r="16" spans="1:14">
      <c r="A16" s="301">
        <v>7</v>
      </c>
      <c r="B16" s="514" t="s">
        <v>169</v>
      </c>
      <c r="C16" s="520"/>
      <c r="D16" s="520"/>
      <c r="E16" s="521"/>
      <c r="F16" s="517"/>
      <c r="G16" s="518">
        <f t="shared" si="0"/>
        <v>0</v>
      </c>
    </row>
    <row r="17" spans="1:15">
      <c r="A17" s="301">
        <v>8</v>
      </c>
      <c r="B17" s="514" t="s">
        <v>170</v>
      </c>
      <c r="C17" s="520"/>
      <c r="D17" s="520"/>
      <c r="E17" s="521"/>
      <c r="F17" s="517"/>
      <c r="G17" s="518">
        <f t="shared" si="0"/>
        <v>0</v>
      </c>
    </row>
    <row r="18" spans="1:15">
      <c r="A18" s="301">
        <v>9</v>
      </c>
      <c r="B18" s="514" t="s">
        <v>516</v>
      </c>
      <c r="C18" s="522"/>
      <c r="D18" s="522"/>
      <c r="E18" s="523"/>
      <c r="F18" s="517"/>
      <c r="G18" s="518">
        <f t="shared" si="0"/>
        <v>0</v>
      </c>
      <c r="I18" s="524"/>
    </row>
    <row r="19" spans="1:15">
      <c r="A19" s="301">
        <v>10</v>
      </c>
      <c r="B19" s="525" t="s">
        <v>171</v>
      </c>
      <c r="C19" s="526">
        <f>'A6-Divisor'!G16</f>
        <v>0.97431648715824359</v>
      </c>
      <c r="D19" s="527" t="e">
        <f>AVERAGE($F$11:$F$18)</f>
        <v>#DIV/0!</v>
      </c>
      <c r="E19" s="528" t="e">
        <f>C19*D19</f>
        <v>#DIV/0!</v>
      </c>
      <c r="F19" s="516"/>
      <c r="G19" s="529" t="e">
        <f>E19</f>
        <v>#DIV/0!</v>
      </c>
    </row>
    <row r="20" spans="1:15">
      <c r="A20" s="301">
        <v>11</v>
      </c>
      <c r="B20" s="525" t="s">
        <v>172</v>
      </c>
      <c r="C20" s="526">
        <f>'A6-Divisor'!G17</f>
        <v>0.89809444904722457</v>
      </c>
      <c r="D20" s="527" t="e">
        <f>AVERAGE($F$11:$F$18)</f>
        <v>#DIV/0!</v>
      </c>
      <c r="E20" s="528" t="e">
        <f>C20*D20</f>
        <v>#DIV/0!</v>
      </c>
      <c r="F20" s="521"/>
      <c r="G20" s="529" t="e">
        <f>E20</f>
        <v>#DIV/0!</v>
      </c>
    </row>
    <row r="21" spans="1:15">
      <c r="A21" s="301">
        <v>12</v>
      </c>
      <c r="B21" s="525" t="s">
        <v>173</v>
      </c>
      <c r="C21" s="526">
        <f>'A6-Divisor'!G18</f>
        <v>0.93123446561723278</v>
      </c>
      <c r="D21" s="527" t="e">
        <f>AVERAGE($F$11:$F$18)</f>
        <v>#DIV/0!</v>
      </c>
      <c r="E21" s="528" t="e">
        <f>C21*D21</f>
        <v>#DIV/0!</v>
      </c>
      <c r="F21" s="521"/>
      <c r="G21" s="529" t="e">
        <f>E21</f>
        <v>#DIV/0!</v>
      </c>
    </row>
    <row r="22" spans="1:15">
      <c r="A22" s="301">
        <v>13</v>
      </c>
      <c r="B22" s="525" t="s">
        <v>517</v>
      </c>
      <c r="C22" s="526">
        <f>'A6-Divisor'!G19</f>
        <v>0.94780447390223699</v>
      </c>
      <c r="D22" s="527" t="e">
        <f>AVERAGE($F$11:$F$18)</f>
        <v>#DIV/0!</v>
      </c>
      <c r="E22" s="528" t="e">
        <f>C22*D22</f>
        <v>#DIV/0!</v>
      </c>
      <c r="F22" s="521"/>
      <c r="G22" s="529" t="e">
        <f>E22</f>
        <v>#DIV/0!</v>
      </c>
    </row>
    <row r="23" spans="1:15">
      <c r="A23" s="301">
        <v>14</v>
      </c>
      <c r="B23" s="530" t="s">
        <v>9</v>
      </c>
      <c r="C23" s="531"/>
      <c r="D23" s="532"/>
      <c r="E23" s="532"/>
      <c r="F23" s="531"/>
      <c r="G23" s="533" t="e">
        <f>SUM(G11:G22)</f>
        <v>#DIV/0!</v>
      </c>
      <c r="L23" s="274"/>
    </row>
    <row r="24" spans="1:15">
      <c r="A24" s="301">
        <v>15</v>
      </c>
      <c r="B24" s="530" t="s">
        <v>253</v>
      </c>
      <c r="C24" s="531"/>
      <c r="D24" s="532"/>
      <c r="E24" s="532"/>
      <c r="F24" s="531"/>
      <c r="G24" s="534" t="e">
        <f>G23/12</f>
        <v>#DIV/0!</v>
      </c>
    </row>
    <row r="25" spans="1:15">
      <c r="A25" s="294"/>
      <c r="B25" s="294"/>
      <c r="C25" s="294"/>
      <c r="D25" s="294"/>
      <c r="E25" s="294"/>
      <c r="F25" s="294"/>
      <c r="G25" s="294"/>
    </row>
    <row r="26" spans="1:15">
      <c r="A26" s="294"/>
      <c r="B26" s="294"/>
      <c r="C26" s="294"/>
      <c r="D26" s="294"/>
      <c r="E26" s="294"/>
      <c r="F26" s="294"/>
      <c r="G26" s="294"/>
    </row>
    <row r="27" spans="1:15" ht="30" customHeight="1">
      <c r="A27" s="535" t="s">
        <v>518</v>
      </c>
      <c r="B27" s="941" t="s">
        <v>801</v>
      </c>
      <c r="C27" s="942"/>
      <c r="D27" s="942"/>
      <c r="E27" s="942"/>
      <c r="F27" s="942"/>
      <c r="G27" s="942"/>
      <c r="H27" s="536"/>
      <c r="I27" s="536"/>
      <c r="J27" s="536"/>
      <c r="K27" s="536"/>
      <c r="L27" s="536"/>
      <c r="M27" s="536"/>
      <c r="N27" s="536"/>
      <c r="O27" s="536"/>
    </row>
    <row r="28" spans="1:15">
      <c r="A28" s="294"/>
      <c r="B28" s="537" t="s">
        <v>802</v>
      </c>
      <c r="C28" s="538"/>
      <c r="D28" s="538"/>
      <c r="E28" s="538"/>
      <c r="F28" s="538"/>
      <c r="G28" s="538"/>
      <c r="H28" s="539"/>
      <c r="I28" s="539"/>
    </row>
    <row r="29" spans="1:15">
      <c r="A29" s="294"/>
      <c r="B29" s="296" t="s">
        <v>956</v>
      </c>
      <c r="C29" s="538"/>
      <c r="D29" s="538"/>
      <c r="E29" s="538"/>
      <c r="F29" s="538"/>
      <c r="G29" s="538"/>
      <c r="H29" s="539"/>
      <c r="I29" s="539"/>
    </row>
    <row r="30" spans="1:15" ht="17.25" customHeight="1">
      <c r="A30" s="294"/>
      <c r="B30" s="943" t="s">
        <v>803</v>
      </c>
      <c r="C30" s="944"/>
      <c r="D30" s="944"/>
      <c r="E30" s="944"/>
      <c r="F30" s="944"/>
      <c r="G30" s="944"/>
    </row>
    <row r="35" spans="2:4" ht="13.8">
      <c r="B35" s="294"/>
      <c r="C35" s="540"/>
      <c r="D35" s="294"/>
    </row>
  </sheetData>
  <mergeCells count="5">
    <mergeCell ref="B27:G27"/>
    <mergeCell ref="B30:G30"/>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pageSetUpPr fitToPage="1"/>
  </sheetPr>
  <dimension ref="A1:S140"/>
  <sheetViews>
    <sheetView zoomScale="80" zoomScaleNormal="80" workbookViewId="0">
      <selection activeCell="A55" sqref="A55"/>
    </sheetView>
  </sheetViews>
  <sheetFormatPr defaultColWidth="8.81640625" defaultRowHeight="13.8"/>
  <cols>
    <col min="1" max="1" width="5.81640625" style="1" customWidth="1"/>
    <col min="2" max="2" width="9.81640625" style="27" customWidth="1"/>
    <col min="3" max="6" width="12.81640625" style="2" customWidth="1"/>
    <col min="7" max="7" width="3" style="27" customWidth="1"/>
    <col min="8" max="11" width="12.81640625" style="2" customWidth="1"/>
    <col min="12" max="12" width="15.1796875" style="2" bestFit="1" customWidth="1"/>
    <col min="13" max="15" width="12.81640625" style="2" customWidth="1"/>
    <col min="16" max="16" width="10.81640625" style="2" customWidth="1"/>
    <col min="17" max="17" width="8.81640625" style="4"/>
    <col min="18" max="16384" width="8.81640625" style="2"/>
  </cols>
  <sheetData>
    <row r="1" spans="1:19">
      <c r="A1" s="882" t="s">
        <v>727</v>
      </c>
      <c r="B1" s="882"/>
      <c r="C1" s="882"/>
      <c r="D1" s="882"/>
      <c r="E1" s="882"/>
      <c r="F1" s="882"/>
      <c r="G1" s="882"/>
      <c r="H1" s="882"/>
      <c r="I1" s="882"/>
      <c r="J1" s="882"/>
      <c r="K1" s="882"/>
      <c r="L1" s="882"/>
      <c r="M1" s="882"/>
      <c r="N1" s="882"/>
      <c r="O1" s="882"/>
    </row>
    <row r="2" spans="1:19">
      <c r="A2" s="918" t="s">
        <v>709</v>
      </c>
      <c r="B2" s="918"/>
      <c r="C2" s="918"/>
      <c r="D2" s="918"/>
      <c r="E2" s="918"/>
      <c r="F2" s="918"/>
      <c r="G2" s="918"/>
      <c r="H2" s="918"/>
      <c r="I2" s="918"/>
      <c r="J2" s="918"/>
      <c r="K2" s="918"/>
      <c r="L2" s="918"/>
      <c r="M2" s="918"/>
      <c r="N2" s="918"/>
      <c r="O2" s="918"/>
    </row>
    <row r="3" spans="1:19">
      <c r="A3" s="919" t="str">
        <f>'Act Att-H'!C7</f>
        <v>Cheyenne Light, Fuel &amp; Power</v>
      </c>
      <c r="B3" s="919"/>
      <c r="C3" s="919"/>
      <c r="D3" s="919"/>
      <c r="E3" s="919"/>
      <c r="F3" s="919"/>
      <c r="G3" s="919"/>
      <c r="H3" s="919"/>
      <c r="I3" s="919"/>
      <c r="J3" s="919"/>
      <c r="K3" s="919"/>
      <c r="L3" s="919"/>
      <c r="M3" s="919"/>
      <c r="N3" s="919"/>
      <c r="O3" s="919"/>
    </row>
    <row r="4" spans="1:19">
      <c r="A4" s="5"/>
      <c r="C4" s="3"/>
      <c r="D4" s="3"/>
      <c r="E4" s="3"/>
      <c r="F4" s="3"/>
      <c r="G4" s="341"/>
      <c r="H4" s="3"/>
      <c r="I4" s="3"/>
      <c r="J4" s="3"/>
      <c r="O4" s="6" t="s">
        <v>672</v>
      </c>
    </row>
    <row r="5" spans="1:19" ht="15" customHeight="1">
      <c r="A5" s="44"/>
      <c r="C5" s="46"/>
      <c r="D5" s="46"/>
      <c r="E5" s="46"/>
      <c r="F5" s="46"/>
      <c r="G5" s="342"/>
    </row>
    <row r="6" spans="1:19" s="311" customFormat="1">
      <c r="A6" s="345" t="s">
        <v>4</v>
      </c>
      <c r="G6" s="320"/>
      <c r="H6" s="353" t="s">
        <v>693</v>
      </c>
      <c r="I6" s="593" t="s">
        <v>1006</v>
      </c>
      <c r="P6" s="2"/>
      <c r="Q6" s="4"/>
      <c r="R6" s="2"/>
      <c r="S6" s="2"/>
    </row>
    <row r="7" spans="1:19" s="311" customFormat="1">
      <c r="A7" s="343">
        <v>1</v>
      </c>
      <c r="B7" s="320"/>
      <c r="C7" s="945"/>
      <c r="D7" s="945"/>
      <c r="E7" s="945"/>
      <c r="F7" s="945"/>
      <c r="G7" s="320"/>
      <c r="H7" s="312" t="s">
        <v>686</v>
      </c>
      <c r="I7" s="333" t="s">
        <v>694</v>
      </c>
      <c r="J7" s="333"/>
      <c r="K7" s="359"/>
      <c r="L7" s="312" t="s">
        <v>686</v>
      </c>
      <c r="M7" s="333" t="s">
        <v>696</v>
      </c>
      <c r="N7" s="333"/>
      <c r="O7" s="359"/>
      <c r="P7" s="2"/>
      <c r="Q7" s="4"/>
      <c r="R7" s="2"/>
      <c r="S7" s="2"/>
    </row>
    <row r="8" spans="1:19" s="311" customFormat="1">
      <c r="A8" s="343">
        <f>A7+1</f>
        <v>2</v>
      </c>
      <c r="G8" s="320"/>
      <c r="H8" s="313" t="s">
        <v>695</v>
      </c>
      <c r="I8" s="334" t="s">
        <v>687</v>
      </c>
      <c r="J8" s="334"/>
      <c r="K8" s="314"/>
      <c r="L8" s="313" t="s">
        <v>695</v>
      </c>
      <c r="M8" s="334" t="s">
        <v>687</v>
      </c>
      <c r="N8" s="334"/>
      <c r="O8" s="314"/>
      <c r="P8" s="2"/>
      <c r="Q8" s="4"/>
      <c r="R8" s="2"/>
      <c r="S8" s="2"/>
    </row>
    <row r="9" spans="1:19" s="311" customFormat="1">
      <c r="A9" s="343">
        <f t="shared" ref="A9:A14" si="0">A8+1</f>
        <v>3</v>
      </c>
      <c r="B9" s="320"/>
      <c r="C9" s="945"/>
      <c r="D9" s="945"/>
      <c r="E9" s="945"/>
      <c r="F9" s="945"/>
      <c r="G9" s="320"/>
      <c r="H9" s="313" t="s">
        <v>713</v>
      </c>
      <c r="I9" s="335">
        <v>0</v>
      </c>
      <c r="J9" s="335"/>
      <c r="K9" s="314" t="s">
        <v>635</v>
      </c>
      <c r="L9" s="313" t="s">
        <v>713</v>
      </c>
      <c r="M9" s="335">
        <v>0</v>
      </c>
      <c r="N9" s="335"/>
      <c r="O9" s="314" t="s">
        <v>635</v>
      </c>
      <c r="P9" s="2"/>
      <c r="Q9" s="4"/>
      <c r="R9" s="2"/>
      <c r="S9" s="2"/>
    </row>
    <row r="10" spans="1:19" s="311" customFormat="1">
      <c r="A10" s="343">
        <f t="shared" si="0"/>
        <v>4</v>
      </c>
      <c r="G10" s="320"/>
      <c r="H10" s="313" t="s">
        <v>689</v>
      </c>
      <c r="I10" s="335">
        <v>0</v>
      </c>
      <c r="J10" s="335"/>
      <c r="K10" s="314" t="s">
        <v>699</v>
      </c>
      <c r="L10" s="313" t="s">
        <v>689</v>
      </c>
      <c r="M10" s="335">
        <v>0</v>
      </c>
      <c r="N10" s="335"/>
      <c r="O10" s="314" t="s">
        <v>699</v>
      </c>
      <c r="P10" s="2"/>
      <c r="Q10" s="4"/>
      <c r="R10" s="2"/>
      <c r="S10" s="2"/>
    </row>
    <row r="11" spans="1:19" s="311" customFormat="1">
      <c r="A11" s="343">
        <f t="shared" si="0"/>
        <v>5</v>
      </c>
      <c r="B11" s="320"/>
      <c r="C11" s="945"/>
      <c r="D11" s="945"/>
      <c r="E11" s="945"/>
      <c r="F11" s="945"/>
      <c r="G11" s="320"/>
      <c r="H11" s="313" t="s">
        <v>712</v>
      </c>
      <c r="I11" s="315">
        <f>I10*'Act Att-H'!E214</f>
        <v>0</v>
      </c>
      <c r="J11" s="315"/>
      <c r="K11" s="314"/>
      <c r="L11" s="313" t="s">
        <v>712</v>
      </c>
      <c r="M11" s="315">
        <f>M10*'Act Att-H'!E214</f>
        <v>0</v>
      </c>
      <c r="N11" s="315"/>
      <c r="O11" s="314"/>
      <c r="P11" s="2"/>
      <c r="Q11" s="4"/>
      <c r="R11" s="2"/>
      <c r="S11" s="2"/>
    </row>
    <row r="12" spans="1:19" s="311" customFormat="1">
      <c r="A12" s="343">
        <f t="shared" si="0"/>
        <v>6</v>
      </c>
      <c r="G12" s="320"/>
      <c r="H12" s="313" t="s">
        <v>690</v>
      </c>
      <c r="I12" s="337"/>
      <c r="J12" s="337"/>
      <c r="K12" s="314"/>
      <c r="L12" s="313" t="s">
        <v>690</v>
      </c>
      <c r="M12" s="337"/>
      <c r="N12" s="337"/>
      <c r="O12" s="314"/>
      <c r="P12" s="2"/>
      <c r="Q12" s="4"/>
      <c r="R12" s="2"/>
      <c r="S12" s="2"/>
    </row>
    <row r="13" spans="1:19" s="311" customFormat="1">
      <c r="A13" s="343">
        <f t="shared" si="0"/>
        <v>7</v>
      </c>
      <c r="B13" s="320"/>
      <c r="C13" s="945"/>
      <c r="D13" s="945"/>
      <c r="E13" s="945"/>
      <c r="F13" s="945"/>
      <c r="G13" s="320"/>
      <c r="H13" s="313"/>
      <c r="I13" s="3"/>
      <c r="J13" s="3"/>
      <c r="K13" s="314"/>
      <c r="L13" s="313"/>
      <c r="M13" s="3"/>
      <c r="N13" s="3"/>
      <c r="O13" s="314"/>
      <c r="P13" s="2"/>
      <c r="Q13" s="4"/>
      <c r="R13" s="2"/>
      <c r="S13" s="2"/>
    </row>
    <row r="14" spans="1:19" s="311" customFormat="1">
      <c r="A14" s="343">
        <f t="shared" si="0"/>
        <v>8</v>
      </c>
      <c r="B14" s="320"/>
      <c r="C14" s="917" t="s">
        <v>9</v>
      </c>
      <c r="D14" s="917"/>
      <c r="E14" s="917"/>
      <c r="F14" s="917"/>
      <c r="G14" s="320"/>
      <c r="H14" s="313"/>
      <c r="I14" s="3"/>
      <c r="J14" s="3"/>
      <c r="K14" s="314"/>
      <c r="L14" s="313"/>
      <c r="M14" s="3"/>
      <c r="N14" s="3"/>
      <c r="O14" s="314"/>
      <c r="P14" s="2"/>
      <c r="Q14" s="4"/>
      <c r="R14" s="2"/>
      <c r="S14" s="2"/>
    </row>
    <row r="15" spans="1:19" s="311" customFormat="1">
      <c r="A15" s="343"/>
      <c r="B15" s="320"/>
      <c r="G15" s="320"/>
      <c r="H15" s="313"/>
      <c r="I15" s="3"/>
      <c r="J15" s="3"/>
      <c r="K15" s="314"/>
      <c r="L15" s="313"/>
      <c r="M15" s="3"/>
      <c r="N15" s="3"/>
      <c r="O15" s="314"/>
      <c r="P15" s="2"/>
      <c r="Q15" s="4"/>
      <c r="R15" s="2"/>
      <c r="S15" s="2"/>
    </row>
    <row r="16" spans="1:19" s="311" customFormat="1">
      <c r="A16" s="320"/>
      <c r="B16" s="340" t="s">
        <v>711</v>
      </c>
      <c r="C16" s="340" t="s">
        <v>484</v>
      </c>
      <c r="D16" s="340" t="s">
        <v>485</v>
      </c>
      <c r="E16" s="340" t="s">
        <v>486</v>
      </c>
      <c r="F16" s="340" t="s">
        <v>706</v>
      </c>
      <c r="G16" s="320"/>
      <c r="H16" s="355" t="s">
        <v>484</v>
      </c>
      <c r="I16" s="340" t="s">
        <v>485</v>
      </c>
      <c r="J16" s="340" t="s">
        <v>486</v>
      </c>
      <c r="K16" s="360" t="s">
        <v>692</v>
      </c>
      <c r="L16" s="355" t="s">
        <v>484</v>
      </c>
      <c r="M16" s="340" t="s">
        <v>485</v>
      </c>
      <c r="N16" s="340" t="s">
        <v>486</v>
      </c>
      <c r="O16" s="360" t="s">
        <v>692</v>
      </c>
      <c r="P16" s="2"/>
      <c r="Q16" s="4"/>
      <c r="R16" s="2"/>
      <c r="S16" s="2"/>
    </row>
    <row r="17" spans="1:19" s="311" customFormat="1">
      <c r="A17" s="320"/>
      <c r="B17" s="317" t="s">
        <v>157</v>
      </c>
      <c r="C17" s="317" t="s">
        <v>158</v>
      </c>
      <c r="D17" s="317" t="s">
        <v>702</v>
      </c>
      <c r="E17" s="317" t="s">
        <v>703</v>
      </c>
      <c r="F17" s="317" t="s">
        <v>704</v>
      </c>
      <c r="G17" s="317"/>
      <c r="H17" s="356" t="s">
        <v>714</v>
      </c>
      <c r="I17" s="317" t="s">
        <v>715</v>
      </c>
      <c r="J17" s="317" t="s">
        <v>716</v>
      </c>
      <c r="K17" s="316" t="s">
        <v>717</v>
      </c>
      <c r="L17" s="356" t="s">
        <v>718</v>
      </c>
      <c r="M17" s="317" t="s">
        <v>719</v>
      </c>
      <c r="N17" s="317" t="s">
        <v>720</v>
      </c>
      <c r="O17" s="316" t="s">
        <v>721</v>
      </c>
      <c r="P17" s="2"/>
      <c r="Q17" s="4"/>
      <c r="R17" s="2"/>
      <c r="S17" s="2"/>
    </row>
    <row r="18" spans="1:19" s="311" customFormat="1">
      <c r="A18" s="320"/>
      <c r="B18" s="320"/>
      <c r="G18" s="320"/>
      <c r="H18" s="338">
        <f>I12</f>
        <v>0</v>
      </c>
      <c r="I18" s="320"/>
      <c r="J18" s="320"/>
      <c r="K18" s="321"/>
      <c r="L18" s="338">
        <f>M12</f>
        <v>0</v>
      </c>
      <c r="M18" s="320"/>
      <c r="N18" s="320"/>
      <c r="O18" s="321"/>
      <c r="P18" s="2"/>
      <c r="Q18" s="4"/>
      <c r="R18" s="2"/>
      <c r="S18" s="2"/>
    </row>
    <row r="19" spans="1:19" s="311" customFormat="1">
      <c r="A19" s="343">
        <f>A14+1</f>
        <v>9</v>
      </c>
      <c r="B19" s="285" t="s">
        <v>1170</v>
      </c>
      <c r="C19" s="322">
        <f>+H19+L19</f>
        <v>0</v>
      </c>
      <c r="D19" s="322">
        <f t="shared" ref="D19:E19" si="1">+I19+M19</f>
        <v>0</v>
      </c>
      <c r="E19" s="322">
        <f t="shared" si="1"/>
        <v>0</v>
      </c>
      <c r="F19" s="354"/>
      <c r="G19" s="343"/>
      <c r="H19" s="338">
        <f>H18</f>
        <v>0</v>
      </c>
      <c r="I19" s="673">
        <f>H19*I$9</f>
        <v>0</v>
      </c>
      <c r="J19" s="673">
        <f>I19</f>
        <v>0</v>
      </c>
      <c r="K19" s="324">
        <f>+H19-J19</f>
        <v>0</v>
      </c>
      <c r="L19" s="338">
        <f>L18</f>
        <v>0</v>
      </c>
      <c r="M19" s="673">
        <f>L19*M$9</f>
        <v>0</v>
      </c>
      <c r="N19" s="673">
        <f>M19</f>
        <v>0</v>
      </c>
      <c r="O19" s="324">
        <f>+L19-N19</f>
        <v>0</v>
      </c>
      <c r="P19" s="2"/>
      <c r="Q19" s="4"/>
      <c r="R19" s="2"/>
      <c r="S19" s="2"/>
    </row>
    <row r="20" spans="1:19" s="311" customFormat="1">
      <c r="A20" s="343">
        <f t="shared" ref="A20:A42" si="2">A19+1</f>
        <v>10</v>
      </c>
      <c r="B20" s="285" t="s">
        <v>1170</v>
      </c>
      <c r="C20" s="322">
        <f t="shared" ref="C20:C42" si="3">+H20+L20</f>
        <v>0</v>
      </c>
      <c r="D20" s="322">
        <f t="shared" ref="D20:D42" si="4">+I20+M20</f>
        <v>0</v>
      </c>
      <c r="E20" s="322">
        <f t="shared" ref="E20:E42" si="5">+J20+N20</f>
        <v>0</v>
      </c>
      <c r="F20" s="354"/>
      <c r="G20" s="343"/>
      <c r="H20" s="338">
        <v>0</v>
      </c>
      <c r="I20" s="673">
        <f t="shared" ref="I20:I42" si="6">H20*I$9</f>
        <v>0</v>
      </c>
      <c r="J20" s="673">
        <f>J19+I20</f>
        <v>0</v>
      </c>
      <c r="K20" s="324">
        <f>+H20-J20</f>
        <v>0</v>
      </c>
      <c r="L20" s="338">
        <v>0</v>
      </c>
      <c r="M20" s="673">
        <f t="shared" ref="M20:M42" si="7">L20*M$9</f>
        <v>0</v>
      </c>
      <c r="N20" s="673">
        <f>N19+M20</f>
        <v>0</v>
      </c>
      <c r="O20" s="324">
        <f>+L20-N20</f>
        <v>0</v>
      </c>
      <c r="P20" s="2"/>
      <c r="Q20" s="4"/>
      <c r="R20" s="2"/>
      <c r="S20" s="2"/>
    </row>
    <row r="21" spans="1:19" s="311" customFormat="1">
      <c r="A21" s="343">
        <f t="shared" si="2"/>
        <v>11</v>
      </c>
      <c r="B21" s="285" t="s">
        <v>1170</v>
      </c>
      <c r="C21" s="322">
        <f t="shared" si="3"/>
        <v>0</v>
      </c>
      <c r="D21" s="322">
        <f t="shared" si="4"/>
        <v>0</v>
      </c>
      <c r="E21" s="322">
        <f t="shared" si="5"/>
        <v>0</v>
      </c>
      <c r="F21" s="354"/>
      <c r="G21" s="343"/>
      <c r="H21" s="338">
        <v>0</v>
      </c>
      <c r="I21" s="673">
        <f t="shared" si="6"/>
        <v>0</v>
      </c>
      <c r="J21" s="673">
        <f t="shared" ref="J21:J42" si="8">J20+I21</f>
        <v>0</v>
      </c>
      <c r="K21" s="324">
        <f t="shared" ref="K21:K42" si="9">+H21-J21</f>
        <v>0</v>
      </c>
      <c r="L21" s="338">
        <v>0</v>
      </c>
      <c r="M21" s="673">
        <f t="shared" si="7"/>
        <v>0</v>
      </c>
      <c r="N21" s="673">
        <f t="shared" ref="N21:N42" si="10">N20+M21</f>
        <v>0</v>
      </c>
      <c r="O21" s="324">
        <f t="shared" ref="O21:O42" si="11">+L21-N21</f>
        <v>0</v>
      </c>
      <c r="P21" s="2"/>
      <c r="Q21" s="4"/>
      <c r="R21" s="2"/>
      <c r="S21" s="2"/>
    </row>
    <row r="22" spans="1:19" s="311" customFormat="1">
      <c r="A22" s="343">
        <f t="shared" si="2"/>
        <v>12</v>
      </c>
      <c r="B22" s="285" t="s">
        <v>1170</v>
      </c>
      <c r="C22" s="322">
        <f t="shared" si="3"/>
        <v>0</v>
      </c>
      <c r="D22" s="322">
        <f t="shared" si="4"/>
        <v>0</v>
      </c>
      <c r="E22" s="322">
        <f t="shared" si="5"/>
        <v>0</v>
      </c>
      <c r="F22" s="354"/>
      <c r="G22" s="343"/>
      <c r="H22" s="338">
        <v>0</v>
      </c>
      <c r="I22" s="673">
        <f t="shared" si="6"/>
        <v>0</v>
      </c>
      <c r="J22" s="673">
        <f t="shared" si="8"/>
        <v>0</v>
      </c>
      <c r="K22" s="324">
        <f t="shared" si="9"/>
        <v>0</v>
      </c>
      <c r="L22" s="338">
        <v>0</v>
      </c>
      <c r="M22" s="673">
        <f t="shared" si="7"/>
        <v>0</v>
      </c>
      <c r="N22" s="673">
        <f t="shared" si="10"/>
        <v>0</v>
      </c>
      <c r="O22" s="324">
        <f t="shared" si="11"/>
        <v>0</v>
      </c>
      <c r="P22" s="2"/>
      <c r="Q22" s="4"/>
      <c r="R22" s="2"/>
      <c r="S22" s="2"/>
    </row>
    <row r="23" spans="1:19" s="311" customFormat="1">
      <c r="A23" s="343">
        <f t="shared" si="2"/>
        <v>13</v>
      </c>
      <c r="B23" s="285" t="s">
        <v>1170</v>
      </c>
      <c r="C23" s="322">
        <f t="shared" si="3"/>
        <v>0</v>
      </c>
      <c r="D23" s="322">
        <f t="shared" si="4"/>
        <v>0</v>
      </c>
      <c r="E23" s="322">
        <f t="shared" si="5"/>
        <v>0</v>
      </c>
      <c r="F23" s="354"/>
      <c r="G23" s="343"/>
      <c r="H23" s="338">
        <v>0</v>
      </c>
      <c r="I23" s="673">
        <f t="shared" si="6"/>
        <v>0</v>
      </c>
      <c r="J23" s="673">
        <f t="shared" si="8"/>
        <v>0</v>
      </c>
      <c r="K23" s="324">
        <f t="shared" si="9"/>
        <v>0</v>
      </c>
      <c r="L23" s="338">
        <v>0</v>
      </c>
      <c r="M23" s="673">
        <f t="shared" si="7"/>
        <v>0</v>
      </c>
      <c r="N23" s="673">
        <f t="shared" si="10"/>
        <v>0</v>
      </c>
      <c r="O23" s="324">
        <f t="shared" si="11"/>
        <v>0</v>
      </c>
      <c r="P23" s="2"/>
      <c r="Q23" s="4"/>
      <c r="R23" s="2"/>
      <c r="S23" s="2"/>
    </row>
    <row r="24" spans="1:19" s="311" customFormat="1">
      <c r="A24" s="343">
        <f t="shared" si="2"/>
        <v>14</v>
      </c>
      <c r="B24" s="285" t="s">
        <v>1170</v>
      </c>
      <c r="C24" s="322">
        <f t="shared" si="3"/>
        <v>0</v>
      </c>
      <c r="D24" s="322">
        <f t="shared" si="4"/>
        <v>0</v>
      </c>
      <c r="E24" s="322">
        <f t="shared" si="5"/>
        <v>0</v>
      </c>
      <c r="F24" s="354"/>
      <c r="G24" s="343"/>
      <c r="H24" s="338">
        <v>0</v>
      </c>
      <c r="I24" s="673">
        <f t="shared" si="6"/>
        <v>0</v>
      </c>
      <c r="J24" s="673">
        <f t="shared" si="8"/>
        <v>0</v>
      </c>
      <c r="K24" s="324">
        <f t="shared" si="9"/>
        <v>0</v>
      </c>
      <c r="L24" s="338">
        <v>0</v>
      </c>
      <c r="M24" s="673">
        <f t="shared" si="7"/>
        <v>0</v>
      </c>
      <c r="N24" s="673">
        <f t="shared" si="10"/>
        <v>0</v>
      </c>
      <c r="O24" s="324">
        <f t="shared" si="11"/>
        <v>0</v>
      </c>
      <c r="P24" s="2"/>
      <c r="Q24" s="4"/>
      <c r="R24" s="2"/>
      <c r="S24" s="2"/>
    </row>
    <row r="25" spans="1:19" s="311" customFormat="1">
      <c r="A25" s="343">
        <f t="shared" si="2"/>
        <v>15</v>
      </c>
      <c r="B25" s="285" t="s">
        <v>1170</v>
      </c>
      <c r="C25" s="322">
        <f t="shared" si="3"/>
        <v>0</v>
      </c>
      <c r="D25" s="322">
        <f t="shared" si="4"/>
        <v>0</v>
      </c>
      <c r="E25" s="322">
        <f t="shared" si="5"/>
        <v>0</v>
      </c>
      <c r="F25" s="354"/>
      <c r="G25" s="343"/>
      <c r="H25" s="338">
        <v>0</v>
      </c>
      <c r="I25" s="673">
        <f t="shared" si="6"/>
        <v>0</v>
      </c>
      <c r="J25" s="673">
        <f t="shared" si="8"/>
        <v>0</v>
      </c>
      <c r="K25" s="324">
        <f t="shared" si="9"/>
        <v>0</v>
      </c>
      <c r="L25" s="338">
        <v>0</v>
      </c>
      <c r="M25" s="673">
        <f t="shared" si="7"/>
        <v>0</v>
      </c>
      <c r="N25" s="673">
        <f t="shared" si="10"/>
        <v>0</v>
      </c>
      <c r="O25" s="324">
        <f t="shared" si="11"/>
        <v>0</v>
      </c>
      <c r="P25" s="2"/>
      <c r="Q25" s="4"/>
      <c r="R25" s="2"/>
      <c r="S25" s="2"/>
    </row>
    <row r="26" spans="1:19" s="311" customFormat="1">
      <c r="A26" s="343">
        <f t="shared" si="2"/>
        <v>16</v>
      </c>
      <c r="B26" s="285" t="s">
        <v>1170</v>
      </c>
      <c r="C26" s="322">
        <f t="shared" si="3"/>
        <v>0</v>
      </c>
      <c r="D26" s="322">
        <f t="shared" si="4"/>
        <v>0</v>
      </c>
      <c r="E26" s="322">
        <f t="shared" si="5"/>
        <v>0</v>
      </c>
      <c r="F26" s="354"/>
      <c r="G26" s="343"/>
      <c r="H26" s="338">
        <v>0</v>
      </c>
      <c r="I26" s="673">
        <f t="shared" si="6"/>
        <v>0</v>
      </c>
      <c r="J26" s="673">
        <f t="shared" si="8"/>
        <v>0</v>
      </c>
      <c r="K26" s="324">
        <f t="shared" si="9"/>
        <v>0</v>
      </c>
      <c r="L26" s="338">
        <v>0</v>
      </c>
      <c r="M26" s="673">
        <f t="shared" si="7"/>
        <v>0</v>
      </c>
      <c r="N26" s="673">
        <f t="shared" si="10"/>
        <v>0</v>
      </c>
      <c r="O26" s="324">
        <f t="shared" si="11"/>
        <v>0</v>
      </c>
      <c r="P26" s="2"/>
      <c r="Q26" s="4"/>
      <c r="R26" s="2"/>
      <c r="S26" s="2"/>
    </row>
    <row r="27" spans="1:19" s="311" customFormat="1">
      <c r="A27" s="343">
        <f t="shared" si="2"/>
        <v>17</v>
      </c>
      <c r="B27" s="285" t="s">
        <v>1170</v>
      </c>
      <c r="C27" s="322">
        <f t="shared" si="3"/>
        <v>0</v>
      </c>
      <c r="D27" s="322">
        <f t="shared" si="4"/>
        <v>0</v>
      </c>
      <c r="E27" s="322">
        <f t="shared" si="5"/>
        <v>0</v>
      </c>
      <c r="F27" s="354"/>
      <c r="G27" s="343"/>
      <c r="H27" s="338">
        <v>0</v>
      </c>
      <c r="I27" s="673">
        <f t="shared" si="6"/>
        <v>0</v>
      </c>
      <c r="J27" s="673">
        <f t="shared" si="8"/>
        <v>0</v>
      </c>
      <c r="K27" s="324">
        <f t="shared" si="9"/>
        <v>0</v>
      </c>
      <c r="L27" s="338">
        <v>0</v>
      </c>
      <c r="M27" s="673">
        <f t="shared" si="7"/>
        <v>0</v>
      </c>
      <c r="N27" s="673">
        <f t="shared" si="10"/>
        <v>0</v>
      </c>
      <c r="O27" s="324">
        <f t="shared" si="11"/>
        <v>0</v>
      </c>
      <c r="P27" s="2"/>
      <c r="Q27" s="4"/>
      <c r="R27" s="2"/>
      <c r="S27" s="2"/>
    </row>
    <row r="28" spans="1:19" s="311" customFormat="1">
      <c r="A28" s="343">
        <f t="shared" si="2"/>
        <v>18</v>
      </c>
      <c r="B28" s="285" t="s">
        <v>1170</v>
      </c>
      <c r="C28" s="322">
        <f t="shared" si="3"/>
        <v>0</v>
      </c>
      <c r="D28" s="322">
        <f t="shared" si="4"/>
        <v>0</v>
      </c>
      <c r="E28" s="322">
        <f t="shared" si="5"/>
        <v>0</v>
      </c>
      <c r="F28" s="354"/>
      <c r="G28" s="343"/>
      <c r="H28" s="338">
        <v>0</v>
      </c>
      <c r="I28" s="673">
        <f t="shared" si="6"/>
        <v>0</v>
      </c>
      <c r="J28" s="673">
        <f t="shared" si="8"/>
        <v>0</v>
      </c>
      <c r="K28" s="324">
        <f t="shared" si="9"/>
        <v>0</v>
      </c>
      <c r="L28" s="338">
        <v>0</v>
      </c>
      <c r="M28" s="673">
        <f t="shared" si="7"/>
        <v>0</v>
      </c>
      <c r="N28" s="673">
        <f t="shared" si="10"/>
        <v>0</v>
      </c>
      <c r="O28" s="324">
        <f t="shared" si="11"/>
        <v>0</v>
      </c>
      <c r="P28" s="2"/>
      <c r="Q28" s="4"/>
      <c r="R28" s="2"/>
      <c r="S28" s="2"/>
    </row>
    <row r="29" spans="1:19" s="311" customFormat="1">
      <c r="A29" s="343">
        <f t="shared" si="2"/>
        <v>19</v>
      </c>
      <c r="B29" s="285" t="s">
        <v>1170</v>
      </c>
      <c r="C29" s="322">
        <f t="shared" si="3"/>
        <v>0</v>
      </c>
      <c r="D29" s="322">
        <f t="shared" si="4"/>
        <v>0</v>
      </c>
      <c r="E29" s="322">
        <f t="shared" si="5"/>
        <v>0</v>
      </c>
      <c r="F29" s="354"/>
      <c r="G29" s="343"/>
      <c r="H29" s="338">
        <v>0</v>
      </c>
      <c r="I29" s="673">
        <f t="shared" si="6"/>
        <v>0</v>
      </c>
      <c r="J29" s="673">
        <f t="shared" si="8"/>
        <v>0</v>
      </c>
      <c r="K29" s="324">
        <f t="shared" si="9"/>
        <v>0</v>
      </c>
      <c r="L29" s="338">
        <v>0</v>
      </c>
      <c r="M29" s="673">
        <f t="shared" si="7"/>
        <v>0</v>
      </c>
      <c r="N29" s="673">
        <f t="shared" si="10"/>
        <v>0</v>
      </c>
      <c r="O29" s="324">
        <f t="shared" si="11"/>
        <v>0</v>
      </c>
      <c r="P29" s="2"/>
      <c r="Q29" s="4"/>
      <c r="R29" s="2"/>
      <c r="S29" s="2"/>
    </row>
    <row r="30" spans="1:19" s="311" customFormat="1">
      <c r="A30" s="343">
        <f t="shared" si="2"/>
        <v>20</v>
      </c>
      <c r="B30" s="285" t="s">
        <v>1170</v>
      </c>
      <c r="C30" s="322">
        <f t="shared" si="3"/>
        <v>0</v>
      </c>
      <c r="D30" s="322">
        <f t="shared" si="4"/>
        <v>0</v>
      </c>
      <c r="E30" s="322">
        <f t="shared" si="5"/>
        <v>0</v>
      </c>
      <c r="F30" s="354"/>
      <c r="G30" s="343"/>
      <c r="H30" s="338">
        <v>0</v>
      </c>
      <c r="I30" s="673">
        <f t="shared" si="6"/>
        <v>0</v>
      </c>
      <c r="J30" s="673">
        <f t="shared" si="8"/>
        <v>0</v>
      </c>
      <c r="K30" s="324">
        <f t="shared" si="9"/>
        <v>0</v>
      </c>
      <c r="L30" s="338">
        <v>0</v>
      </c>
      <c r="M30" s="673">
        <f t="shared" si="7"/>
        <v>0</v>
      </c>
      <c r="N30" s="673">
        <f t="shared" si="10"/>
        <v>0</v>
      </c>
      <c r="O30" s="324">
        <f t="shared" si="11"/>
        <v>0</v>
      </c>
      <c r="P30" s="2"/>
      <c r="Q30" s="4"/>
      <c r="R30" s="2"/>
      <c r="S30" s="2"/>
    </row>
    <row r="31" spans="1:19" s="311" customFormat="1">
      <c r="A31" s="343">
        <f t="shared" si="2"/>
        <v>21</v>
      </c>
      <c r="B31" s="285" t="s">
        <v>1170</v>
      </c>
      <c r="C31" s="322">
        <f t="shared" si="3"/>
        <v>0</v>
      </c>
      <c r="D31" s="322">
        <f t="shared" si="4"/>
        <v>0</v>
      </c>
      <c r="E31" s="322">
        <f t="shared" si="5"/>
        <v>0</v>
      </c>
      <c r="F31" s="354"/>
      <c r="G31" s="343"/>
      <c r="H31" s="338">
        <v>0</v>
      </c>
      <c r="I31" s="673">
        <f t="shared" si="6"/>
        <v>0</v>
      </c>
      <c r="J31" s="673">
        <f t="shared" si="8"/>
        <v>0</v>
      </c>
      <c r="K31" s="324">
        <f t="shared" si="9"/>
        <v>0</v>
      </c>
      <c r="L31" s="338">
        <v>0</v>
      </c>
      <c r="M31" s="673">
        <f t="shared" si="7"/>
        <v>0</v>
      </c>
      <c r="N31" s="673">
        <f t="shared" si="10"/>
        <v>0</v>
      </c>
      <c r="O31" s="324">
        <f t="shared" si="11"/>
        <v>0</v>
      </c>
      <c r="P31" s="2"/>
      <c r="Q31" s="4"/>
      <c r="R31" s="2"/>
      <c r="S31" s="2"/>
    </row>
    <row r="32" spans="1:19" s="311" customFormat="1">
      <c r="A32" s="343">
        <f t="shared" si="2"/>
        <v>22</v>
      </c>
      <c r="B32" s="285" t="s">
        <v>1170</v>
      </c>
      <c r="C32" s="322">
        <f t="shared" si="3"/>
        <v>0</v>
      </c>
      <c r="D32" s="322">
        <f t="shared" si="4"/>
        <v>0</v>
      </c>
      <c r="E32" s="322">
        <f t="shared" si="5"/>
        <v>0</v>
      </c>
      <c r="F32" s="354"/>
      <c r="G32" s="343"/>
      <c r="H32" s="338">
        <v>0</v>
      </c>
      <c r="I32" s="673">
        <f t="shared" si="6"/>
        <v>0</v>
      </c>
      <c r="J32" s="673">
        <f t="shared" si="8"/>
        <v>0</v>
      </c>
      <c r="K32" s="324">
        <f t="shared" si="9"/>
        <v>0</v>
      </c>
      <c r="L32" s="338">
        <v>0</v>
      </c>
      <c r="M32" s="673">
        <f t="shared" si="7"/>
        <v>0</v>
      </c>
      <c r="N32" s="673">
        <f t="shared" si="10"/>
        <v>0</v>
      </c>
      <c r="O32" s="324">
        <f t="shared" si="11"/>
        <v>0</v>
      </c>
      <c r="P32" s="2"/>
      <c r="Q32" s="4"/>
      <c r="R32" s="2"/>
      <c r="S32" s="2"/>
    </row>
    <row r="33" spans="1:19" s="311" customFormat="1">
      <c r="A33" s="343">
        <f t="shared" si="2"/>
        <v>23</v>
      </c>
      <c r="B33" s="285" t="s">
        <v>1170</v>
      </c>
      <c r="C33" s="322">
        <f t="shared" si="3"/>
        <v>0</v>
      </c>
      <c r="D33" s="322">
        <f t="shared" si="4"/>
        <v>0</v>
      </c>
      <c r="E33" s="322">
        <f t="shared" si="5"/>
        <v>0</v>
      </c>
      <c r="F33" s="354"/>
      <c r="G33" s="343"/>
      <c r="H33" s="338">
        <v>0</v>
      </c>
      <c r="I33" s="673">
        <f t="shared" si="6"/>
        <v>0</v>
      </c>
      <c r="J33" s="673">
        <f t="shared" si="8"/>
        <v>0</v>
      </c>
      <c r="K33" s="324">
        <f t="shared" si="9"/>
        <v>0</v>
      </c>
      <c r="L33" s="338">
        <v>0</v>
      </c>
      <c r="M33" s="673">
        <f t="shared" si="7"/>
        <v>0</v>
      </c>
      <c r="N33" s="673">
        <f t="shared" si="10"/>
        <v>0</v>
      </c>
      <c r="O33" s="324">
        <f t="shared" si="11"/>
        <v>0</v>
      </c>
      <c r="P33" s="2"/>
      <c r="Q33" s="4"/>
      <c r="R33" s="2"/>
      <c r="S33" s="2"/>
    </row>
    <row r="34" spans="1:19" s="311" customFormat="1">
      <c r="A34" s="343">
        <f t="shared" si="2"/>
        <v>24</v>
      </c>
      <c r="B34" s="285" t="s">
        <v>1170</v>
      </c>
      <c r="C34" s="322">
        <f t="shared" si="3"/>
        <v>0</v>
      </c>
      <c r="D34" s="322">
        <f t="shared" si="4"/>
        <v>0</v>
      </c>
      <c r="E34" s="322">
        <f t="shared" si="5"/>
        <v>0</v>
      </c>
      <c r="F34" s="354"/>
      <c r="G34" s="343"/>
      <c r="H34" s="338">
        <v>0</v>
      </c>
      <c r="I34" s="673">
        <f t="shared" si="6"/>
        <v>0</v>
      </c>
      <c r="J34" s="673">
        <f t="shared" si="8"/>
        <v>0</v>
      </c>
      <c r="K34" s="324">
        <f t="shared" si="9"/>
        <v>0</v>
      </c>
      <c r="L34" s="338">
        <v>0</v>
      </c>
      <c r="M34" s="673">
        <f t="shared" si="7"/>
        <v>0</v>
      </c>
      <c r="N34" s="673">
        <f t="shared" si="10"/>
        <v>0</v>
      </c>
      <c r="O34" s="324">
        <f t="shared" si="11"/>
        <v>0</v>
      </c>
      <c r="P34" s="2"/>
      <c r="Q34" s="4"/>
      <c r="R34" s="2"/>
      <c r="S34" s="2"/>
    </row>
    <row r="35" spans="1:19" s="311" customFormat="1">
      <c r="A35" s="343">
        <f t="shared" si="2"/>
        <v>25</v>
      </c>
      <c r="B35" s="285" t="s">
        <v>1170</v>
      </c>
      <c r="C35" s="322">
        <f t="shared" si="3"/>
        <v>0</v>
      </c>
      <c r="D35" s="322">
        <f t="shared" si="4"/>
        <v>0</v>
      </c>
      <c r="E35" s="322">
        <f t="shared" si="5"/>
        <v>0</v>
      </c>
      <c r="F35" s="354"/>
      <c r="G35" s="343"/>
      <c r="H35" s="338">
        <v>0</v>
      </c>
      <c r="I35" s="673">
        <f t="shared" si="6"/>
        <v>0</v>
      </c>
      <c r="J35" s="673">
        <f t="shared" si="8"/>
        <v>0</v>
      </c>
      <c r="K35" s="324">
        <f t="shared" si="9"/>
        <v>0</v>
      </c>
      <c r="L35" s="338">
        <v>0</v>
      </c>
      <c r="M35" s="673">
        <f t="shared" si="7"/>
        <v>0</v>
      </c>
      <c r="N35" s="673">
        <f t="shared" si="10"/>
        <v>0</v>
      </c>
      <c r="O35" s="324">
        <f t="shared" si="11"/>
        <v>0</v>
      </c>
      <c r="P35" s="2"/>
      <c r="Q35" s="4"/>
      <c r="R35" s="2"/>
      <c r="S35" s="2"/>
    </row>
    <row r="36" spans="1:19" s="311" customFormat="1">
      <c r="A36" s="343">
        <f t="shared" si="2"/>
        <v>26</v>
      </c>
      <c r="B36" s="285" t="s">
        <v>1170</v>
      </c>
      <c r="C36" s="322">
        <f t="shared" si="3"/>
        <v>0</v>
      </c>
      <c r="D36" s="322">
        <f t="shared" si="4"/>
        <v>0</v>
      </c>
      <c r="E36" s="322">
        <f t="shared" si="5"/>
        <v>0</v>
      </c>
      <c r="F36" s="354"/>
      <c r="G36" s="343"/>
      <c r="H36" s="338">
        <v>0</v>
      </c>
      <c r="I36" s="673">
        <f t="shared" si="6"/>
        <v>0</v>
      </c>
      <c r="J36" s="673">
        <f t="shared" si="8"/>
        <v>0</v>
      </c>
      <c r="K36" s="324">
        <f t="shared" si="9"/>
        <v>0</v>
      </c>
      <c r="L36" s="338">
        <v>0</v>
      </c>
      <c r="M36" s="673">
        <f t="shared" si="7"/>
        <v>0</v>
      </c>
      <c r="N36" s="673">
        <f t="shared" si="10"/>
        <v>0</v>
      </c>
      <c r="O36" s="324">
        <f t="shared" si="11"/>
        <v>0</v>
      </c>
      <c r="P36" s="2"/>
      <c r="Q36" s="4"/>
      <c r="R36" s="2"/>
      <c r="S36" s="2"/>
    </row>
    <row r="37" spans="1:19" s="311" customFormat="1">
      <c r="A37" s="343">
        <f t="shared" si="2"/>
        <v>27</v>
      </c>
      <c r="B37" s="285" t="s">
        <v>1170</v>
      </c>
      <c r="C37" s="322">
        <f t="shared" si="3"/>
        <v>0</v>
      </c>
      <c r="D37" s="322">
        <f t="shared" si="4"/>
        <v>0</v>
      </c>
      <c r="E37" s="322">
        <f t="shared" si="5"/>
        <v>0</v>
      </c>
      <c r="F37" s="354"/>
      <c r="G37" s="343"/>
      <c r="H37" s="338">
        <v>0</v>
      </c>
      <c r="I37" s="673">
        <f t="shared" si="6"/>
        <v>0</v>
      </c>
      <c r="J37" s="673">
        <f t="shared" si="8"/>
        <v>0</v>
      </c>
      <c r="K37" s="324">
        <f t="shared" si="9"/>
        <v>0</v>
      </c>
      <c r="L37" s="338">
        <v>0</v>
      </c>
      <c r="M37" s="673">
        <f t="shared" si="7"/>
        <v>0</v>
      </c>
      <c r="N37" s="673">
        <f t="shared" si="10"/>
        <v>0</v>
      </c>
      <c r="O37" s="324">
        <f t="shared" si="11"/>
        <v>0</v>
      </c>
      <c r="P37" s="2"/>
      <c r="Q37" s="4"/>
      <c r="R37" s="2"/>
      <c r="S37" s="2"/>
    </row>
    <row r="38" spans="1:19" s="311" customFormat="1">
      <c r="A38" s="343">
        <f t="shared" si="2"/>
        <v>28</v>
      </c>
      <c r="B38" s="285" t="s">
        <v>1170</v>
      </c>
      <c r="C38" s="322">
        <f t="shared" si="3"/>
        <v>0</v>
      </c>
      <c r="D38" s="322">
        <f t="shared" si="4"/>
        <v>0</v>
      </c>
      <c r="E38" s="322">
        <f t="shared" si="5"/>
        <v>0</v>
      </c>
      <c r="F38" s="354"/>
      <c r="G38" s="343"/>
      <c r="H38" s="338">
        <v>0</v>
      </c>
      <c r="I38" s="673">
        <f t="shared" si="6"/>
        <v>0</v>
      </c>
      <c r="J38" s="673">
        <f t="shared" si="8"/>
        <v>0</v>
      </c>
      <c r="K38" s="324">
        <f t="shared" si="9"/>
        <v>0</v>
      </c>
      <c r="L38" s="338">
        <v>0</v>
      </c>
      <c r="M38" s="673">
        <f t="shared" si="7"/>
        <v>0</v>
      </c>
      <c r="N38" s="673">
        <f t="shared" si="10"/>
        <v>0</v>
      </c>
      <c r="O38" s="324">
        <f t="shared" si="11"/>
        <v>0</v>
      </c>
      <c r="P38" s="2"/>
      <c r="Q38" s="4"/>
      <c r="R38" s="2"/>
      <c r="S38" s="2"/>
    </row>
    <row r="39" spans="1:19" s="311" customFormat="1">
      <c r="A39" s="343">
        <f t="shared" si="2"/>
        <v>29</v>
      </c>
      <c r="B39" s="285" t="s">
        <v>1170</v>
      </c>
      <c r="C39" s="322">
        <f t="shared" si="3"/>
        <v>0</v>
      </c>
      <c r="D39" s="322">
        <f t="shared" si="4"/>
        <v>0</v>
      </c>
      <c r="E39" s="322">
        <f t="shared" si="5"/>
        <v>0</v>
      </c>
      <c r="F39" s="354"/>
      <c r="G39" s="343"/>
      <c r="H39" s="338">
        <v>0</v>
      </c>
      <c r="I39" s="673">
        <f t="shared" si="6"/>
        <v>0</v>
      </c>
      <c r="J39" s="673">
        <f t="shared" si="8"/>
        <v>0</v>
      </c>
      <c r="K39" s="324">
        <f t="shared" si="9"/>
        <v>0</v>
      </c>
      <c r="L39" s="338">
        <v>0</v>
      </c>
      <c r="M39" s="673">
        <f t="shared" si="7"/>
        <v>0</v>
      </c>
      <c r="N39" s="673">
        <f t="shared" si="10"/>
        <v>0</v>
      </c>
      <c r="O39" s="324">
        <f t="shared" si="11"/>
        <v>0</v>
      </c>
      <c r="P39" s="2"/>
      <c r="Q39" s="4"/>
      <c r="R39" s="2"/>
      <c r="S39" s="2"/>
    </row>
    <row r="40" spans="1:19" s="311" customFormat="1">
      <c r="A40" s="343">
        <f t="shared" si="2"/>
        <v>30</v>
      </c>
      <c r="B40" s="285" t="s">
        <v>1170</v>
      </c>
      <c r="C40" s="322">
        <f t="shared" si="3"/>
        <v>0</v>
      </c>
      <c r="D40" s="322">
        <f t="shared" si="4"/>
        <v>0</v>
      </c>
      <c r="E40" s="322">
        <f t="shared" si="5"/>
        <v>0</v>
      </c>
      <c r="F40" s="354"/>
      <c r="G40" s="343"/>
      <c r="H40" s="338">
        <v>0</v>
      </c>
      <c r="I40" s="673">
        <f t="shared" si="6"/>
        <v>0</v>
      </c>
      <c r="J40" s="673">
        <f t="shared" si="8"/>
        <v>0</v>
      </c>
      <c r="K40" s="324">
        <f t="shared" si="9"/>
        <v>0</v>
      </c>
      <c r="L40" s="338">
        <v>0</v>
      </c>
      <c r="M40" s="673">
        <f t="shared" si="7"/>
        <v>0</v>
      </c>
      <c r="N40" s="673">
        <f t="shared" si="10"/>
        <v>0</v>
      </c>
      <c r="O40" s="324">
        <f t="shared" si="11"/>
        <v>0</v>
      </c>
      <c r="P40" s="2"/>
      <c r="Q40" s="4"/>
      <c r="R40" s="2"/>
      <c r="S40" s="2"/>
    </row>
    <row r="41" spans="1:19" s="311" customFormat="1">
      <c r="A41" s="343">
        <f t="shared" si="2"/>
        <v>31</v>
      </c>
      <c r="B41" s="285" t="s">
        <v>1170</v>
      </c>
      <c r="C41" s="322">
        <f t="shared" si="3"/>
        <v>0</v>
      </c>
      <c r="D41" s="322">
        <f t="shared" si="4"/>
        <v>0</v>
      </c>
      <c r="E41" s="322">
        <f t="shared" si="5"/>
        <v>0</v>
      </c>
      <c r="F41" s="354"/>
      <c r="G41" s="343"/>
      <c r="H41" s="338">
        <v>0</v>
      </c>
      <c r="I41" s="673">
        <f t="shared" si="6"/>
        <v>0</v>
      </c>
      <c r="J41" s="673">
        <f t="shared" si="8"/>
        <v>0</v>
      </c>
      <c r="K41" s="324">
        <f t="shared" si="9"/>
        <v>0</v>
      </c>
      <c r="L41" s="338">
        <v>0</v>
      </c>
      <c r="M41" s="673">
        <f t="shared" si="7"/>
        <v>0</v>
      </c>
      <c r="N41" s="673">
        <f t="shared" si="10"/>
        <v>0</v>
      </c>
      <c r="O41" s="324">
        <f t="shared" si="11"/>
        <v>0</v>
      </c>
      <c r="P41" s="2"/>
      <c r="Q41" s="4"/>
      <c r="R41" s="2"/>
      <c r="S41" s="2"/>
    </row>
    <row r="42" spans="1:19" s="311" customFormat="1">
      <c r="A42" s="343">
        <f t="shared" si="2"/>
        <v>32</v>
      </c>
      <c r="B42" s="285" t="s">
        <v>1170</v>
      </c>
      <c r="C42" s="322">
        <f t="shared" si="3"/>
        <v>0</v>
      </c>
      <c r="D42" s="322">
        <f t="shared" si="4"/>
        <v>0</v>
      </c>
      <c r="E42" s="322">
        <f t="shared" si="5"/>
        <v>0</v>
      </c>
      <c r="F42" s="354"/>
      <c r="G42" s="343"/>
      <c r="H42" s="338">
        <v>0</v>
      </c>
      <c r="I42" s="673">
        <f t="shared" si="6"/>
        <v>0</v>
      </c>
      <c r="J42" s="673">
        <f t="shared" si="8"/>
        <v>0</v>
      </c>
      <c r="K42" s="324">
        <f t="shared" si="9"/>
        <v>0</v>
      </c>
      <c r="L42" s="338">
        <v>0</v>
      </c>
      <c r="M42" s="673">
        <f t="shared" si="7"/>
        <v>0</v>
      </c>
      <c r="N42" s="673">
        <f t="shared" si="10"/>
        <v>0</v>
      </c>
      <c r="O42" s="324">
        <f t="shared" si="11"/>
        <v>0</v>
      </c>
      <c r="P42" s="2"/>
      <c r="Q42" s="4"/>
      <c r="R42" s="2"/>
      <c r="S42" s="2"/>
    </row>
    <row r="43" spans="1:19" s="311" customFormat="1">
      <c r="A43" s="343"/>
      <c r="B43" s="343"/>
      <c r="G43" s="343"/>
      <c r="H43" s="358"/>
      <c r="I43" s="330"/>
      <c r="J43" s="330"/>
      <c r="K43" s="361"/>
      <c r="L43" s="363"/>
      <c r="M43" s="330"/>
      <c r="N43" s="330"/>
      <c r="O43" s="364"/>
      <c r="P43" s="2"/>
      <c r="Q43" s="4"/>
      <c r="R43" s="2"/>
      <c r="S43" s="2"/>
    </row>
    <row r="44" spans="1:19" s="311" customFormat="1">
      <c r="A44" s="343">
        <v>33</v>
      </c>
      <c r="B44" s="279" t="s">
        <v>487</v>
      </c>
      <c r="C44" s="286"/>
      <c r="D44" s="289">
        <f>SUM(D31:D42)</f>
        <v>0</v>
      </c>
      <c r="E44" s="286"/>
      <c r="G44" s="343"/>
      <c r="H44" s="357"/>
      <c r="I44" s="289">
        <f>SUM(I31:I42)</f>
        <v>0</v>
      </c>
      <c r="J44" s="287"/>
      <c r="K44" s="361"/>
      <c r="L44" s="357"/>
      <c r="M44" s="289">
        <f>SUM(M31:M42)</f>
        <v>0</v>
      </c>
      <c r="N44" s="287"/>
      <c r="O44" s="364"/>
      <c r="P44" s="2"/>
      <c r="Q44" s="4"/>
      <c r="R44" s="2"/>
      <c r="S44" s="2"/>
    </row>
    <row r="45" spans="1:19" s="311" customFormat="1">
      <c r="A45" s="343">
        <v>34</v>
      </c>
      <c r="B45" s="279" t="s">
        <v>488</v>
      </c>
      <c r="C45" s="286">
        <f>SUM(C30:C42)/13</f>
        <v>0</v>
      </c>
      <c r="D45" s="291"/>
      <c r="E45" s="286">
        <f>SUM(E30:E42)/13</f>
        <v>0</v>
      </c>
      <c r="G45" s="343"/>
      <c r="H45" s="357">
        <f>SUM(H30:H42)/13</f>
        <v>0</v>
      </c>
      <c r="I45" s="291"/>
      <c r="J45" s="287">
        <f>SUM(J30:J42)/13</f>
        <v>0</v>
      </c>
      <c r="K45" s="288">
        <f>SUM(K30:K42)/13</f>
        <v>0</v>
      </c>
      <c r="L45" s="357">
        <f>SUM(L30:L42)/13</f>
        <v>0</v>
      </c>
      <c r="M45" s="291"/>
      <c r="N45" s="287">
        <f>SUM(N30:N42)/13</f>
        <v>0</v>
      </c>
      <c r="O45" s="288">
        <f>SUM(O30:O42)/13</f>
        <v>0</v>
      </c>
      <c r="P45" s="2"/>
      <c r="Q45" s="4"/>
      <c r="R45" s="2"/>
      <c r="S45" s="2"/>
    </row>
    <row r="46" spans="1:19" s="311" customFormat="1" ht="14.4" thickBot="1">
      <c r="A46" s="320"/>
      <c r="B46" s="279"/>
      <c r="G46" s="343"/>
      <c r="H46" s="358"/>
      <c r="I46" s="330"/>
      <c r="J46" s="330"/>
      <c r="K46" s="361"/>
      <c r="L46" s="363"/>
      <c r="M46" s="330"/>
      <c r="N46" s="330"/>
      <c r="O46" s="364"/>
      <c r="P46" s="2"/>
      <c r="Q46" s="4"/>
      <c r="R46" s="2"/>
      <c r="S46" s="2"/>
    </row>
    <row r="47" spans="1:19" s="311" customFormat="1" ht="14.4" thickBot="1">
      <c r="A47" s="343">
        <v>35</v>
      </c>
      <c r="B47" s="279" t="s">
        <v>722</v>
      </c>
      <c r="F47" s="365">
        <f>O47+K47</f>
        <v>0</v>
      </c>
      <c r="G47" s="343"/>
      <c r="H47" s="358"/>
      <c r="I47" s="330"/>
      <c r="J47" s="279"/>
      <c r="K47" s="314">
        <f>ROUND(K45*I11,2)</f>
        <v>0</v>
      </c>
      <c r="L47" s="363"/>
      <c r="M47" s="330"/>
      <c r="N47" s="279"/>
      <c r="O47" s="314">
        <f>ROUND(O45*M11,2)</f>
        <v>0</v>
      </c>
      <c r="P47" s="2"/>
      <c r="Q47" s="4"/>
      <c r="R47" s="2"/>
      <c r="S47" s="2"/>
    </row>
    <row r="48" spans="1:19" s="311" customFormat="1">
      <c r="A48" s="343"/>
      <c r="F48" s="311" t="s">
        <v>939</v>
      </c>
      <c r="G48" s="343"/>
      <c r="H48" s="713"/>
      <c r="J48" s="279"/>
      <c r="K48" s="714" t="s">
        <v>939</v>
      </c>
      <c r="L48" s="715"/>
      <c r="N48" s="279"/>
      <c r="O48" s="716" t="s">
        <v>939</v>
      </c>
      <c r="P48" s="2"/>
      <c r="Q48" s="4"/>
      <c r="R48" s="2"/>
      <c r="S48" s="2"/>
    </row>
    <row r="49" spans="1:19" s="311" customFormat="1">
      <c r="A49" s="320"/>
      <c r="B49" s="343"/>
      <c r="G49" s="343"/>
      <c r="H49" s="325"/>
      <c r="I49" s="326"/>
      <c r="J49" s="326"/>
      <c r="K49" s="362"/>
      <c r="L49" s="327"/>
      <c r="M49" s="326"/>
      <c r="N49" s="326"/>
      <c r="O49" s="329"/>
      <c r="P49" s="2"/>
      <c r="Q49" s="4"/>
      <c r="R49" s="2"/>
      <c r="S49" s="2"/>
    </row>
    <row r="50" spans="1:19" s="311" customFormat="1">
      <c r="A50" s="345" t="s">
        <v>174</v>
      </c>
      <c r="B50" s="343"/>
      <c r="G50" s="343"/>
      <c r="H50" s="330"/>
      <c r="I50" s="330"/>
      <c r="J50" s="330"/>
      <c r="K50" s="330"/>
      <c r="L50" s="331"/>
      <c r="M50" s="330"/>
      <c r="N50" s="330"/>
      <c r="O50" s="332"/>
      <c r="P50" s="2"/>
      <c r="Q50" s="4"/>
      <c r="R50" s="2"/>
      <c r="S50" s="2"/>
    </row>
    <row r="51" spans="1:19" s="311" customFormat="1">
      <c r="A51" s="320" t="s">
        <v>79</v>
      </c>
      <c r="B51" s="344" t="s">
        <v>697</v>
      </c>
      <c r="G51" s="343"/>
      <c r="H51" s="330"/>
      <c r="I51" s="330"/>
      <c r="J51" s="330"/>
      <c r="K51" s="330"/>
      <c r="L51" s="331"/>
      <c r="M51" s="330"/>
      <c r="N51" s="330"/>
      <c r="O51" s="332"/>
      <c r="P51" s="2"/>
      <c r="Q51" s="4"/>
      <c r="R51" s="2"/>
      <c r="S51" s="2"/>
    </row>
    <row r="52" spans="1:19" s="16" customFormat="1" ht="15" customHeight="1">
      <c r="A52" s="320" t="s">
        <v>80</v>
      </c>
      <c r="B52" s="344" t="s">
        <v>698</v>
      </c>
      <c r="C52" s="46"/>
      <c r="D52" s="46"/>
      <c r="E52" s="46"/>
      <c r="F52" s="46"/>
      <c r="G52" s="342"/>
      <c r="H52" s="2"/>
      <c r="I52" s="2"/>
      <c r="J52" s="2"/>
      <c r="P52" s="2"/>
      <c r="Q52" s="4"/>
      <c r="R52" s="2"/>
      <c r="S52" s="2"/>
    </row>
    <row r="53" spans="1:19" s="16" customFormat="1" ht="15" customHeight="1">
      <c r="A53" s="320" t="s">
        <v>81</v>
      </c>
      <c r="B53" s="344" t="s">
        <v>941</v>
      </c>
      <c r="C53" s="46"/>
      <c r="D53" s="46"/>
      <c r="E53" s="46"/>
      <c r="F53" s="46"/>
      <c r="G53" s="342"/>
      <c r="H53" s="2"/>
      <c r="I53" s="2"/>
      <c r="J53" s="2"/>
      <c r="P53" s="2"/>
      <c r="Q53" s="4"/>
      <c r="R53" s="2"/>
      <c r="S53" s="2"/>
    </row>
    <row r="54" spans="1:19" ht="15" customHeight="1">
      <c r="A54" s="320" t="s">
        <v>82</v>
      </c>
      <c r="B54" s="344" t="s">
        <v>1094</v>
      </c>
      <c r="C54" s="46"/>
      <c r="D54" s="46"/>
      <c r="E54" s="46"/>
      <c r="F54" s="46"/>
      <c r="G54" s="342"/>
    </row>
    <row r="55" spans="1:19" ht="15" customHeight="1">
      <c r="A55" s="44"/>
      <c r="B55" s="45"/>
      <c r="C55" s="46"/>
      <c r="D55" s="46"/>
      <c r="E55" s="46"/>
      <c r="F55" s="46"/>
      <c r="G55" s="342"/>
    </row>
    <row r="56" spans="1:19" ht="15" customHeight="1">
      <c r="A56" s="44"/>
      <c r="B56" s="45"/>
      <c r="C56" s="46"/>
      <c r="D56" s="46"/>
      <c r="E56" s="46"/>
      <c r="F56" s="46"/>
      <c r="G56" s="342"/>
    </row>
    <row r="57" spans="1:19" ht="15" customHeight="1">
      <c r="A57" s="44"/>
      <c r="B57" s="45"/>
      <c r="C57" s="46"/>
      <c r="D57" s="46"/>
      <c r="E57" s="46"/>
      <c r="F57" s="46"/>
      <c r="G57" s="342"/>
    </row>
    <row r="58" spans="1:19" ht="15" customHeight="1">
      <c r="A58" s="44"/>
      <c r="B58" s="45"/>
      <c r="C58" s="46"/>
      <c r="D58" s="46"/>
      <c r="E58" s="46"/>
      <c r="F58" s="46"/>
      <c r="G58" s="342"/>
    </row>
    <row r="59" spans="1:19" ht="15" customHeight="1">
      <c r="A59" s="44"/>
      <c r="B59" s="45"/>
      <c r="C59" s="46"/>
      <c r="D59" s="46"/>
      <c r="E59" s="46"/>
      <c r="F59" s="46"/>
      <c r="G59" s="342"/>
    </row>
    <row r="60" spans="1:19">
      <c r="A60" s="44"/>
      <c r="B60" s="45"/>
      <c r="C60" s="46"/>
      <c r="D60" s="46"/>
      <c r="E60" s="46"/>
      <c r="F60" s="46"/>
      <c r="G60" s="342"/>
    </row>
    <row r="61" spans="1:19">
      <c r="A61" s="44"/>
      <c r="B61" s="45"/>
      <c r="C61" s="46"/>
      <c r="D61" s="46"/>
      <c r="E61" s="46"/>
      <c r="F61" s="46"/>
      <c r="G61" s="342"/>
    </row>
    <row r="62" spans="1:19">
      <c r="A62" s="44"/>
      <c r="B62" s="45"/>
      <c r="C62" s="46"/>
      <c r="D62" s="46"/>
      <c r="E62" s="46"/>
      <c r="F62" s="46"/>
      <c r="G62" s="342"/>
    </row>
    <row r="63" spans="1:19">
      <c r="A63" s="44"/>
      <c r="B63" s="45"/>
      <c r="C63" s="46"/>
      <c r="D63" s="46"/>
      <c r="E63" s="46"/>
      <c r="F63" s="46"/>
      <c r="G63" s="342"/>
    </row>
    <row r="64" spans="1:19">
      <c r="A64" s="44"/>
      <c r="B64" s="45"/>
      <c r="C64" s="46"/>
      <c r="D64" s="46"/>
      <c r="E64" s="46"/>
      <c r="F64" s="46"/>
      <c r="G64" s="342"/>
    </row>
    <row r="65" spans="1:7">
      <c r="A65" s="44"/>
      <c r="B65" s="45"/>
      <c r="C65" s="46"/>
      <c r="D65" s="46"/>
      <c r="E65" s="46"/>
      <c r="F65" s="46"/>
      <c r="G65" s="342"/>
    </row>
    <row r="66" spans="1:7">
      <c r="A66" s="44"/>
      <c r="B66" s="45"/>
      <c r="C66" s="46"/>
      <c r="D66" s="46"/>
      <c r="E66" s="46"/>
      <c r="F66" s="46"/>
      <c r="G66" s="342"/>
    </row>
    <row r="67" spans="1:7">
      <c r="A67" s="44"/>
      <c r="B67" s="45"/>
      <c r="C67" s="46"/>
      <c r="D67" s="46"/>
      <c r="E67" s="46"/>
      <c r="F67" s="46"/>
      <c r="G67" s="342"/>
    </row>
    <row r="68" spans="1:7">
      <c r="A68" s="44"/>
      <c r="B68" s="45"/>
      <c r="C68" s="46"/>
      <c r="D68" s="46"/>
      <c r="E68" s="46"/>
      <c r="F68" s="46"/>
      <c r="G68" s="342"/>
    </row>
    <row r="69" spans="1:7">
      <c r="A69" s="44"/>
      <c r="B69" s="45"/>
      <c r="C69" s="46"/>
      <c r="D69" s="46"/>
      <c r="E69" s="46"/>
      <c r="F69" s="46"/>
      <c r="G69" s="342"/>
    </row>
    <row r="70" spans="1:7">
      <c r="A70" s="44"/>
      <c r="B70" s="45"/>
      <c r="C70" s="46"/>
      <c r="D70" s="46"/>
      <c r="E70" s="46"/>
      <c r="F70" s="46"/>
      <c r="G70" s="342"/>
    </row>
    <row r="93" spans="11:12">
      <c r="K93" s="3"/>
    </row>
    <row r="94" spans="11:12">
      <c r="K94" s="3"/>
      <c r="L94" s="6"/>
    </row>
    <row r="95" spans="11:12">
      <c r="K95" s="3"/>
    </row>
    <row r="98" spans="1:17" ht="102" customHeight="1"/>
    <row r="99" spans="1:17" s="16" customFormat="1">
      <c r="A99" s="1"/>
      <c r="B99" s="27"/>
      <c r="C99" s="2"/>
      <c r="D99" s="2"/>
      <c r="E99" s="2"/>
      <c r="F99" s="2"/>
      <c r="G99" s="27"/>
      <c r="H99" s="2"/>
      <c r="I99" s="2"/>
      <c r="J99" s="2"/>
      <c r="Q99" s="15"/>
    </row>
    <row r="100" spans="1:17" s="16" customFormat="1" ht="63.75" customHeight="1">
      <c r="A100" s="1"/>
      <c r="B100" s="27"/>
      <c r="C100" s="2"/>
      <c r="D100" s="2"/>
      <c r="E100" s="2"/>
      <c r="F100" s="2"/>
      <c r="G100" s="27"/>
      <c r="H100" s="2"/>
      <c r="I100" s="2"/>
      <c r="J100" s="2"/>
      <c r="Q100" s="15"/>
    </row>
    <row r="116" spans="1:17" s="16" customFormat="1">
      <c r="A116" s="1"/>
      <c r="B116" s="27"/>
      <c r="C116" s="2"/>
      <c r="D116" s="2"/>
      <c r="E116" s="2"/>
      <c r="F116" s="2"/>
      <c r="G116" s="27"/>
      <c r="H116" s="2"/>
      <c r="I116" s="2"/>
      <c r="J116" s="2"/>
      <c r="K116" s="2"/>
      <c r="Q116" s="15"/>
    </row>
    <row r="117" spans="1:17" s="16" customFormat="1">
      <c r="A117" s="1"/>
      <c r="B117" s="27"/>
      <c r="C117" s="2"/>
      <c r="D117" s="2"/>
      <c r="E117" s="2"/>
      <c r="F117" s="2"/>
      <c r="G117" s="27"/>
      <c r="H117" s="2"/>
      <c r="I117" s="2"/>
      <c r="J117" s="2"/>
      <c r="K117" s="2"/>
      <c r="L117" s="2"/>
      <c r="Q117" s="15"/>
    </row>
    <row r="118" spans="1:17" s="16" customFormat="1">
      <c r="A118" s="1"/>
      <c r="B118" s="27"/>
      <c r="C118" s="2"/>
      <c r="D118" s="2"/>
      <c r="E118" s="2"/>
      <c r="F118" s="2"/>
      <c r="G118" s="27"/>
      <c r="H118" s="2"/>
      <c r="I118" s="2"/>
      <c r="J118" s="2"/>
      <c r="K118" s="2"/>
      <c r="L118" s="2"/>
      <c r="Q118" s="15"/>
    </row>
    <row r="119" spans="1:17" s="16" customFormat="1" ht="82.5" customHeight="1">
      <c r="A119" s="1"/>
      <c r="B119" s="27"/>
      <c r="C119" s="2"/>
      <c r="D119" s="2"/>
      <c r="E119" s="2"/>
      <c r="F119" s="2"/>
      <c r="G119" s="27"/>
      <c r="H119" s="2"/>
      <c r="I119" s="2"/>
      <c r="J119" s="2"/>
      <c r="K119" s="29"/>
      <c r="L119" s="29"/>
      <c r="Q119" s="15"/>
    </row>
    <row r="120" spans="1:17" s="16" customFormat="1">
      <c r="A120" s="1"/>
      <c r="B120" s="27"/>
      <c r="C120" s="2"/>
      <c r="D120" s="2"/>
      <c r="E120" s="2"/>
      <c r="F120" s="2"/>
      <c r="G120" s="27"/>
      <c r="H120" s="2"/>
      <c r="I120" s="2"/>
      <c r="J120" s="2"/>
      <c r="K120" s="2"/>
      <c r="L120" s="2"/>
      <c r="Q120" s="15"/>
    </row>
    <row r="121" spans="1:17" s="16" customFormat="1">
      <c r="A121" s="1"/>
      <c r="B121" s="27"/>
      <c r="C121" s="2"/>
      <c r="D121" s="2"/>
      <c r="E121" s="2"/>
      <c r="F121" s="2"/>
      <c r="G121" s="27"/>
      <c r="H121" s="2"/>
      <c r="I121" s="2"/>
      <c r="J121" s="2"/>
      <c r="K121" s="2"/>
      <c r="L121" s="2"/>
      <c r="Q121" s="15"/>
    </row>
    <row r="122" spans="1:17" s="16" customFormat="1">
      <c r="A122" s="1"/>
      <c r="B122" s="27"/>
      <c r="C122" s="2"/>
      <c r="D122" s="2"/>
      <c r="E122" s="2"/>
      <c r="F122" s="2"/>
      <c r="G122" s="27"/>
      <c r="H122" s="2"/>
      <c r="I122" s="2"/>
      <c r="J122" s="2"/>
      <c r="K122" s="2"/>
      <c r="L122" s="2"/>
      <c r="Q122" s="15"/>
    </row>
    <row r="123" spans="1:17" s="16" customFormat="1">
      <c r="A123" s="1"/>
      <c r="B123" s="27"/>
      <c r="C123" s="2"/>
      <c r="D123" s="2"/>
      <c r="E123" s="2"/>
      <c r="F123" s="2"/>
      <c r="G123" s="27"/>
      <c r="H123" s="2"/>
      <c r="I123" s="2"/>
      <c r="J123" s="2"/>
      <c r="K123" s="2"/>
      <c r="L123" s="2"/>
      <c r="Q123" s="15"/>
    </row>
    <row r="124" spans="1:17" s="16" customFormat="1">
      <c r="A124" s="1"/>
      <c r="B124" s="27"/>
      <c r="C124" s="2"/>
      <c r="D124" s="2"/>
      <c r="E124" s="2"/>
      <c r="F124" s="2"/>
      <c r="G124" s="27"/>
      <c r="H124" s="2"/>
      <c r="I124" s="2"/>
      <c r="J124" s="2"/>
      <c r="K124" s="2"/>
      <c r="L124" s="2"/>
      <c r="Q124" s="15"/>
    </row>
    <row r="125" spans="1:17" s="16" customFormat="1">
      <c r="A125" s="1"/>
      <c r="B125" s="27"/>
      <c r="C125" s="2"/>
      <c r="D125" s="2"/>
      <c r="E125" s="2"/>
      <c r="F125" s="2"/>
      <c r="G125" s="27"/>
      <c r="H125" s="2"/>
      <c r="I125" s="2"/>
      <c r="J125" s="2"/>
      <c r="K125" s="2"/>
      <c r="L125" s="2"/>
      <c r="Q125" s="15"/>
    </row>
    <row r="126" spans="1:17" s="16" customFormat="1">
      <c r="A126" s="1"/>
      <c r="B126" s="27"/>
      <c r="C126" s="2"/>
      <c r="D126" s="2"/>
      <c r="E126" s="2"/>
      <c r="F126" s="2"/>
      <c r="G126" s="27"/>
      <c r="H126" s="2"/>
      <c r="I126" s="2"/>
      <c r="J126" s="2"/>
      <c r="K126" s="2"/>
      <c r="Q126" s="15"/>
    </row>
    <row r="127" spans="1:17" s="16" customFormat="1">
      <c r="A127" s="1"/>
      <c r="B127" s="27"/>
      <c r="C127" s="2"/>
      <c r="D127" s="2"/>
      <c r="E127" s="2"/>
      <c r="F127" s="2"/>
      <c r="G127" s="27"/>
      <c r="H127" s="2"/>
      <c r="I127" s="2"/>
      <c r="J127" s="2"/>
      <c r="K127" s="2"/>
      <c r="Q127" s="15"/>
    </row>
    <row r="129" spans="11:15" ht="15" customHeight="1">
      <c r="K129" s="304"/>
    </row>
    <row r="130" spans="11:15" ht="15" customHeight="1">
      <c r="K130" s="304"/>
      <c r="L130" s="6"/>
    </row>
    <row r="131" spans="11:15" ht="30.75" customHeight="1">
      <c r="K131" s="47"/>
    </row>
    <row r="132" spans="11:15">
      <c r="K132" s="47"/>
    </row>
    <row r="133" spans="11:15">
      <c r="K133" s="48"/>
      <c r="L133" s="48"/>
      <c r="M133" s="48"/>
      <c r="N133" s="48"/>
    </row>
    <row r="135" spans="11:15" ht="30.75" customHeight="1">
      <c r="K135" s="305"/>
      <c r="L135" s="305"/>
      <c r="M135" s="305"/>
      <c r="N135" s="305"/>
      <c r="O135" s="305"/>
    </row>
    <row r="136" spans="11:15" ht="15" customHeight="1">
      <c r="K136" s="305"/>
    </row>
    <row r="137" spans="11:15" ht="82.5" customHeight="1">
      <c r="K137" s="305"/>
      <c r="L137" s="305"/>
      <c r="M137" s="305"/>
      <c r="N137" s="305"/>
      <c r="O137" s="305"/>
    </row>
    <row r="138" spans="11:15" ht="15" customHeight="1">
      <c r="K138" s="50"/>
    </row>
    <row r="139" spans="11:15">
      <c r="K139" s="50"/>
    </row>
    <row r="140" spans="11:15" ht="69.75" customHeight="1">
      <c r="K140" s="50"/>
    </row>
  </sheetData>
  <mergeCells count="8">
    <mergeCell ref="C13:F13"/>
    <mergeCell ref="A1:O1"/>
    <mergeCell ref="A2:O2"/>
    <mergeCell ref="A3:O3"/>
    <mergeCell ref="C14:F14"/>
    <mergeCell ref="C7:F7"/>
    <mergeCell ref="C9:F9"/>
    <mergeCell ref="C11:F11"/>
  </mergeCells>
  <pageMargins left="0.5" right="0.25" top="1" bottom="1" header="0.5" footer="0.5"/>
  <pageSetup scale="62" orientation="landscape" r:id="rId1"/>
  <headerFooter alignWithMargins="0"/>
  <ignoredErrors>
    <ignoredError sqref="H45:J45 L45:N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K275"/>
  <sheetViews>
    <sheetView zoomScale="90" zoomScaleNormal="90" workbookViewId="0">
      <selection activeCell="A50" sqref="A50"/>
    </sheetView>
  </sheetViews>
  <sheetFormatPr defaultColWidth="8.81640625" defaultRowHeight="13.2"/>
  <cols>
    <col min="1" max="1" width="4.1796875" style="103" customWidth="1"/>
    <col min="2" max="2" width="50.7265625" style="103" customWidth="1"/>
    <col min="3" max="3" width="36.81640625" style="103" customWidth="1"/>
    <col min="4" max="4" width="10.81640625" style="103" customWidth="1"/>
    <col min="5" max="5" width="3.81640625" style="103" customWidth="1"/>
    <col min="6" max="6" width="3.54296875" style="103" customWidth="1"/>
    <col min="7" max="7" width="9.81640625" style="103" customWidth="1"/>
    <col min="8" max="8" width="3.1796875" style="103" bestFit="1" customWidth="1"/>
    <col min="9" max="9" width="10.81640625" style="103" customWidth="1"/>
    <col min="10" max="10" width="1.453125" style="103" customWidth="1"/>
    <col min="11" max="11" width="6" style="103" customWidth="1"/>
    <col min="12" max="12" width="10.1796875" style="103" customWidth="1"/>
    <col min="13" max="16384" width="8.81640625" style="103"/>
  </cols>
  <sheetData>
    <row r="1" spans="1:11">
      <c r="B1" s="71"/>
      <c r="C1" s="71"/>
      <c r="D1" s="104"/>
      <c r="E1" s="71"/>
      <c r="F1" s="71"/>
      <c r="G1" s="71"/>
      <c r="H1" s="71"/>
      <c r="I1" s="865" t="s">
        <v>478</v>
      </c>
      <c r="J1" s="865"/>
      <c r="K1" s="865"/>
    </row>
    <row r="2" spans="1:11">
      <c r="B2" s="71"/>
      <c r="C2" s="71"/>
      <c r="D2" s="104"/>
      <c r="E2" s="71"/>
      <c r="F2" s="71"/>
      <c r="G2" s="71"/>
      <c r="H2" s="71"/>
      <c r="I2" s="71"/>
      <c r="J2" s="864" t="s">
        <v>241</v>
      </c>
      <c r="K2" s="864"/>
    </row>
    <row r="3" spans="1:11">
      <c r="B3" s="71"/>
      <c r="D3" s="104"/>
      <c r="E3" s="71"/>
      <c r="F3" s="71"/>
      <c r="G3" s="71"/>
      <c r="H3" s="71"/>
      <c r="I3" s="71"/>
      <c r="J3" s="71"/>
      <c r="K3" s="105"/>
    </row>
    <row r="4" spans="1:11">
      <c r="B4" s="104" t="s">
        <v>0</v>
      </c>
      <c r="C4" s="78" t="s">
        <v>122</v>
      </c>
      <c r="E4" s="71"/>
      <c r="F4" s="71"/>
      <c r="G4" s="71"/>
      <c r="H4" s="71"/>
      <c r="I4" s="71"/>
      <c r="J4" s="71"/>
      <c r="K4" s="106" t="s">
        <v>1349</v>
      </c>
    </row>
    <row r="5" spans="1:11">
      <c r="B5" s="71"/>
      <c r="C5" s="108" t="s">
        <v>123</v>
      </c>
      <c r="E5" s="107"/>
      <c r="F5" s="107"/>
      <c r="G5" s="107"/>
      <c r="H5" s="71"/>
      <c r="I5" s="71"/>
      <c r="J5" s="71"/>
      <c r="K5" s="71"/>
    </row>
    <row r="6" spans="1:11">
      <c r="B6" s="71"/>
      <c r="C6" s="107"/>
      <c r="D6" s="107"/>
      <c r="E6" s="107"/>
      <c r="F6" s="107"/>
      <c r="G6" s="107"/>
      <c r="H6" s="71"/>
      <c r="I6" s="71"/>
      <c r="J6" s="71"/>
      <c r="K6" s="71"/>
    </row>
    <row r="7" spans="1:11">
      <c r="B7" s="71"/>
      <c r="C7" s="109" t="s">
        <v>130</v>
      </c>
      <c r="E7" s="107"/>
      <c r="F7" s="107"/>
      <c r="G7" s="107"/>
      <c r="H7" s="107"/>
      <c r="I7" s="107"/>
      <c r="J7" s="107"/>
      <c r="K7" s="107"/>
    </row>
    <row r="8" spans="1:11">
      <c r="A8" s="78" t="s">
        <v>4</v>
      </c>
      <c r="B8" s="71"/>
      <c r="C8" s="71"/>
      <c r="D8" s="110"/>
      <c r="E8" s="71"/>
      <c r="F8" s="71"/>
      <c r="G8" s="71"/>
      <c r="H8" s="71"/>
      <c r="I8" s="78" t="s">
        <v>5</v>
      </c>
      <c r="J8" s="71"/>
      <c r="K8" s="71"/>
    </row>
    <row r="9" spans="1:11" ht="13.8" thickBot="1">
      <c r="A9" s="111" t="s">
        <v>6</v>
      </c>
      <c r="B9" s="71"/>
      <c r="C9" s="71"/>
      <c r="D9" s="71"/>
      <c r="E9" s="71"/>
      <c r="F9" s="71"/>
      <c r="G9" s="71"/>
      <c r="H9" s="71"/>
      <c r="I9" s="111" t="s">
        <v>7</v>
      </c>
      <c r="J9" s="71"/>
      <c r="K9" s="71"/>
    </row>
    <row r="10" spans="1:11">
      <c r="A10" s="78">
        <v>1</v>
      </c>
      <c r="B10" s="71" t="s">
        <v>125</v>
      </c>
      <c r="C10" s="71"/>
      <c r="D10" s="107"/>
      <c r="E10" s="71"/>
      <c r="F10" s="71"/>
      <c r="G10" s="71"/>
      <c r="H10" s="71"/>
      <c r="I10" s="112">
        <f>'Act Att-H'!I155</f>
        <v>16832749.793097246</v>
      </c>
      <c r="J10" s="71"/>
      <c r="K10" s="71"/>
    </row>
    <row r="11" spans="1:11">
      <c r="A11" s="78"/>
      <c r="B11" s="71"/>
      <c r="C11" s="71"/>
      <c r="D11" s="71"/>
      <c r="E11" s="71"/>
      <c r="F11" s="71"/>
      <c r="G11" s="71"/>
      <c r="H11" s="71"/>
      <c r="I11" s="107"/>
      <c r="J11" s="71"/>
      <c r="K11" s="71"/>
    </row>
    <row r="12" spans="1:11" ht="15.75" customHeight="1" thickBot="1">
      <c r="A12" s="78" t="s">
        <v>2</v>
      </c>
      <c r="B12" s="71" t="s">
        <v>8</v>
      </c>
      <c r="C12" s="107" t="s">
        <v>462</v>
      </c>
      <c r="D12" s="111" t="s">
        <v>9</v>
      </c>
      <c r="E12" s="107"/>
      <c r="F12" s="874" t="s">
        <v>10</v>
      </c>
      <c r="G12" s="874"/>
      <c r="H12" s="71"/>
      <c r="I12" s="107"/>
      <c r="J12" s="71"/>
      <c r="K12" s="71"/>
    </row>
    <row r="13" spans="1:11">
      <c r="A13" s="78">
        <v>2</v>
      </c>
      <c r="B13" s="71" t="s">
        <v>12</v>
      </c>
      <c r="C13" s="107" t="s">
        <v>651</v>
      </c>
      <c r="D13" s="174">
        <f>'A1-RevCred'!J12</f>
        <v>101349.72917770346</v>
      </c>
      <c r="E13" s="107"/>
      <c r="F13" s="107" t="s">
        <v>11</v>
      </c>
      <c r="G13" s="114">
        <f>$I$174</f>
        <v>0.96104528227842878</v>
      </c>
      <c r="H13" s="107"/>
      <c r="I13" s="63">
        <f>+G13*D13</f>
        <v>97401.679086428325</v>
      </c>
      <c r="J13" s="71"/>
      <c r="K13" s="71"/>
    </row>
    <row r="14" spans="1:11">
      <c r="A14" s="78">
        <v>3</v>
      </c>
      <c r="B14" s="71" t="s">
        <v>110</v>
      </c>
      <c r="C14" s="107" t="s">
        <v>807</v>
      </c>
      <c r="D14" s="174">
        <f>'A1-RevCred'!F48</f>
        <v>0</v>
      </c>
      <c r="E14" s="107"/>
      <c r="F14" s="115" t="str">
        <f t="shared" ref="F14" si="0">+F13</f>
        <v>TP</v>
      </c>
      <c r="G14" s="114">
        <f>$I$174</f>
        <v>0.96104528227842878</v>
      </c>
      <c r="H14" s="107"/>
      <c r="I14" s="63">
        <f>+G14*D14</f>
        <v>0</v>
      </c>
      <c r="J14" s="71"/>
      <c r="K14" s="71"/>
    </row>
    <row r="15" spans="1:11">
      <c r="A15" s="78">
        <v>4</v>
      </c>
      <c r="B15" s="176" t="s">
        <v>568</v>
      </c>
      <c r="C15" s="107"/>
      <c r="D15" s="175"/>
      <c r="E15" s="107"/>
      <c r="F15" s="115"/>
      <c r="G15" s="114"/>
      <c r="H15" s="107"/>
      <c r="I15" s="63"/>
      <c r="J15" s="71"/>
      <c r="K15" s="71"/>
    </row>
    <row r="16" spans="1:11" ht="13.8" thickBot="1">
      <c r="A16" s="78">
        <v>5</v>
      </c>
      <c r="B16" s="176" t="s">
        <v>568</v>
      </c>
      <c r="C16" s="107"/>
      <c r="D16" s="175"/>
      <c r="E16" s="107"/>
      <c r="F16" s="115"/>
      <c r="G16" s="114"/>
      <c r="H16" s="107"/>
      <c r="I16" s="64"/>
      <c r="J16" s="71"/>
      <c r="K16" s="71"/>
    </row>
    <row r="17" spans="1:11">
      <c r="A17" s="78">
        <v>6</v>
      </c>
      <c r="B17" s="71" t="s">
        <v>91</v>
      </c>
      <c r="C17" s="71"/>
      <c r="D17" s="117" t="s">
        <v>2</v>
      </c>
      <c r="E17" s="107"/>
      <c r="F17" s="107"/>
      <c r="G17" s="118"/>
      <c r="H17" s="107"/>
      <c r="I17" s="63">
        <f>SUM(I13:I16)</f>
        <v>97401.679086428325</v>
      </c>
      <c r="J17" s="71"/>
      <c r="K17" s="71"/>
    </row>
    <row r="18" spans="1:11">
      <c r="A18" s="78"/>
      <c r="B18" s="71"/>
      <c r="C18" s="71"/>
      <c r="I18" s="63"/>
      <c r="J18" s="71"/>
      <c r="K18" s="71"/>
    </row>
    <row r="19" spans="1:11" ht="13.8" thickBot="1">
      <c r="A19" s="78">
        <v>7</v>
      </c>
      <c r="B19" s="71" t="s">
        <v>13</v>
      </c>
      <c r="C19" s="71" t="s">
        <v>816</v>
      </c>
      <c r="D19" s="117"/>
      <c r="E19" s="107"/>
      <c r="F19" s="107"/>
      <c r="G19" s="107"/>
      <c r="H19" s="107"/>
      <c r="I19" s="119">
        <f>I10-I17</f>
        <v>16735348.114010818</v>
      </c>
      <c r="J19" s="71"/>
      <c r="K19" s="71"/>
    </row>
    <row r="20" spans="1:11" ht="13.8" thickTop="1">
      <c r="A20" s="78"/>
      <c r="B20" s="71"/>
      <c r="C20" s="71"/>
      <c r="D20" s="117"/>
      <c r="E20" s="107"/>
      <c r="F20" s="107"/>
      <c r="G20" s="107"/>
      <c r="H20" s="107"/>
      <c r="I20" s="422"/>
      <c r="J20" s="71"/>
      <c r="K20" s="71"/>
    </row>
    <row r="21" spans="1:11">
      <c r="A21" s="78"/>
      <c r="B21" s="71" t="s">
        <v>14</v>
      </c>
      <c r="C21" s="71"/>
      <c r="D21" s="107"/>
      <c r="E21" s="71"/>
      <c r="F21" s="71"/>
      <c r="G21" s="71"/>
      <c r="H21" s="71"/>
      <c r="I21" s="107"/>
      <c r="J21" s="71"/>
      <c r="K21" s="71"/>
    </row>
    <row r="22" spans="1:11">
      <c r="A22" s="78">
        <v>8</v>
      </c>
      <c r="B22" s="71" t="s">
        <v>255</v>
      </c>
      <c r="C22" s="103" t="s">
        <v>652</v>
      </c>
      <c r="D22" s="107"/>
      <c r="E22" s="71"/>
      <c r="F22" s="71"/>
      <c r="G22" s="71"/>
      <c r="H22" s="71"/>
      <c r="I22" s="174">
        <f>'A6-Divisor'!E21</f>
        <v>295500</v>
      </c>
      <c r="J22" s="71"/>
      <c r="K22" s="71"/>
    </row>
    <row r="23" spans="1:11">
      <c r="A23" s="78">
        <v>9</v>
      </c>
      <c r="B23" s="71"/>
      <c r="C23" s="107"/>
      <c r="D23" s="107"/>
      <c r="E23" s="107"/>
      <c r="F23" s="107"/>
      <c r="G23" s="107"/>
      <c r="H23" s="107"/>
      <c r="I23" s="107"/>
      <c r="J23" s="71"/>
      <c r="K23" s="71"/>
    </row>
    <row r="24" spans="1:11">
      <c r="A24" s="78">
        <v>10</v>
      </c>
      <c r="B24" s="107" t="s">
        <v>254</v>
      </c>
      <c r="C24" s="107"/>
      <c r="D24" s="107"/>
      <c r="E24" s="107"/>
      <c r="F24" s="107"/>
      <c r="G24" s="107"/>
      <c r="H24" s="107"/>
      <c r="I24" s="107"/>
      <c r="J24" s="107"/>
      <c r="K24" s="71"/>
    </row>
    <row r="25" spans="1:11">
      <c r="A25" s="78">
        <v>11</v>
      </c>
      <c r="B25" s="71" t="s">
        <v>256</v>
      </c>
      <c r="C25" s="71"/>
      <c r="D25" s="577">
        <f>ROUND(I19/I22,2)</f>
        <v>56.63</v>
      </c>
      <c r="E25" s="71" t="s">
        <v>245</v>
      </c>
      <c r="F25" s="107"/>
      <c r="G25" s="107"/>
      <c r="H25" s="107"/>
      <c r="I25" s="107"/>
      <c r="J25" s="107"/>
      <c r="K25" s="71"/>
    </row>
    <row r="26" spans="1:11">
      <c r="A26" s="78">
        <v>12</v>
      </c>
      <c r="B26" s="71" t="s">
        <v>257</v>
      </c>
      <c r="C26" s="71" t="s">
        <v>787</v>
      </c>
      <c r="D26" s="577">
        <f>ROUND(D25/12,2)</f>
        <v>4.72</v>
      </c>
      <c r="E26" s="71" t="s">
        <v>246</v>
      </c>
      <c r="F26" s="107"/>
      <c r="G26" s="107"/>
      <c r="H26" s="107"/>
      <c r="I26" s="107"/>
      <c r="J26" s="107"/>
      <c r="K26" s="71"/>
    </row>
    <row r="27" spans="1:11">
      <c r="A27" s="78">
        <v>13</v>
      </c>
      <c r="B27" s="71" t="s">
        <v>258</v>
      </c>
      <c r="C27" s="71" t="s">
        <v>788</v>
      </c>
      <c r="D27" s="577">
        <f>ROUND(D25/52,2)</f>
        <v>1.0900000000000001</v>
      </c>
      <c r="E27" s="71" t="s">
        <v>247</v>
      </c>
      <c r="F27" s="107"/>
      <c r="G27" s="107"/>
      <c r="H27" s="107"/>
      <c r="I27" s="107"/>
      <c r="J27" s="107"/>
      <c r="K27" s="71"/>
    </row>
    <row r="28" spans="1:11">
      <c r="A28" s="78">
        <v>14</v>
      </c>
      <c r="B28" s="71" t="s">
        <v>259</v>
      </c>
      <c r="C28" s="71" t="s">
        <v>248</v>
      </c>
      <c r="D28" s="578">
        <f>+D27/6</f>
        <v>0.18166666666666667</v>
      </c>
      <c r="E28" s="71" t="s">
        <v>249</v>
      </c>
      <c r="F28" s="107"/>
      <c r="G28" s="107"/>
      <c r="H28" s="107"/>
      <c r="I28" s="107"/>
      <c r="J28" s="107"/>
      <c r="K28" s="71"/>
    </row>
    <row r="29" spans="1:11">
      <c r="A29" s="78">
        <v>15</v>
      </c>
      <c r="B29" s="71" t="s">
        <v>260</v>
      </c>
      <c r="C29" s="71" t="s">
        <v>250</v>
      </c>
      <c r="D29" s="578">
        <f>+D27/7</f>
        <v>0.15571428571428572</v>
      </c>
      <c r="E29" s="71" t="s">
        <v>249</v>
      </c>
      <c r="F29" s="107"/>
      <c r="G29" s="107"/>
      <c r="H29" s="107"/>
      <c r="I29" s="107"/>
      <c r="J29" s="107"/>
      <c r="K29" s="71"/>
    </row>
    <row r="30" spans="1:11">
      <c r="A30" s="78">
        <v>16</v>
      </c>
      <c r="B30" s="71" t="s">
        <v>261</v>
      </c>
      <c r="C30" s="71" t="s">
        <v>251</v>
      </c>
      <c r="D30" s="577">
        <f>+D28/16*1000</f>
        <v>11.354166666666666</v>
      </c>
      <c r="E30" s="71" t="s">
        <v>890</v>
      </c>
      <c r="F30" s="107"/>
      <c r="G30" s="107"/>
      <c r="H30" s="107"/>
      <c r="I30" s="107"/>
      <c r="J30" s="107"/>
      <c r="K30" s="71"/>
    </row>
    <row r="31" spans="1:11">
      <c r="A31" s="78">
        <v>17</v>
      </c>
      <c r="B31" s="71" t="s">
        <v>262</v>
      </c>
      <c r="C31" s="71" t="s">
        <v>252</v>
      </c>
      <c r="D31" s="577">
        <f>+D29/24*1000</f>
        <v>6.4880952380952381</v>
      </c>
      <c r="E31" s="71" t="s">
        <v>890</v>
      </c>
      <c r="F31" s="107"/>
      <c r="G31" s="107"/>
      <c r="H31" s="107"/>
      <c r="I31" s="107"/>
      <c r="J31" s="107"/>
      <c r="K31" s="71"/>
    </row>
    <row r="32" spans="1:11">
      <c r="B32" s="71"/>
      <c r="C32" s="71"/>
      <c r="D32" s="104"/>
      <c r="E32" s="71"/>
      <c r="F32" s="71"/>
      <c r="G32" s="71"/>
      <c r="H32" s="71"/>
      <c r="I32" s="865" t="str">
        <f>I1</f>
        <v>Actual Attachment H</v>
      </c>
      <c r="J32" s="865"/>
      <c r="K32" s="865"/>
    </row>
    <row r="33" spans="1:11">
      <c r="B33" s="71"/>
      <c r="C33" s="71"/>
      <c r="D33" s="104"/>
      <c r="E33" s="71"/>
      <c r="F33" s="71"/>
      <c r="G33" s="71"/>
      <c r="H33" s="71"/>
      <c r="I33" s="71"/>
      <c r="J33" s="864" t="s">
        <v>242</v>
      </c>
      <c r="K33" s="864"/>
    </row>
    <row r="34" spans="1:11">
      <c r="B34" s="71"/>
      <c r="C34" s="71"/>
      <c r="D34" s="104"/>
      <c r="E34" s="71"/>
      <c r="F34" s="71"/>
      <c r="G34" s="71"/>
      <c r="H34" s="71"/>
      <c r="I34" s="71"/>
      <c r="J34" s="71"/>
      <c r="K34" s="105"/>
    </row>
    <row r="35" spans="1:11">
      <c r="B35" s="104" t="s">
        <v>0</v>
      </c>
      <c r="C35" s="71"/>
      <c r="D35" s="78" t="s">
        <v>1</v>
      </c>
      <c r="E35" s="71"/>
      <c r="F35" s="71"/>
      <c r="G35" s="71"/>
      <c r="H35" s="71"/>
      <c r="I35" s="71"/>
      <c r="J35" s="71"/>
      <c r="K35" s="121" t="str">
        <f>K4</f>
        <v>Actuals - For the 12 months ended 12/31/2024</v>
      </c>
    </row>
    <row r="36" spans="1:11">
      <c r="B36" s="71"/>
      <c r="C36" s="107"/>
      <c r="D36" s="108" t="s">
        <v>3</v>
      </c>
      <c r="E36" s="107"/>
      <c r="F36" s="107"/>
      <c r="G36" s="107"/>
      <c r="H36" s="71"/>
      <c r="I36" s="71"/>
      <c r="J36" s="71"/>
      <c r="K36" s="71"/>
    </row>
    <row r="37" spans="1:11">
      <c r="B37" s="71"/>
      <c r="C37" s="107"/>
      <c r="D37" s="107"/>
      <c r="E37" s="107"/>
      <c r="F37" s="107"/>
      <c r="G37" s="107"/>
      <c r="H37" s="71"/>
      <c r="I37" s="71"/>
      <c r="J37" s="71"/>
      <c r="K37" s="71"/>
    </row>
    <row r="38" spans="1:11">
      <c r="A38" s="78"/>
      <c r="D38" s="122" t="str">
        <f>C7</f>
        <v>Cheyenne Light, Fuel &amp; Power</v>
      </c>
      <c r="J38" s="107"/>
      <c r="K38" s="107"/>
    </row>
    <row r="39" spans="1:11">
      <c r="B39" s="71"/>
      <c r="C39" s="71"/>
      <c r="D39" s="71"/>
      <c r="E39" s="71"/>
      <c r="F39" s="71"/>
      <c r="G39" s="71"/>
      <c r="H39" s="71"/>
      <c r="J39" s="71"/>
      <c r="K39" s="71"/>
    </row>
    <row r="40" spans="1:11">
      <c r="B40" s="78" t="s">
        <v>15</v>
      </c>
      <c r="C40" s="78" t="s">
        <v>16</v>
      </c>
      <c r="D40" s="78" t="s">
        <v>17</v>
      </c>
      <c r="E40" s="107" t="s">
        <v>2</v>
      </c>
      <c r="F40" s="107"/>
      <c r="G40" s="123" t="s">
        <v>18</v>
      </c>
      <c r="H40" s="107"/>
      <c r="I40" s="124" t="s">
        <v>19</v>
      </c>
      <c r="J40" s="107"/>
      <c r="K40" s="78"/>
    </row>
    <row r="41" spans="1:11">
      <c r="B41" s="71"/>
      <c r="C41" s="125" t="s">
        <v>20</v>
      </c>
      <c r="D41" s="107"/>
      <c r="E41" s="107"/>
      <c r="F41" s="107"/>
      <c r="G41" s="78"/>
      <c r="H41" s="107"/>
      <c r="I41" s="126" t="s">
        <v>21</v>
      </c>
      <c r="J41" s="107"/>
      <c r="K41" s="78"/>
    </row>
    <row r="42" spans="1:11">
      <c r="A42" s="78" t="s">
        <v>4</v>
      </c>
      <c r="B42" s="71"/>
      <c r="C42" s="127" t="s">
        <v>22</v>
      </c>
      <c r="D42" s="126" t="s">
        <v>23</v>
      </c>
      <c r="E42" s="128"/>
      <c r="F42" s="126" t="s">
        <v>24</v>
      </c>
      <c r="H42" s="128"/>
      <c r="I42" s="78" t="s">
        <v>25</v>
      </c>
      <c r="J42" s="107"/>
      <c r="K42" s="78"/>
    </row>
    <row r="43" spans="1:11" ht="13.8" thickBot="1">
      <c r="A43" s="111" t="s">
        <v>6</v>
      </c>
      <c r="B43" s="129" t="s">
        <v>472</v>
      </c>
      <c r="C43" s="107"/>
      <c r="D43" s="107"/>
      <c r="E43" s="107"/>
      <c r="F43" s="107"/>
      <c r="G43" s="107"/>
      <c r="H43" s="107"/>
      <c r="I43" s="107"/>
      <c r="J43" s="107"/>
      <c r="K43" s="107"/>
    </row>
    <row r="44" spans="1:11">
      <c r="A44" s="78"/>
      <c r="B44" s="71" t="s">
        <v>469</v>
      </c>
      <c r="C44" s="107"/>
      <c r="D44" s="107"/>
      <c r="E44" s="107"/>
      <c r="F44" s="107"/>
      <c r="G44" s="107"/>
      <c r="H44" s="107"/>
      <c r="I44" s="107"/>
      <c r="J44" s="107"/>
      <c r="K44" s="107"/>
    </row>
    <row r="45" spans="1:11">
      <c r="A45" s="78">
        <v>1</v>
      </c>
      <c r="B45" s="71" t="s">
        <v>26</v>
      </c>
      <c r="C45" s="51" t="s">
        <v>657</v>
      </c>
      <c r="D45" s="174">
        <f>'A4-Rate Base'!C23</f>
        <v>352151134.07846141</v>
      </c>
      <c r="E45" s="107"/>
      <c r="F45" s="107" t="s">
        <v>27</v>
      </c>
      <c r="G45" s="130" t="s">
        <v>2</v>
      </c>
      <c r="H45" s="107"/>
      <c r="I45" s="63">
        <v>0</v>
      </c>
      <c r="J45" s="107"/>
      <c r="K45" s="107"/>
    </row>
    <row r="46" spans="1:11">
      <c r="A46" s="78">
        <v>2</v>
      </c>
      <c r="B46" s="71" t="s">
        <v>28</v>
      </c>
      <c r="C46" s="51" t="s">
        <v>658</v>
      </c>
      <c r="D46" s="174">
        <f>'A4-Rate Base'!D23</f>
        <v>142113478.10076922</v>
      </c>
      <c r="E46" s="107"/>
      <c r="F46" s="107" t="s">
        <v>11</v>
      </c>
      <c r="G46" s="114">
        <f>$I$174</f>
        <v>0.96104528227842878</v>
      </c>
      <c r="H46" s="107"/>
      <c r="I46" s="63">
        <f>+G46*D46</f>
        <v>136577487.67692307</v>
      </c>
      <c r="J46" s="107"/>
      <c r="K46" s="107"/>
    </row>
    <row r="47" spans="1:11">
      <c r="A47" s="78">
        <v>3</v>
      </c>
      <c r="B47" s="71" t="s">
        <v>29</v>
      </c>
      <c r="C47" s="51" t="s">
        <v>659</v>
      </c>
      <c r="D47" s="174">
        <f>'A4-Rate Base'!E23</f>
        <v>281165178.80680776</v>
      </c>
      <c r="E47" s="107"/>
      <c r="F47" s="107" t="s">
        <v>27</v>
      </c>
      <c r="G47" s="130" t="s">
        <v>2</v>
      </c>
      <c r="H47" s="107"/>
      <c r="I47" s="63">
        <v>0</v>
      </c>
      <c r="J47" s="107"/>
      <c r="K47" s="107"/>
    </row>
    <row r="48" spans="1:11">
      <c r="A48" s="78">
        <v>4</v>
      </c>
      <c r="B48" s="71" t="s">
        <v>30</v>
      </c>
      <c r="C48" s="51" t="s">
        <v>660</v>
      </c>
      <c r="D48" s="174">
        <f>'A4-Rate Base'!F23</f>
        <v>23517365.350000001</v>
      </c>
      <c r="E48" s="107"/>
      <c r="F48" s="107" t="s">
        <v>31</v>
      </c>
      <c r="G48" s="131">
        <f>$I$191</f>
        <v>9.1201779797052435E-2</v>
      </c>
      <c r="H48" s="107"/>
      <c r="I48" s="63">
        <f>+G48*D48</f>
        <v>2144825.5760575309</v>
      </c>
      <c r="J48" s="107"/>
      <c r="K48" s="107"/>
    </row>
    <row r="49" spans="1:11">
      <c r="A49" s="78">
        <v>5</v>
      </c>
      <c r="B49" s="71" t="s">
        <v>32</v>
      </c>
      <c r="C49" s="51" t="s">
        <v>661</v>
      </c>
      <c r="D49" s="174">
        <f>'A4-Rate Base'!G23</f>
        <v>16071783.461538462</v>
      </c>
      <c r="E49" s="107"/>
      <c r="F49" s="107" t="s">
        <v>67</v>
      </c>
      <c r="G49" s="131">
        <f>$K$195</f>
        <v>8.9166782515788731E-2</v>
      </c>
      <c r="H49" s="107"/>
      <c r="I49" s="63">
        <f>+G49*D49</f>
        <v>1433069.2205558503</v>
      </c>
      <c r="J49" s="107"/>
      <c r="K49" s="107"/>
    </row>
    <row r="50" spans="1:11">
      <c r="A50" s="78">
        <v>6</v>
      </c>
      <c r="B50" s="71" t="s">
        <v>364</v>
      </c>
      <c r="C50" s="52" t="s">
        <v>363</v>
      </c>
      <c r="D50" s="184">
        <f>SUM(D45:D49)</f>
        <v>815018939.7975769</v>
      </c>
      <c r="E50" s="107"/>
      <c r="F50" s="107" t="s">
        <v>33</v>
      </c>
      <c r="G50" s="114">
        <f>IF(I50&gt;0,I50/D50,0)</f>
        <v>0.17196579813022048</v>
      </c>
      <c r="H50" s="107"/>
      <c r="I50" s="184">
        <f>SUM(I45:I49)</f>
        <v>140155382.47353643</v>
      </c>
      <c r="J50" s="107"/>
      <c r="K50" s="382"/>
    </row>
    <row r="51" spans="1:11">
      <c r="B51" s="71"/>
      <c r="C51" s="107"/>
      <c r="D51" s="107"/>
      <c r="E51" s="107"/>
      <c r="F51" s="107"/>
      <c r="G51" s="133"/>
      <c r="H51" s="107"/>
      <c r="I51" s="63"/>
      <c r="J51" s="107"/>
      <c r="K51" s="133"/>
    </row>
    <row r="52" spans="1:11">
      <c r="B52" s="71" t="s">
        <v>470</v>
      </c>
      <c r="C52" s="107"/>
      <c r="D52" s="107"/>
      <c r="E52" s="107"/>
      <c r="F52" s="107"/>
      <c r="G52" s="107"/>
      <c r="H52" s="107"/>
      <c r="I52" s="107"/>
      <c r="J52" s="107"/>
      <c r="K52" s="107"/>
    </row>
    <row r="53" spans="1:11">
      <c r="A53" s="78">
        <v>7</v>
      </c>
      <c r="B53" s="134" t="str">
        <f>+B45</f>
        <v xml:space="preserve">  Production</v>
      </c>
      <c r="C53" s="51" t="s">
        <v>662</v>
      </c>
      <c r="D53" s="174">
        <f>'A4-Rate Base'!E46</f>
        <v>86195451.034615368</v>
      </c>
      <c r="E53" s="107"/>
      <c r="F53" s="115" t="str">
        <f>+F45</f>
        <v>NA</v>
      </c>
      <c r="G53" s="131"/>
      <c r="H53" s="107"/>
      <c r="I53" s="63">
        <v>0</v>
      </c>
      <c r="J53" s="107"/>
      <c r="K53" s="107"/>
    </row>
    <row r="54" spans="1:11">
      <c r="A54" s="78">
        <v>8</v>
      </c>
      <c r="B54" s="134" t="str">
        <f>+B46</f>
        <v xml:space="preserve">  Transmission</v>
      </c>
      <c r="C54" s="51" t="s">
        <v>663</v>
      </c>
      <c r="D54" s="174">
        <f>'A4-Rate Base'!F46</f>
        <v>10981238.490415923</v>
      </c>
      <c r="E54" s="107"/>
      <c r="F54" s="115" t="str">
        <f t="shared" ref="F54:F57" si="1">+F46</f>
        <v>TP</v>
      </c>
      <c r="G54" s="114">
        <f>$I$174</f>
        <v>0.96104528227842878</v>
      </c>
      <c r="H54" s="107"/>
      <c r="I54" s="63">
        <f>+G54*D54</f>
        <v>10553467.444788517</v>
      </c>
      <c r="J54" s="107"/>
      <c r="K54" s="107"/>
    </row>
    <row r="55" spans="1:11">
      <c r="A55" s="78">
        <v>9</v>
      </c>
      <c r="B55" s="134" t="str">
        <f>+B47</f>
        <v xml:space="preserve">  Distribution</v>
      </c>
      <c r="C55" s="51" t="s">
        <v>664</v>
      </c>
      <c r="D55" s="174">
        <f>'A4-Rate Base'!G46</f>
        <v>78144954.828939542</v>
      </c>
      <c r="E55" s="107"/>
      <c r="F55" s="115" t="str">
        <f t="shared" si="1"/>
        <v>NA</v>
      </c>
      <c r="G55" s="131"/>
      <c r="H55" s="107"/>
      <c r="I55" s="63">
        <v>0</v>
      </c>
      <c r="J55" s="107"/>
      <c r="K55" s="107"/>
    </row>
    <row r="56" spans="1:11">
      <c r="A56" s="78">
        <v>10</v>
      </c>
      <c r="B56" s="134" t="str">
        <f>+B48</f>
        <v xml:space="preserve">  General &amp; Intangible</v>
      </c>
      <c r="C56" s="51" t="s">
        <v>665</v>
      </c>
      <c r="D56" s="174">
        <f>'A4-Rate Base'!H46</f>
        <v>6913378.3543337649</v>
      </c>
      <c r="E56" s="107"/>
      <c r="F56" s="115" t="str">
        <f t="shared" si="1"/>
        <v>W/S</v>
      </c>
      <c r="G56" s="131">
        <f>$I$191</f>
        <v>9.1201779797052435E-2</v>
      </c>
      <c r="H56" s="107"/>
      <c r="I56" s="63">
        <f>+G56*D56</f>
        <v>630512.41032565676</v>
      </c>
      <c r="J56" s="107"/>
      <c r="K56" s="107"/>
    </row>
    <row r="57" spans="1:11">
      <c r="A57" s="78">
        <v>11</v>
      </c>
      <c r="B57" s="134" t="str">
        <f>+B49</f>
        <v xml:space="preserve">  Common</v>
      </c>
      <c r="C57" s="51" t="s">
        <v>666</v>
      </c>
      <c r="D57" s="174">
        <f>'A4-Rate Base'!I46</f>
        <v>5468712.307692308</v>
      </c>
      <c r="E57" s="107"/>
      <c r="F57" s="115" t="str">
        <f t="shared" si="1"/>
        <v>CE</v>
      </c>
      <c r="G57" s="131">
        <f>$K$195</f>
        <v>8.9166782515788731E-2</v>
      </c>
      <c r="H57" s="107"/>
      <c r="I57" s="59">
        <f>+G57*D57</f>
        <v>487627.48098141712</v>
      </c>
      <c r="J57" s="107"/>
      <c r="K57" s="107"/>
    </row>
    <row r="58" spans="1:11">
      <c r="A58" s="78">
        <v>12</v>
      </c>
      <c r="B58" s="71" t="s">
        <v>366</v>
      </c>
      <c r="C58" s="52" t="s">
        <v>365</v>
      </c>
      <c r="D58" s="184">
        <f>SUM(D53:D57)</f>
        <v>187703735.0159969</v>
      </c>
      <c r="E58" s="107"/>
      <c r="F58" s="107"/>
      <c r="G58" s="107"/>
      <c r="H58" s="107"/>
      <c r="I58" s="184">
        <f>SUM(I53:I57)</f>
        <v>11671607.336095592</v>
      </c>
      <c r="J58" s="107"/>
      <c r="K58" s="107"/>
    </row>
    <row r="59" spans="1:11">
      <c r="A59" s="78"/>
      <c r="C59" s="107" t="s">
        <v>2</v>
      </c>
      <c r="E59" s="107"/>
      <c r="F59" s="107"/>
      <c r="G59" s="133"/>
      <c r="H59" s="107"/>
      <c r="J59" s="107"/>
      <c r="K59" s="133"/>
    </row>
    <row r="60" spans="1:11">
      <c r="A60" s="78"/>
      <c r="B60" s="71" t="s">
        <v>141</v>
      </c>
      <c r="C60" s="107"/>
      <c r="D60" s="107"/>
      <c r="E60" s="107"/>
      <c r="F60" s="107"/>
      <c r="G60" s="107"/>
      <c r="H60" s="107"/>
      <c r="I60" s="107"/>
      <c r="J60" s="107"/>
      <c r="K60" s="107"/>
    </row>
    <row r="61" spans="1:11">
      <c r="A61" s="78">
        <v>13</v>
      </c>
      <c r="B61" s="134" t="str">
        <f>+B53</f>
        <v xml:space="preserve">  Production</v>
      </c>
      <c r="C61" s="52" t="str">
        <f>"(Line "&amp;A45&amp;" - Line "&amp;A53&amp;")"</f>
        <v>(Line 1 - Line 7)</v>
      </c>
      <c r="D61" s="63">
        <f>D45-D53</f>
        <v>265955683.04384604</v>
      </c>
      <c r="E61" s="107"/>
      <c r="F61" s="107"/>
      <c r="G61" s="133"/>
      <c r="H61" s="107"/>
      <c r="I61" s="107" t="s">
        <v>2</v>
      </c>
      <c r="J61" s="107"/>
      <c r="K61" s="133"/>
    </row>
    <row r="62" spans="1:11">
      <c r="A62" s="78">
        <v>14</v>
      </c>
      <c r="B62" s="134" t="str">
        <f>+B54</f>
        <v xml:space="preserve">  Transmission</v>
      </c>
      <c r="C62" s="52" t="str">
        <f>"(Line "&amp;A46&amp;" - Line "&amp;A54&amp;")"</f>
        <v>(Line 2 - Line 8)</v>
      </c>
      <c r="D62" s="63">
        <f>D46-D54</f>
        <v>131132239.61035329</v>
      </c>
      <c r="E62" s="107"/>
      <c r="F62" s="107"/>
      <c r="G62" s="130"/>
      <c r="H62" s="107"/>
      <c r="I62" s="63">
        <f>I46-I54</f>
        <v>126024020.23213455</v>
      </c>
      <c r="J62" s="107"/>
      <c r="K62" s="133"/>
    </row>
    <row r="63" spans="1:11">
      <c r="A63" s="78">
        <v>15</v>
      </c>
      <c r="B63" s="134" t="str">
        <f>+B55</f>
        <v xml:space="preserve">  Distribution</v>
      </c>
      <c r="C63" s="52" t="str">
        <f>"(Line "&amp;A47&amp;" - Line "&amp;A55&amp;")"</f>
        <v>(Line 3 - Line 9)</v>
      </c>
      <c r="D63" s="63">
        <f>D47-D55</f>
        <v>203020223.9778682</v>
      </c>
      <c r="E63" s="107"/>
      <c r="F63" s="107"/>
      <c r="G63" s="133"/>
      <c r="H63" s="107"/>
      <c r="I63" s="63" t="s">
        <v>2</v>
      </c>
      <c r="J63" s="107"/>
      <c r="K63" s="133"/>
    </row>
    <row r="64" spans="1:11">
      <c r="A64" s="78">
        <v>16</v>
      </c>
      <c r="B64" s="134" t="str">
        <f>+B56</f>
        <v xml:space="preserve">  General &amp; Intangible</v>
      </c>
      <c r="C64" s="52" t="str">
        <f>"(Line "&amp;A48&amp;" - Line "&amp;A56&amp;")"</f>
        <v>(Line 4 - Line 10)</v>
      </c>
      <c r="D64" s="63">
        <f>D48-D56</f>
        <v>16603986.995666236</v>
      </c>
      <c r="E64" s="107"/>
      <c r="F64" s="107"/>
      <c r="G64" s="133"/>
      <c r="H64" s="107"/>
      <c r="I64" s="63">
        <f>I48-I56</f>
        <v>1514313.1657318743</v>
      </c>
      <c r="J64" s="107"/>
      <c r="K64" s="133"/>
    </row>
    <row r="65" spans="1:11" ht="13.8" thickBot="1">
      <c r="A65" s="78">
        <v>17</v>
      </c>
      <c r="B65" s="134" t="str">
        <f>+B57</f>
        <v xml:space="preserve">  Common</v>
      </c>
      <c r="C65" s="52" t="str">
        <f>"(Line "&amp;A49&amp;" - Line "&amp;A57&amp;")"</f>
        <v>(Line 5 - Line 11)</v>
      </c>
      <c r="D65" s="64">
        <f>D49-D57</f>
        <v>10603071.153846154</v>
      </c>
      <c r="E65" s="107"/>
      <c r="F65" s="107"/>
      <c r="G65" s="133"/>
      <c r="H65" s="107"/>
      <c r="I65" s="59">
        <f>I49-I57</f>
        <v>945441.73957443319</v>
      </c>
      <c r="J65" s="107"/>
      <c r="K65" s="133"/>
    </row>
    <row r="66" spans="1:11">
      <c r="A66" s="78">
        <v>18</v>
      </c>
      <c r="B66" s="71" t="s">
        <v>368</v>
      </c>
      <c r="C66" s="52" t="s">
        <v>367</v>
      </c>
      <c r="D66" s="63">
        <f>SUM(D61:D65)</f>
        <v>627315204.78157997</v>
      </c>
      <c r="E66" s="107"/>
      <c r="F66" s="107" t="s">
        <v>34</v>
      </c>
      <c r="G66" s="114">
        <f>IF(I66&gt;0,I66/D66,0)</f>
        <v>0.20481533710342098</v>
      </c>
      <c r="H66" s="107"/>
      <c r="I66" s="184">
        <f>SUM(I61:I65)</f>
        <v>128483775.13744086</v>
      </c>
      <c r="J66" s="107"/>
      <c r="K66" s="107"/>
    </row>
    <row r="67" spans="1:11" s="2" customFormat="1">
      <c r="A67" s="53"/>
      <c r="B67" s="54"/>
      <c r="C67" s="52"/>
      <c r="D67" s="55"/>
      <c r="E67" s="51"/>
      <c r="F67" s="51"/>
      <c r="G67" s="56"/>
      <c r="H67" s="51"/>
      <c r="I67" s="63"/>
      <c r="J67" s="52"/>
    </row>
    <row r="68" spans="1:11" s="2" customFormat="1">
      <c r="A68" s="53" t="s">
        <v>369</v>
      </c>
      <c r="B68" s="57" t="s">
        <v>370</v>
      </c>
      <c r="C68" s="58" t="s">
        <v>1083</v>
      </c>
      <c r="D68" s="174">
        <f>'A4-Rate Base'!H23</f>
        <v>0</v>
      </c>
      <c r="E68" s="58"/>
      <c r="F68" s="73"/>
      <c r="G68" s="674"/>
      <c r="H68" s="58"/>
      <c r="I68" s="60">
        <f>+G68*D68</f>
        <v>0</v>
      </c>
      <c r="J68" s="52"/>
    </row>
    <row r="69" spans="1:11" s="2" customFormat="1">
      <c r="A69" s="53"/>
      <c r="B69" s="61"/>
      <c r="C69" s="52"/>
      <c r="D69" s="55"/>
      <c r="E69" s="52"/>
      <c r="F69" s="61"/>
      <c r="G69" s="61"/>
      <c r="H69" s="52"/>
      <c r="I69" s="55"/>
      <c r="J69" s="52"/>
    </row>
    <row r="70" spans="1:11">
      <c r="A70" s="78"/>
      <c r="B70" s="71" t="s">
        <v>745</v>
      </c>
      <c r="C70" s="107"/>
      <c r="D70" s="107"/>
      <c r="E70" s="107"/>
      <c r="F70" s="107"/>
      <c r="G70" s="107"/>
      <c r="H70" s="107"/>
      <c r="I70" s="107"/>
      <c r="J70" s="107"/>
    </row>
    <row r="71" spans="1:11">
      <c r="A71" s="53">
        <f>+A66+1</f>
        <v>19</v>
      </c>
      <c r="B71" s="54" t="s">
        <v>1062</v>
      </c>
      <c r="C71" s="52" t="s">
        <v>667</v>
      </c>
      <c r="D71" s="174">
        <f>'A4-Rate Base'!E70</f>
        <v>0</v>
      </c>
      <c r="E71" s="52"/>
      <c r="F71" s="103" t="s">
        <v>37</v>
      </c>
      <c r="G71" s="65">
        <f>GP</f>
        <v>0.17196579813022048</v>
      </c>
      <c r="H71" s="51"/>
      <c r="I71" s="55">
        <f t="shared" ref="I71:I77" si="2">D71*G71</f>
        <v>0</v>
      </c>
      <c r="J71" s="107"/>
    </row>
    <row r="72" spans="1:11">
      <c r="A72" s="53">
        <f t="shared" ref="A72:A75" si="3">+A71+1</f>
        <v>20</v>
      </c>
      <c r="B72" s="54" t="s">
        <v>1064</v>
      </c>
      <c r="C72" s="52" t="s">
        <v>668</v>
      </c>
      <c r="D72" s="174">
        <f>'A4-Rate Base'!F70</f>
        <v>-82976757.5</v>
      </c>
      <c r="E72" s="52"/>
      <c r="F72" s="103" t="s">
        <v>37</v>
      </c>
      <c r="G72" s="65">
        <f>GP</f>
        <v>0.17196579813022048</v>
      </c>
      <c r="H72" s="51"/>
      <c r="I72" s="55">
        <f t="shared" si="2"/>
        <v>-14269164.329745257</v>
      </c>
      <c r="J72" s="107"/>
    </row>
    <row r="73" spans="1:11">
      <c r="A73" s="53">
        <f t="shared" si="3"/>
        <v>21</v>
      </c>
      <c r="B73" s="54" t="s">
        <v>1063</v>
      </c>
      <c r="C73" s="52" t="s">
        <v>669</v>
      </c>
      <c r="D73" s="174">
        <f>'A4-Rate Base'!G70</f>
        <v>-6135227</v>
      </c>
      <c r="E73" s="52"/>
      <c r="F73" s="103" t="s">
        <v>37</v>
      </c>
      <c r="G73" s="65">
        <f>GP</f>
        <v>0.17196579813022048</v>
      </c>
      <c r="H73" s="51"/>
      <c r="I73" s="55">
        <f t="shared" si="2"/>
        <v>-1055049.2077650782</v>
      </c>
      <c r="J73" s="107"/>
    </row>
    <row r="74" spans="1:11">
      <c r="A74" s="53">
        <f t="shared" si="3"/>
        <v>22</v>
      </c>
      <c r="B74" s="54" t="s">
        <v>136</v>
      </c>
      <c r="C74" s="52" t="s">
        <v>670</v>
      </c>
      <c r="D74" s="174">
        <f>'A4-Rate Base'!H70</f>
        <v>27980218</v>
      </c>
      <c r="E74" s="52"/>
      <c r="F74" s="103" t="s">
        <v>37</v>
      </c>
      <c r="G74" s="65">
        <f>GP</f>
        <v>0.17196579813022048</v>
      </c>
      <c r="H74" s="51"/>
      <c r="I74" s="55">
        <f t="shared" si="2"/>
        <v>4811640.5202275617</v>
      </c>
      <c r="J74" s="107"/>
    </row>
    <row r="75" spans="1:11">
      <c r="A75" s="53">
        <f t="shared" si="3"/>
        <v>23</v>
      </c>
      <c r="B75" s="61" t="s">
        <v>981</v>
      </c>
      <c r="C75" s="61" t="s">
        <v>1000</v>
      </c>
      <c r="D75" s="544">
        <v>0</v>
      </c>
      <c r="E75" s="52"/>
      <c r="F75" s="52"/>
      <c r="G75" s="66">
        <v>0</v>
      </c>
      <c r="H75" s="51"/>
      <c r="I75" s="60">
        <f t="shared" si="2"/>
        <v>0</v>
      </c>
      <c r="J75" s="107"/>
    </row>
    <row r="76" spans="1:11">
      <c r="A76" s="53" t="s">
        <v>375</v>
      </c>
      <c r="B76" s="57" t="s">
        <v>371</v>
      </c>
      <c r="C76" s="58" t="s">
        <v>1002</v>
      </c>
      <c r="D76" s="174">
        <f>'A4-Rate Base'!C70</f>
        <v>0</v>
      </c>
      <c r="E76" s="58"/>
      <c r="F76" s="73"/>
      <c r="G76" s="674"/>
      <c r="H76" s="58"/>
      <c r="I76" s="60">
        <f t="shared" si="2"/>
        <v>0</v>
      </c>
      <c r="J76" s="107"/>
    </row>
    <row r="77" spans="1:11">
      <c r="A77" s="53" t="s">
        <v>376</v>
      </c>
      <c r="B77" s="57" t="s">
        <v>372</v>
      </c>
      <c r="C77" s="58" t="s">
        <v>1003</v>
      </c>
      <c r="D77" s="174">
        <f>'A4-Rate Base'!D70</f>
        <v>0</v>
      </c>
      <c r="E77" s="58"/>
      <c r="F77" s="73"/>
      <c r="G77" s="674"/>
      <c r="H77" s="58"/>
      <c r="I77" s="60">
        <f t="shared" si="2"/>
        <v>0</v>
      </c>
      <c r="J77" s="107"/>
    </row>
    <row r="78" spans="1:11">
      <c r="A78" s="53" t="s">
        <v>377</v>
      </c>
      <c r="B78" s="57" t="s">
        <v>910</v>
      </c>
      <c r="C78" s="58" t="s">
        <v>924</v>
      </c>
      <c r="D78" s="174">
        <f>'A4-Rate Base'!I82</f>
        <v>0</v>
      </c>
      <c r="E78" s="58"/>
      <c r="F78" s="58"/>
      <c r="G78" s="67"/>
      <c r="H78" s="58"/>
      <c r="I78" s="60">
        <f t="shared" ref="I78" si="4">D78</f>
        <v>0</v>
      </c>
      <c r="J78" s="107"/>
    </row>
    <row r="79" spans="1:11">
      <c r="A79" s="53">
        <v>24</v>
      </c>
      <c r="B79" s="134" t="s">
        <v>137</v>
      </c>
      <c r="C79" s="134" t="s">
        <v>1001</v>
      </c>
      <c r="D79" s="174">
        <f>'A3-ADIT'!F24</f>
        <v>233712.67499999999</v>
      </c>
      <c r="E79" s="107"/>
      <c r="F79" s="103" t="s">
        <v>37</v>
      </c>
      <c r="G79" s="65">
        <f>GP</f>
        <v>0.17196579813022048</v>
      </c>
      <c r="H79" s="107"/>
      <c r="I79" s="60">
        <f t="shared" ref="I79" si="5">D79*G79</f>
        <v>40190.586689523821</v>
      </c>
      <c r="J79" s="107"/>
      <c r="K79" s="133"/>
    </row>
    <row r="80" spans="1:11" ht="13.8" thickBot="1">
      <c r="A80" s="78">
        <v>25</v>
      </c>
      <c r="B80" s="134" t="s">
        <v>1190</v>
      </c>
      <c r="C80" s="134" t="s">
        <v>1348</v>
      </c>
      <c r="D80" s="676">
        <f>'A3.1-EDIT-DDIT'!J43</f>
        <v>-33614483.779999994</v>
      </c>
      <c r="E80" s="107"/>
      <c r="F80" s="107"/>
      <c r="G80" s="107"/>
      <c r="H80" s="107"/>
      <c r="I80" s="64">
        <f>'A3.1-EDIT-DDIT'!P43</f>
        <v>-2675040.6192123992</v>
      </c>
      <c r="J80" s="107"/>
      <c r="K80" s="133"/>
    </row>
    <row r="81" spans="1:11">
      <c r="A81" s="78">
        <v>26</v>
      </c>
      <c r="B81" s="71" t="s">
        <v>380</v>
      </c>
      <c r="C81" s="52" t="s">
        <v>1044</v>
      </c>
      <c r="D81" s="63">
        <f>SUM(D71:D80)</f>
        <v>-94512537.604999989</v>
      </c>
      <c r="E81" s="107"/>
      <c r="F81" s="107"/>
      <c r="G81" s="107"/>
      <c r="H81" s="107"/>
      <c r="I81" s="63">
        <f>SUM(I71:I80)</f>
        <v>-13147423.049805649</v>
      </c>
      <c r="J81" s="107"/>
      <c r="K81" s="107"/>
    </row>
    <row r="82" spans="1:11">
      <c r="A82" s="78"/>
      <c r="C82" s="107"/>
      <c r="E82" s="107"/>
      <c r="F82" s="107"/>
      <c r="G82" s="133"/>
      <c r="H82" s="107"/>
      <c r="J82" s="107"/>
      <c r="K82" s="133"/>
    </row>
    <row r="83" spans="1:11">
      <c r="A83" s="78">
        <v>27</v>
      </c>
      <c r="B83" s="71" t="s">
        <v>35</v>
      </c>
      <c r="C83" s="69" t="s">
        <v>671</v>
      </c>
      <c r="D83" s="174">
        <f>'A4-Rate Base'!I23</f>
        <v>318000</v>
      </c>
      <c r="E83" s="107"/>
      <c r="F83" s="115" t="str">
        <f>+F54</f>
        <v>TP</v>
      </c>
      <c r="G83" s="114">
        <f>$I$174</f>
        <v>0.96104528227842878</v>
      </c>
      <c r="H83" s="107"/>
      <c r="I83" s="63">
        <f>+G83*D83</f>
        <v>305612.39976454037</v>
      </c>
      <c r="J83" s="107"/>
      <c r="K83" s="107"/>
    </row>
    <row r="84" spans="1:11">
      <c r="A84" s="78"/>
      <c r="B84" s="71"/>
      <c r="C84" s="107"/>
      <c r="D84" s="107"/>
      <c r="E84" s="107"/>
      <c r="F84" s="107"/>
      <c r="G84" s="107"/>
      <c r="H84" s="107"/>
      <c r="I84" s="107"/>
      <c r="J84" s="107"/>
      <c r="K84" s="107"/>
    </row>
    <row r="85" spans="1:11">
      <c r="A85" s="78"/>
      <c r="B85" s="71" t="s">
        <v>142</v>
      </c>
      <c r="C85" s="52" t="s">
        <v>132</v>
      </c>
      <c r="D85" s="107"/>
      <c r="E85" s="107"/>
      <c r="F85" s="107"/>
      <c r="G85" s="107"/>
      <c r="H85" s="107"/>
      <c r="I85" s="107"/>
      <c r="J85" s="107"/>
      <c r="K85" s="107"/>
    </row>
    <row r="86" spans="1:11">
      <c r="A86" s="78">
        <v>28</v>
      </c>
      <c r="B86" s="71" t="s">
        <v>920</v>
      </c>
      <c r="C86" s="61" t="s">
        <v>624</v>
      </c>
      <c r="D86" s="63">
        <f>+D116/8</f>
        <v>2245589.5562499999</v>
      </c>
      <c r="E86" s="107"/>
      <c r="F86" s="107"/>
      <c r="G86" s="133"/>
      <c r="H86" s="107"/>
      <c r="I86" s="63">
        <f>+I116/8</f>
        <v>329808.49573732156</v>
      </c>
      <c r="J86" s="71"/>
      <c r="K86" s="133"/>
    </row>
    <row r="87" spans="1:11">
      <c r="A87" s="78">
        <v>29</v>
      </c>
      <c r="B87" s="71" t="s">
        <v>143</v>
      </c>
      <c r="C87" s="69" t="s">
        <v>972</v>
      </c>
      <c r="D87" s="174">
        <f>'A4-Rate Base'!F107</f>
        <v>74774.982049463768</v>
      </c>
      <c r="E87" s="107"/>
      <c r="F87" s="107" t="s">
        <v>36</v>
      </c>
      <c r="G87" s="131">
        <f>$I$183</f>
        <v>0.94593405113359719</v>
      </c>
      <c r="H87" s="107"/>
      <c r="I87" s="63">
        <f>+G87*D87</f>
        <v>70732.201693491268</v>
      </c>
      <c r="J87" s="107" t="s">
        <v>2</v>
      </c>
      <c r="K87" s="133"/>
    </row>
    <row r="88" spans="1:11" ht="13.8" thickBot="1">
      <c r="A88" s="78">
        <v>30</v>
      </c>
      <c r="B88" s="71" t="s">
        <v>138</v>
      </c>
      <c r="C88" s="51" t="s">
        <v>1060</v>
      </c>
      <c r="D88" s="174">
        <f>'A8-Prepmts'!H33</f>
        <v>897819.49584029324</v>
      </c>
      <c r="E88" s="107"/>
      <c r="F88" s="107"/>
      <c r="G88" s="131"/>
      <c r="H88" s="107"/>
      <c r="I88" s="64">
        <f>D88</f>
        <v>897819.49584029324</v>
      </c>
      <c r="J88" s="107"/>
      <c r="K88" s="133"/>
    </row>
    <row r="89" spans="1:11">
      <c r="A89" s="78">
        <v>31</v>
      </c>
      <c r="B89" s="71" t="s">
        <v>378</v>
      </c>
      <c r="C89" s="52" t="s">
        <v>379</v>
      </c>
      <c r="D89" s="184">
        <f>D86+D87+D88</f>
        <v>3218184.034139757</v>
      </c>
      <c r="E89" s="71"/>
      <c r="F89" s="71"/>
      <c r="G89" s="71"/>
      <c r="H89" s="71"/>
      <c r="I89" s="63">
        <f>I86+I87+I88</f>
        <v>1298360.1932711061</v>
      </c>
      <c r="J89" s="71"/>
      <c r="K89" s="71"/>
    </row>
    <row r="90" spans="1:11" ht="13.8" thickBot="1">
      <c r="C90" s="107"/>
      <c r="E90" s="107"/>
      <c r="F90" s="107"/>
      <c r="G90" s="107"/>
      <c r="H90" s="107"/>
      <c r="I90" s="135"/>
      <c r="J90" s="107"/>
      <c r="K90" s="107"/>
    </row>
    <row r="91" spans="1:11" ht="13.8" thickBot="1">
      <c r="A91" s="78">
        <v>32</v>
      </c>
      <c r="B91" s="71" t="s">
        <v>570</v>
      </c>
      <c r="C91" s="71" t="s">
        <v>571</v>
      </c>
      <c r="D91" s="70">
        <f>+D89+D83+D81+D66</f>
        <v>536338851.2107197</v>
      </c>
      <c r="E91" s="107"/>
      <c r="F91" s="107"/>
      <c r="G91" s="133"/>
      <c r="H91" s="107"/>
      <c r="I91" s="70">
        <f>+I89+I83+I81+I66</f>
        <v>116940324.68067086</v>
      </c>
      <c r="J91" s="107"/>
      <c r="K91" s="133"/>
    </row>
    <row r="92" spans="1:11" ht="13.8" thickTop="1">
      <c r="B92" s="71"/>
      <c r="C92" s="71"/>
      <c r="D92" s="104"/>
      <c r="E92" s="71"/>
      <c r="F92" s="71"/>
      <c r="G92" s="71"/>
      <c r="H92" s="71"/>
      <c r="I92" s="105"/>
      <c r="J92" s="105"/>
      <c r="K92" s="105"/>
    </row>
    <row r="93" spans="1:11">
      <c r="B93" s="71"/>
      <c r="C93" s="71"/>
      <c r="D93" s="104"/>
      <c r="E93" s="71"/>
      <c r="F93" s="71"/>
      <c r="G93" s="71"/>
      <c r="H93" s="71"/>
      <c r="I93" s="865" t="str">
        <f>I1</f>
        <v>Actual Attachment H</v>
      </c>
      <c r="J93" s="865"/>
      <c r="K93" s="865"/>
    </row>
    <row r="94" spans="1:11">
      <c r="B94" s="71"/>
      <c r="C94" s="71"/>
      <c r="D94" s="104"/>
      <c r="E94" s="71"/>
      <c r="F94" s="71"/>
      <c r="G94" s="71"/>
      <c r="H94" s="71"/>
      <c r="I94" s="71"/>
      <c r="J94" s="864" t="s">
        <v>243</v>
      </c>
      <c r="K94" s="864"/>
    </row>
    <row r="95" spans="1:11">
      <c r="B95" s="71"/>
      <c r="C95" s="71"/>
      <c r="D95" s="104"/>
      <c r="E95" s="71"/>
      <c r="F95" s="71"/>
      <c r="G95" s="71"/>
      <c r="H95" s="71"/>
      <c r="I95" s="71"/>
      <c r="J95" s="71"/>
      <c r="K95" s="105"/>
    </row>
    <row r="96" spans="1:11">
      <c r="B96" s="104" t="s">
        <v>0</v>
      </c>
      <c r="C96" s="71"/>
      <c r="D96" s="78" t="s">
        <v>1</v>
      </c>
      <c r="E96" s="71"/>
      <c r="F96" s="71"/>
      <c r="G96" s="71"/>
      <c r="H96" s="71"/>
      <c r="I96" s="71"/>
      <c r="J96" s="71"/>
      <c r="K96" s="121" t="str">
        <f>K4</f>
        <v>Actuals - For the 12 months ended 12/31/2024</v>
      </c>
    </row>
    <row r="97" spans="1:11">
      <c r="B97" s="71"/>
      <c r="C97" s="107"/>
      <c r="D97" s="108" t="s">
        <v>3</v>
      </c>
      <c r="E97" s="107"/>
      <c r="F97" s="107"/>
      <c r="G97" s="107"/>
      <c r="H97" s="71"/>
      <c r="I97" s="71"/>
      <c r="J97" s="71"/>
      <c r="K97" s="71"/>
    </row>
    <row r="98" spans="1:11">
      <c r="B98" s="71"/>
      <c r="C98" s="107"/>
      <c r="D98" s="107"/>
      <c r="E98" s="107"/>
      <c r="F98" s="107"/>
      <c r="G98" s="107"/>
      <c r="H98" s="71"/>
      <c r="I98" s="71"/>
      <c r="J98" s="71"/>
      <c r="K98" s="71"/>
    </row>
    <row r="99" spans="1:11">
      <c r="A99" s="78"/>
      <c r="D99" s="122" t="str">
        <f>C7</f>
        <v>Cheyenne Light, Fuel &amp; Power</v>
      </c>
      <c r="J99" s="107"/>
      <c r="K99" s="107"/>
    </row>
    <row r="100" spans="1:11">
      <c r="A100" s="78"/>
      <c r="D100" s="136"/>
      <c r="J100" s="107"/>
      <c r="K100" s="107"/>
    </row>
    <row r="101" spans="1:11">
      <c r="A101" s="78"/>
      <c r="B101" s="78" t="s">
        <v>15</v>
      </c>
      <c r="C101" s="78" t="s">
        <v>16</v>
      </c>
      <c r="D101" s="78" t="s">
        <v>17</v>
      </c>
      <c r="E101" s="107" t="s">
        <v>2</v>
      </c>
      <c r="F101" s="107"/>
      <c r="G101" s="123" t="s">
        <v>18</v>
      </c>
      <c r="H101" s="107"/>
      <c r="I101" s="124" t="s">
        <v>19</v>
      </c>
      <c r="J101" s="107"/>
      <c r="K101" s="107"/>
    </row>
    <row r="102" spans="1:11">
      <c r="A102" s="78" t="s">
        <v>4</v>
      </c>
      <c r="B102" s="71"/>
      <c r="C102" s="125" t="s">
        <v>20</v>
      </c>
      <c r="D102" s="107"/>
      <c r="E102" s="107"/>
      <c r="F102" s="107"/>
      <c r="G102" s="78"/>
      <c r="H102" s="107"/>
      <c r="I102" s="126" t="s">
        <v>21</v>
      </c>
      <c r="J102" s="107"/>
      <c r="K102" s="126"/>
    </row>
    <row r="103" spans="1:11" ht="13.8" thickBot="1">
      <c r="A103" s="111" t="s">
        <v>6</v>
      </c>
      <c r="B103" s="71"/>
      <c r="C103" s="127" t="s">
        <v>22</v>
      </c>
      <c r="D103" s="126" t="s">
        <v>23</v>
      </c>
      <c r="E103" s="128"/>
      <c r="F103" s="126" t="s">
        <v>24</v>
      </c>
      <c r="H103" s="128"/>
      <c r="I103" s="78" t="s">
        <v>25</v>
      </c>
      <c r="J103" s="107"/>
      <c r="K103" s="126"/>
    </row>
    <row r="104" spans="1:11">
      <c r="A104" s="78"/>
      <c r="B104" s="71" t="s">
        <v>146</v>
      </c>
      <c r="C104" s="107"/>
      <c r="D104" s="107"/>
      <c r="E104" s="107"/>
      <c r="F104" s="107"/>
      <c r="G104" s="107"/>
      <c r="H104" s="107"/>
      <c r="I104" s="107"/>
      <c r="J104" s="107"/>
      <c r="K104" s="107"/>
    </row>
    <row r="105" spans="1:11">
      <c r="A105" s="78">
        <v>1</v>
      </c>
      <c r="B105" s="71" t="s">
        <v>38</v>
      </c>
      <c r="C105" s="107" t="s">
        <v>113</v>
      </c>
      <c r="D105" s="73">
        <v>27726664</v>
      </c>
      <c r="E105" s="107"/>
      <c r="F105" s="107" t="s">
        <v>36</v>
      </c>
      <c r="G105" s="131">
        <f>$I$183</f>
        <v>0.94593405113359719</v>
      </c>
      <c r="H105" s="107"/>
      <c r="I105" s="63">
        <f>+G105*D105</f>
        <v>26227595.601940069</v>
      </c>
      <c r="J105" s="71"/>
    </row>
    <row r="106" spans="1:11">
      <c r="A106" s="78">
        <v>2</v>
      </c>
      <c r="B106" s="71" t="s">
        <v>784</v>
      </c>
      <c r="C106" s="107" t="s">
        <v>785</v>
      </c>
      <c r="D106" s="73">
        <v>435967</v>
      </c>
      <c r="E106" s="107"/>
      <c r="F106" s="107" t="s">
        <v>36</v>
      </c>
      <c r="G106" s="131">
        <f>$I$183</f>
        <v>0.94593405113359719</v>
      </c>
      <c r="H106" s="107"/>
      <c r="I106" s="55">
        <f t="shared" ref="I106:I115" si="6">+G106*D106</f>
        <v>412396.03047056095</v>
      </c>
      <c r="J106" s="71"/>
    </row>
    <row r="107" spans="1:11">
      <c r="A107" s="78" t="s">
        <v>145</v>
      </c>
      <c r="B107" s="71" t="s">
        <v>39</v>
      </c>
      <c r="C107" s="107" t="s">
        <v>114</v>
      </c>
      <c r="D107" s="73">
        <v>26120677</v>
      </c>
      <c r="E107" s="107"/>
      <c r="F107" s="107" t="s">
        <v>36</v>
      </c>
      <c r="G107" s="131">
        <f>$I$183</f>
        <v>0.94593405113359719</v>
      </c>
      <c r="H107" s="107"/>
      <c r="I107" s="55">
        <f t="shared" ref="I107" si="7">+G107*D107</f>
        <v>24708437.812962174</v>
      </c>
      <c r="J107" s="71"/>
    </row>
    <row r="108" spans="1:11">
      <c r="A108" s="78">
        <v>3</v>
      </c>
      <c r="B108" s="71" t="s">
        <v>40</v>
      </c>
      <c r="C108" s="107" t="s">
        <v>115</v>
      </c>
      <c r="D108" s="73">
        <v>17922938</v>
      </c>
      <c r="E108" s="107"/>
      <c r="F108" s="107" t="s">
        <v>31</v>
      </c>
      <c r="G108" s="131">
        <f>$I$191</f>
        <v>9.1201779797052435E-2</v>
      </c>
      <c r="H108" s="107"/>
      <c r="I108" s="63">
        <f t="shared" si="6"/>
        <v>1634603.8447922233</v>
      </c>
      <c r="J108" s="107"/>
    </row>
    <row r="109" spans="1:11">
      <c r="A109" s="78">
        <v>4</v>
      </c>
      <c r="B109" s="71" t="s">
        <v>1164</v>
      </c>
      <c r="C109" s="107"/>
      <c r="D109" s="107"/>
      <c r="E109" s="107"/>
      <c r="F109" s="115"/>
      <c r="G109" s="131"/>
      <c r="H109" s="107"/>
      <c r="I109" s="63"/>
      <c r="J109" s="107"/>
    </row>
    <row r="110" spans="1:11">
      <c r="A110" s="78">
        <v>5</v>
      </c>
      <c r="B110" s="71" t="s">
        <v>464</v>
      </c>
      <c r="C110" s="107" t="s">
        <v>650</v>
      </c>
      <c r="D110" s="174">
        <f>'A2-A&amp;G'!D14</f>
        <v>894033.55</v>
      </c>
      <c r="E110" s="107"/>
      <c r="F110" s="115" t="str">
        <f>F108</f>
        <v>W/S</v>
      </c>
      <c r="G110" s="131">
        <f>$I$191</f>
        <v>9.1201779797052435E-2</v>
      </c>
      <c r="H110" s="107"/>
      <c r="I110" s="55">
        <f t="shared" si="6"/>
        <v>81537.45095827707</v>
      </c>
      <c r="J110" s="107"/>
    </row>
    <row r="111" spans="1:11">
      <c r="A111" s="78" t="s">
        <v>102</v>
      </c>
      <c r="B111" s="71" t="s">
        <v>641</v>
      </c>
      <c r="C111" s="107" t="s">
        <v>906</v>
      </c>
      <c r="D111" s="174">
        <f>'A2-A&amp;G'!D23</f>
        <v>0</v>
      </c>
      <c r="E111" s="107"/>
      <c r="F111" s="137" t="str">
        <f>+F105</f>
        <v>TE</v>
      </c>
      <c r="G111" s="131">
        <f>$I$183</f>
        <v>0.94593405113359719</v>
      </c>
      <c r="H111" s="107"/>
      <c r="I111" s="55">
        <f>+G111*D111</f>
        <v>0</v>
      </c>
      <c r="J111" s="107"/>
    </row>
    <row r="112" spans="1:11">
      <c r="A112" s="78" t="s">
        <v>149</v>
      </c>
      <c r="B112" s="71" t="s">
        <v>921</v>
      </c>
      <c r="C112" s="107" t="s">
        <v>265</v>
      </c>
      <c r="D112" s="720">
        <v>320689</v>
      </c>
      <c r="E112" s="107"/>
      <c r="F112" s="115" t="s">
        <v>31</v>
      </c>
      <c r="G112" s="131">
        <f>$I$191</f>
        <v>9.1201779797052435E-2</v>
      </c>
      <c r="H112" s="107"/>
      <c r="I112" s="60">
        <f t="shared" ref="I112:I113" si="8">+G112*D112</f>
        <v>29247.40756133695</v>
      </c>
      <c r="J112" s="107"/>
    </row>
    <row r="113" spans="1:11">
      <c r="A113" s="78" t="s">
        <v>150</v>
      </c>
      <c r="B113" s="71" t="s">
        <v>922</v>
      </c>
      <c r="C113" s="107" t="s">
        <v>675</v>
      </c>
      <c r="D113" s="174">
        <f>'A2-A&amp;G'!D31</f>
        <v>554897</v>
      </c>
      <c r="E113" s="107"/>
      <c r="F113" s="115" t="str">
        <f>+F112</f>
        <v>W/S</v>
      </c>
      <c r="G113" s="131">
        <f>$I$191</f>
        <v>9.1201779797052435E-2</v>
      </c>
      <c r="H113" s="107"/>
      <c r="I113" s="60">
        <f t="shared" si="8"/>
        <v>50607.594004045008</v>
      </c>
      <c r="J113" s="107"/>
    </row>
    <row r="114" spans="1:11">
      <c r="A114" s="78">
        <v>6</v>
      </c>
      <c r="B114" s="71" t="s">
        <v>32</v>
      </c>
      <c r="C114" s="591" t="s">
        <v>907</v>
      </c>
      <c r="D114" s="73">
        <v>0</v>
      </c>
      <c r="E114" s="107"/>
      <c r="F114" s="107" t="s">
        <v>67</v>
      </c>
      <c r="G114" s="131">
        <f>$K$195</f>
        <v>8.9166782515788731E-2</v>
      </c>
      <c r="H114" s="107"/>
      <c r="I114" s="63">
        <f t="shared" si="6"/>
        <v>0</v>
      </c>
      <c r="J114" s="107"/>
    </row>
    <row r="115" spans="1:11" ht="13.8" thickBot="1">
      <c r="A115" s="78">
        <v>7</v>
      </c>
      <c r="B115" s="71" t="s">
        <v>41</v>
      </c>
      <c r="C115" s="107" t="s">
        <v>653</v>
      </c>
      <c r="D115" s="73">
        <v>0</v>
      </c>
      <c r="E115" s="107"/>
      <c r="F115" s="107" t="s">
        <v>373</v>
      </c>
      <c r="G115" s="130">
        <v>1</v>
      </c>
      <c r="H115" s="107"/>
      <c r="I115" s="64">
        <f t="shared" si="6"/>
        <v>0</v>
      </c>
      <c r="J115" s="107"/>
    </row>
    <row r="116" spans="1:11">
      <c r="A116" s="78">
        <v>8</v>
      </c>
      <c r="B116" s="71" t="s">
        <v>1165</v>
      </c>
      <c r="C116" s="107"/>
      <c r="D116" s="72">
        <f>+D105-D106-D107+D108-D110+D114+D115+D111+D112-D113</f>
        <v>17964716.449999999</v>
      </c>
      <c r="E116" s="107"/>
      <c r="F116" s="107"/>
      <c r="G116" s="107"/>
      <c r="H116" s="107"/>
      <c r="I116" s="72">
        <f>+I105-I106-I107+I108-I110+I114+I115+I111+I112-I113</f>
        <v>2638467.9658985725</v>
      </c>
      <c r="J116" s="107"/>
    </row>
    <row r="117" spans="1:11">
      <c r="A117" s="78"/>
      <c r="C117" s="107"/>
      <c r="E117" s="107"/>
      <c r="F117" s="107"/>
      <c r="G117" s="107"/>
      <c r="H117" s="107"/>
      <c r="J117" s="107"/>
    </row>
    <row r="118" spans="1:11">
      <c r="A118" s="78"/>
      <c r="B118" s="71" t="s">
        <v>473</v>
      </c>
      <c r="C118" s="107"/>
      <c r="D118" s="107"/>
      <c r="E118" s="107"/>
      <c r="F118" s="107"/>
      <c r="G118" s="107"/>
      <c r="H118" s="107"/>
      <c r="I118" s="107"/>
      <c r="J118" s="107"/>
    </row>
    <row r="119" spans="1:11">
      <c r="A119" s="78">
        <v>9</v>
      </c>
      <c r="B119" s="134" t="str">
        <f>+B105</f>
        <v xml:space="preserve">  Transmission </v>
      </c>
      <c r="C119" s="107" t="s">
        <v>381</v>
      </c>
      <c r="D119" s="73">
        <v>2823773</v>
      </c>
      <c r="E119" s="107"/>
      <c r="F119" s="107" t="s">
        <v>11</v>
      </c>
      <c r="G119" s="114">
        <f>$I$174</f>
        <v>0.96104528227842878</v>
      </c>
      <c r="H119" s="107"/>
      <c r="I119" s="63">
        <f>+G119*D119</f>
        <v>2713773.7198752058</v>
      </c>
      <c r="J119" s="107"/>
    </row>
    <row r="120" spans="1:11">
      <c r="A120" s="78">
        <v>10</v>
      </c>
      <c r="B120" s="71" t="s">
        <v>127</v>
      </c>
      <c r="C120" s="107" t="s">
        <v>129</v>
      </c>
      <c r="D120" s="73">
        <v>2734465</v>
      </c>
      <c r="E120" s="107"/>
      <c r="F120" s="107" t="s">
        <v>31</v>
      </c>
      <c r="G120" s="131">
        <f>$I$191</f>
        <v>9.1201779797052435E-2</v>
      </c>
      <c r="H120" s="107"/>
      <c r="I120" s="63">
        <f>+G120*D120</f>
        <v>249388.07479274698</v>
      </c>
      <c r="J120" s="107"/>
    </row>
    <row r="121" spans="1:11">
      <c r="A121" s="78">
        <v>11</v>
      </c>
      <c r="B121" s="134" t="str">
        <f>+B114</f>
        <v xml:space="preserve">  Common</v>
      </c>
      <c r="C121" s="107" t="s">
        <v>387</v>
      </c>
      <c r="D121" s="73">
        <v>190639</v>
      </c>
      <c r="E121" s="107"/>
      <c r="F121" s="107" t="s">
        <v>67</v>
      </c>
      <c r="G121" s="131">
        <f>$K$195</f>
        <v>8.9166782515788731E-2</v>
      </c>
      <c r="H121" s="107"/>
      <c r="I121" s="63">
        <f>+G121*D121</f>
        <v>16998.666252027448</v>
      </c>
      <c r="J121" s="107"/>
    </row>
    <row r="122" spans="1:11" s="2" customFormat="1" ht="13.8" thickBot="1">
      <c r="A122" s="74" t="s">
        <v>383</v>
      </c>
      <c r="B122" s="57" t="s">
        <v>389</v>
      </c>
      <c r="C122" s="75" t="s">
        <v>480</v>
      </c>
      <c r="D122" s="73">
        <v>0</v>
      </c>
      <c r="E122" s="55"/>
      <c r="F122" s="73"/>
      <c r="G122" s="674"/>
      <c r="H122" s="55"/>
      <c r="I122" s="68">
        <f>+G122*D122</f>
        <v>0</v>
      </c>
      <c r="J122" s="52"/>
    </row>
    <row r="123" spans="1:11">
      <c r="A123" s="78">
        <v>12</v>
      </c>
      <c r="B123" s="71" t="s">
        <v>390</v>
      </c>
      <c r="C123" s="52" t="s">
        <v>391</v>
      </c>
      <c r="D123" s="72">
        <f>SUM(D119:D122)</f>
        <v>5748877</v>
      </c>
      <c r="E123" s="107"/>
      <c r="F123" s="107"/>
      <c r="G123" s="107"/>
      <c r="H123" s="107"/>
      <c r="I123" s="63">
        <f>SUM(I119:I122)</f>
        <v>2980160.46091998</v>
      </c>
      <c r="J123" s="107"/>
      <c r="K123" s="107"/>
    </row>
    <row r="124" spans="1:11">
      <c r="A124" s="78"/>
      <c r="B124" s="71"/>
      <c r="C124" s="107"/>
      <c r="D124" s="107"/>
      <c r="E124" s="107"/>
      <c r="F124" s="107"/>
      <c r="G124" s="107"/>
      <c r="H124" s="107"/>
      <c r="I124" s="107"/>
      <c r="J124" s="107"/>
      <c r="K124" s="107"/>
    </row>
    <row r="125" spans="1:11">
      <c r="A125" s="78" t="s">
        <v>2</v>
      </c>
      <c r="B125" s="71" t="s">
        <v>467</v>
      </c>
      <c r="D125" s="107"/>
      <c r="E125" s="107"/>
      <c r="F125" s="107"/>
      <c r="G125" s="107"/>
      <c r="H125" s="107"/>
      <c r="I125" s="107"/>
      <c r="J125" s="107"/>
      <c r="K125" s="107"/>
    </row>
    <row r="126" spans="1:11">
      <c r="A126" s="78"/>
      <c r="B126" s="71" t="s">
        <v>42</v>
      </c>
      <c r="E126" s="107"/>
      <c r="F126" s="107"/>
      <c r="H126" s="107"/>
      <c r="J126" s="107"/>
      <c r="K126" s="133"/>
    </row>
    <row r="127" spans="1:11">
      <c r="A127" s="78">
        <v>13</v>
      </c>
      <c r="B127" s="71" t="s">
        <v>43</v>
      </c>
      <c r="C127" s="107" t="s">
        <v>106</v>
      </c>
      <c r="D127" s="73">
        <v>1051244</v>
      </c>
      <c r="E127" s="107"/>
      <c r="F127" s="107" t="s">
        <v>31</v>
      </c>
      <c r="G127" s="131">
        <f>$I$191</f>
        <v>9.1201779797052435E-2</v>
      </c>
      <c r="H127" s="107"/>
      <c r="I127" s="63">
        <f>+G127*D127</f>
        <v>95875.32380097259</v>
      </c>
      <c r="J127" s="107"/>
      <c r="K127" s="133"/>
    </row>
    <row r="128" spans="1:11">
      <c r="A128" s="78">
        <v>14</v>
      </c>
      <c r="B128" s="71" t="s">
        <v>44</v>
      </c>
      <c r="C128" s="115" t="str">
        <f>+C127</f>
        <v>263.i</v>
      </c>
      <c r="D128" s="73">
        <v>0</v>
      </c>
      <c r="E128" s="107"/>
      <c r="F128" s="115" t="str">
        <f>+F127</f>
        <v>W/S</v>
      </c>
      <c r="G128" s="131">
        <f>$I$191</f>
        <v>9.1201779797052435E-2</v>
      </c>
      <c r="H128" s="107"/>
      <c r="I128" s="63">
        <f>+G128*D128</f>
        <v>0</v>
      </c>
      <c r="J128" s="107"/>
      <c r="K128" s="133"/>
    </row>
    <row r="129" spans="1:11">
      <c r="A129" s="78">
        <v>15</v>
      </c>
      <c r="B129" s="71" t="s">
        <v>45</v>
      </c>
      <c r="C129" s="107" t="s">
        <v>2</v>
      </c>
      <c r="E129" s="107"/>
      <c r="F129" s="107"/>
      <c r="H129" s="107"/>
      <c r="J129" s="107"/>
      <c r="K129" s="133"/>
    </row>
    <row r="130" spans="1:11">
      <c r="A130" s="78">
        <v>16</v>
      </c>
      <c r="B130" s="71" t="s">
        <v>46</v>
      </c>
      <c r="C130" s="107" t="s">
        <v>106</v>
      </c>
      <c r="D130" s="73">
        <v>2940362</v>
      </c>
      <c r="E130" s="107"/>
      <c r="F130" s="107" t="s">
        <v>37</v>
      </c>
      <c r="G130" s="131">
        <f>+$G$50</f>
        <v>0.17196579813022048</v>
      </c>
      <c r="H130" s="107"/>
      <c r="I130" s="63">
        <f>+G130*D130</f>
        <v>505641.69812177133</v>
      </c>
      <c r="J130" s="107"/>
      <c r="K130" s="133"/>
    </row>
    <row r="131" spans="1:11">
      <c r="A131" s="78">
        <v>17</v>
      </c>
      <c r="B131" s="71" t="s">
        <v>47</v>
      </c>
      <c r="C131" s="107" t="s">
        <v>106</v>
      </c>
      <c r="D131" s="73">
        <v>1455714</v>
      </c>
      <c r="E131" s="107"/>
      <c r="F131" s="115" t="s">
        <v>27</v>
      </c>
      <c r="G131" s="138">
        <v>0</v>
      </c>
      <c r="H131" s="107"/>
      <c r="I131" s="63">
        <v>0</v>
      </c>
      <c r="J131" s="107"/>
      <c r="K131" s="133"/>
    </row>
    <row r="132" spans="1:11">
      <c r="A132" s="78">
        <v>18</v>
      </c>
      <c r="B132" s="71" t="s">
        <v>1086</v>
      </c>
      <c r="C132" s="115" t="str">
        <f>+C131</f>
        <v>263.i</v>
      </c>
      <c r="D132" s="73">
        <v>0</v>
      </c>
      <c r="E132" s="107"/>
      <c r="F132" s="73"/>
      <c r="G132" s="674"/>
      <c r="H132" s="107"/>
      <c r="I132" s="63">
        <f>+G132*D132</f>
        <v>0</v>
      </c>
      <c r="J132" s="107"/>
      <c r="K132" s="133"/>
    </row>
    <row r="133" spans="1:11" ht="13.8" thickBot="1">
      <c r="A133" s="78">
        <v>19</v>
      </c>
      <c r="B133" s="71" t="s">
        <v>1097</v>
      </c>
      <c r="C133" s="107"/>
      <c r="D133" s="175"/>
      <c r="E133" s="107"/>
      <c r="F133" s="107"/>
      <c r="G133" s="131"/>
      <c r="H133" s="107"/>
      <c r="I133" s="63"/>
      <c r="J133" s="107"/>
      <c r="K133" s="133"/>
    </row>
    <row r="134" spans="1:11">
      <c r="A134" s="78">
        <v>20</v>
      </c>
      <c r="B134" s="71" t="s">
        <v>393</v>
      </c>
      <c r="C134" s="52" t="s">
        <v>392</v>
      </c>
      <c r="D134" s="72">
        <f>SUM(D127:D133)</f>
        <v>5447320</v>
      </c>
      <c r="E134" s="107"/>
      <c r="F134" s="107"/>
      <c r="G134" s="118"/>
      <c r="H134" s="107"/>
      <c r="I134" s="72">
        <f>SUM(I127:I133)</f>
        <v>601517.02192274388</v>
      </c>
      <c r="J134" s="107"/>
      <c r="K134" s="107"/>
    </row>
    <row r="135" spans="1:11">
      <c r="A135" s="78"/>
      <c r="B135" s="71"/>
      <c r="C135" s="107"/>
      <c r="D135" s="107"/>
      <c r="E135" s="107"/>
      <c r="F135" s="107"/>
      <c r="G135" s="118"/>
      <c r="H135" s="107"/>
      <c r="I135" s="107"/>
      <c r="J135" s="107"/>
      <c r="K135" s="107"/>
    </row>
    <row r="136" spans="1:11">
      <c r="A136" s="78" t="s">
        <v>2</v>
      </c>
      <c r="B136" s="71" t="s">
        <v>49</v>
      </c>
      <c r="C136" s="107" t="s">
        <v>465</v>
      </c>
      <c r="D136" s="107"/>
      <c r="E136" s="107"/>
      <c r="G136" s="139"/>
      <c r="H136" s="107"/>
      <c r="J136" s="107"/>
    </row>
    <row r="137" spans="1:11">
      <c r="A137" s="78">
        <v>21</v>
      </c>
      <c r="B137" s="140" t="s">
        <v>98</v>
      </c>
      <c r="C137" s="107"/>
      <c r="D137" s="141">
        <f>IF(D243&gt;0,1-(((1-D244)*(1-D243))/(1-D244*D243*D245)),0)</f>
        <v>0.20999999999999996</v>
      </c>
      <c r="E137" s="107"/>
      <c r="G137" s="139"/>
      <c r="H137" s="107"/>
      <c r="J137" s="107"/>
    </row>
    <row r="138" spans="1:11">
      <c r="A138" s="78">
        <v>22</v>
      </c>
      <c r="B138" s="103" t="s">
        <v>937</v>
      </c>
      <c r="C138" s="107"/>
      <c r="D138" s="141">
        <f>IF(I215&gt;0,(D137/(1-D137))*(1-I212/I215),0)</f>
        <v>0.16058514087611114</v>
      </c>
      <c r="E138" s="107"/>
      <c r="G138" s="139"/>
      <c r="H138" s="107"/>
      <c r="J138" s="107"/>
    </row>
    <row r="139" spans="1:11">
      <c r="A139" s="78"/>
      <c r="B139" s="71" t="s">
        <v>148</v>
      </c>
      <c r="C139" s="107"/>
      <c r="D139" s="107"/>
      <c r="E139" s="107"/>
      <c r="G139" s="139"/>
      <c r="H139" s="107"/>
      <c r="J139" s="107"/>
    </row>
    <row r="140" spans="1:11">
      <c r="A140" s="78"/>
      <c r="B140" s="71" t="s">
        <v>637</v>
      </c>
      <c r="C140" s="107"/>
      <c r="D140" s="107"/>
      <c r="E140" s="107"/>
      <c r="G140" s="139"/>
      <c r="H140" s="107"/>
      <c r="J140" s="107"/>
    </row>
    <row r="141" spans="1:11">
      <c r="A141" s="78">
        <v>23</v>
      </c>
      <c r="B141" s="140" t="s">
        <v>99</v>
      </c>
      <c r="C141" s="107"/>
      <c r="D141" s="383">
        <f>IF(D137&gt;0,1/(1-D137),0)</f>
        <v>1.2658227848101264</v>
      </c>
      <c r="E141" s="107"/>
      <c r="G141" s="139"/>
      <c r="H141" s="107"/>
      <c r="J141" s="107"/>
    </row>
    <row r="142" spans="1:11">
      <c r="A142" s="78">
        <v>24</v>
      </c>
      <c r="B142" s="71" t="s">
        <v>935</v>
      </c>
      <c r="C142" s="107" t="s">
        <v>386</v>
      </c>
      <c r="D142" s="73">
        <v>28</v>
      </c>
      <c r="E142" s="107"/>
      <c r="G142" s="139"/>
      <c r="H142" s="107"/>
      <c r="J142" s="107"/>
    </row>
    <row r="143" spans="1:11">
      <c r="A143" s="78" t="s">
        <v>384</v>
      </c>
      <c r="B143" s="54" t="s">
        <v>1191</v>
      </c>
      <c r="C143" s="134" t="s">
        <v>1192</v>
      </c>
      <c r="D143" s="174">
        <f>'A3.1-EDIT-DDIT'!N42</f>
        <v>155214.82309159994</v>
      </c>
      <c r="E143" s="107"/>
      <c r="G143" s="139"/>
      <c r="H143" s="107"/>
      <c r="J143" s="107"/>
    </row>
    <row r="144" spans="1:11">
      <c r="A144" s="78" t="s">
        <v>830</v>
      </c>
      <c r="B144" s="54" t="s">
        <v>1149</v>
      </c>
      <c r="C144" s="52" t="s">
        <v>1130</v>
      </c>
      <c r="D144" s="174">
        <f>'A9-PermDiffs'!G17</f>
        <v>23545.647892664452</v>
      </c>
      <c r="E144" s="107"/>
      <c r="G144" s="139"/>
      <c r="H144" s="107"/>
      <c r="J144" s="107"/>
    </row>
    <row r="145" spans="1:11">
      <c r="A145" s="78" t="s">
        <v>385</v>
      </c>
      <c r="B145" s="54" t="s">
        <v>382</v>
      </c>
      <c r="C145" s="52" t="s">
        <v>940</v>
      </c>
      <c r="D145" s="63">
        <f>D144*D137</f>
        <v>4944.5860574595345</v>
      </c>
      <c r="E145" s="107"/>
      <c r="G145" s="139"/>
      <c r="H145" s="107"/>
      <c r="J145" s="107"/>
    </row>
    <row r="146" spans="1:11">
      <c r="A146" s="78">
        <v>25</v>
      </c>
      <c r="B146" s="140" t="s">
        <v>396</v>
      </c>
      <c r="C146" s="142" t="s">
        <v>394</v>
      </c>
      <c r="D146" s="63">
        <f>D138*D153</f>
        <v>6855524.5658399351</v>
      </c>
      <c r="E146" s="107"/>
      <c r="F146" s="107"/>
      <c r="G146" s="118"/>
      <c r="H146" s="107"/>
      <c r="I146" s="63">
        <f>D138*I153</f>
        <v>1494740.2500787061</v>
      </c>
      <c r="J146" s="107"/>
      <c r="K146" s="143" t="s">
        <v>2</v>
      </c>
    </row>
    <row r="147" spans="1:11">
      <c r="A147" s="78">
        <v>26</v>
      </c>
      <c r="B147" s="103" t="s">
        <v>397</v>
      </c>
      <c r="C147" s="142" t="s">
        <v>395</v>
      </c>
      <c r="D147" s="63">
        <f>D141*D142</f>
        <v>35.443037974683541</v>
      </c>
      <c r="E147" s="107"/>
      <c r="F147" s="103" t="s">
        <v>37</v>
      </c>
      <c r="G147" s="65">
        <f>GP</f>
        <v>0.17196579813022048</v>
      </c>
      <c r="H147" s="107"/>
      <c r="I147" s="63">
        <f>G147*D147</f>
        <v>6.0949903134761687</v>
      </c>
      <c r="J147" s="107"/>
      <c r="K147" s="143"/>
    </row>
    <row r="148" spans="1:11">
      <c r="A148" s="78" t="s">
        <v>398</v>
      </c>
      <c r="B148" s="61" t="s">
        <v>1193</v>
      </c>
      <c r="C148" s="76" t="s">
        <v>401</v>
      </c>
      <c r="D148" s="63">
        <f>D141*D143</f>
        <v>196474.45960962016</v>
      </c>
      <c r="E148" s="107"/>
      <c r="G148" s="66"/>
      <c r="H148" s="107"/>
      <c r="I148" s="63">
        <f>D148</f>
        <v>196474.45960962016</v>
      </c>
      <c r="J148" s="107"/>
      <c r="K148" s="143"/>
    </row>
    <row r="149" spans="1:11" ht="13.8" thickBot="1">
      <c r="A149" s="78" t="s">
        <v>399</v>
      </c>
      <c r="B149" s="61" t="s">
        <v>400</v>
      </c>
      <c r="C149" s="76" t="s">
        <v>402</v>
      </c>
      <c r="D149" s="63">
        <f>D141*D145</f>
        <v>6258.9696929867514</v>
      </c>
      <c r="E149" s="107"/>
      <c r="G149" s="66"/>
      <c r="H149" s="107"/>
      <c r="I149" s="63">
        <f>D149</f>
        <v>6258.9696929867514</v>
      </c>
      <c r="J149" s="107"/>
      <c r="K149" s="143"/>
    </row>
    <row r="150" spans="1:11">
      <c r="A150" s="78">
        <v>27</v>
      </c>
      <c r="B150" s="140" t="s">
        <v>92</v>
      </c>
      <c r="C150" s="61" t="s">
        <v>936</v>
      </c>
      <c r="D150" s="72">
        <f>D146+D149-D147-D148</f>
        <v>6665273.6328853266</v>
      </c>
      <c r="E150" s="107"/>
      <c r="F150" s="107" t="s">
        <v>2</v>
      </c>
      <c r="G150" s="118" t="s">
        <v>2</v>
      </c>
      <c r="H150" s="107"/>
      <c r="I150" s="72">
        <f>I146+I149-I147-I148</f>
        <v>1304518.6651717592</v>
      </c>
      <c r="J150" s="107"/>
      <c r="K150" s="107"/>
    </row>
    <row r="151" spans="1:11">
      <c r="A151" s="78" t="s">
        <v>2</v>
      </c>
      <c r="C151" s="144"/>
      <c r="D151" s="107"/>
      <c r="E151" s="107"/>
      <c r="F151" s="107"/>
      <c r="G151" s="118"/>
      <c r="H151" s="107"/>
      <c r="I151" s="107"/>
      <c r="J151" s="107"/>
      <c r="K151" s="107"/>
    </row>
    <row r="152" spans="1:11">
      <c r="B152" s="71" t="s">
        <v>50</v>
      </c>
      <c r="C152" s="133"/>
      <c r="J152" s="107"/>
    </row>
    <row r="153" spans="1:11">
      <c r="A153" s="78">
        <v>28</v>
      </c>
      <c r="B153" s="140" t="s">
        <v>700</v>
      </c>
      <c r="C153" s="734" t="s">
        <v>1056</v>
      </c>
      <c r="D153" s="174">
        <f>+$I215*D91+I218</f>
        <v>42690902.336529769</v>
      </c>
      <c r="E153" s="107"/>
      <c r="F153" s="107"/>
      <c r="G153" s="139"/>
      <c r="H153" s="107"/>
      <c r="I153" s="63">
        <f>+$I215*I91+I218</f>
        <v>9308085.6791841909</v>
      </c>
      <c r="J153" s="107"/>
      <c r="K153" s="133"/>
    </row>
    <row r="154" spans="1:11">
      <c r="A154" s="78"/>
      <c r="B154" s="71"/>
      <c r="D154" s="107"/>
      <c r="E154" s="107"/>
      <c r="F154" s="107"/>
      <c r="G154" s="139"/>
      <c r="H154" s="107"/>
      <c r="I154" s="107"/>
      <c r="J154" s="107"/>
      <c r="K154" s="133"/>
    </row>
    <row r="155" spans="1:11" ht="13.8" thickBot="1">
      <c r="A155" s="78">
        <v>29</v>
      </c>
      <c r="B155" s="71" t="s">
        <v>404</v>
      </c>
      <c r="C155" s="107" t="s">
        <v>403</v>
      </c>
      <c r="D155" s="77">
        <f>+D116+D123+D134+D150+D153</f>
        <v>78517089.419415087</v>
      </c>
      <c r="E155" s="107"/>
      <c r="F155" s="107"/>
      <c r="G155" s="107"/>
      <c r="H155" s="107"/>
      <c r="I155" s="77">
        <f>+I116+I123+I134+I150+I153</f>
        <v>16832749.793097246</v>
      </c>
      <c r="J155" s="71"/>
      <c r="K155" s="71"/>
    </row>
    <row r="156" spans="1:11" ht="13.8" thickTop="1">
      <c r="A156" s="78"/>
      <c r="B156" s="71"/>
      <c r="C156" s="107"/>
      <c r="D156" s="115"/>
      <c r="E156" s="107"/>
      <c r="F156" s="107"/>
      <c r="G156" s="107"/>
      <c r="H156" s="107"/>
      <c r="I156" s="115"/>
      <c r="J156" s="71"/>
      <c r="K156" s="71"/>
    </row>
    <row r="157" spans="1:11">
      <c r="B157" s="71"/>
      <c r="C157" s="71"/>
      <c r="D157" s="104"/>
      <c r="E157" s="71"/>
      <c r="F157" s="864"/>
      <c r="G157" s="864"/>
      <c r="H157" s="864"/>
      <c r="I157" s="864"/>
      <c r="J157" s="864"/>
      <c r="K157" s="864"/>
    </row>
    <row r="158" spans="1:11">
      <c r="B158" s="71"/>
      <c r="C158" s="71"/>
      <c r="D158" s="104"/>
      <c r="E158" s="71"/>
      <c r="F158" s="71"/>
      <c r="G158" s="71"/>
      <c r="H158" s="71"/>
      <c r="I158" s="865" t="str">
        <f>I1</f>
        <v>Actual Attachment H</v>
      </c>
      <c r="J158" s="865"/>
      <c r="K158" s="865"/>
    </row>
    <row r="159" spans="1:11">
      <c r="B159" s="71"/>
      <c r="C159" s="71"/>
      <c r="D159" s="104"/>
      <c r="E159" s="71"/>
      <c r="F159" s="71"/>
      <c r="G159" s="71"/>
      <c r="H159" s="71"/>
      <c r="I159" s="71"/>
      <c r="J159" s="864" t="s">
        <v>244</v>
      </c>
      <c r="K159" s="864"/>
    </row>
    <row r="160" spans="1:11">
      <c r="B160" s="71"/>
      <c r="C160" s="71"/>
      <c r="D160" s="104"/>
      <c r="E160" s="71"/>
      <c r="F160" s="71"/>
      <c r="G160" s="71"/>
      <c r="H160" s="71"/>
      <c r="I160" s="71"/>
      <c r="J160" s="105"/>
      <c r="K160" s="105"/>
    </row>
    <row r="161" spans="1:11">
      <c r="B161" s="104" t="s">
        <v>0</v>
      </c>
      <c r="C161" s="71"/>
      <c r="D161" s="78" t="s">
        <v>1</v>
      </c>
      <c r="E161" s="71"/>
      <c r="F161" s="71"/>
      <c r="G161" s="871" t="str">
        <f>K4</f>
        <v>Actuals - For the 12 months ended 12/31/2024</v>
      </c>
      <c r="H161" s="871"/>
      <c r="I161" s="871"/>
      <c r="J161" s="871"/>
      <c r="K161" s="871"/>
    </row>
    <row r="162" spans="1:11">
      <c r="B162" s="71"/>
      <c r="C162" s="107"/>
      <c r="D162" s="108" t="s">
        <v>3</v>
      </c>
      <c r="E162" s="107"/>
      <c r="F162" s="107"/>
      <c r="G162" s="107"/>
      <c r="H162" s="71"/>
      <c r="I162" s="71"/>
      <c r="J162" s="71"/>
      <c r="K162" s="71"/>
    </row>
    <row r="163" spans="1:11" ht="9" customHeight="1">
      <c r="A163" s="78"/>
      <c r="J163" s="107"/>
      <c r="K163" s="107"/>
    </row>
    <row r="164" spans="1:11">
      <c r="A164" s="78"/>
      <c r="D164" s="122" t="str">
        <f>C7</f>
        <v>Cheyenne Light, Fuel &amp; Power</v>
      </c>
      <c r="J164" s="107"/>
      <c r="K164" s="107"/>
    </row>
    <row r="165" spans="1:11">
      <c r="A165" s="78"/>
      <c r="D165" s="136"/>
      <c r="J165" s="107"/>
      <c r="K165" s="107"/>
    </row>
    <row r="166" spans="1:11">
      <c r="A166" s="78"/>
      <c r="D166" s="126" t="s">
        <v>139</v>
      </c>
      <c r="E166" s="71"/>
      <c r="F166" s="71"/>
      <c r="G166" s="71"/>
      <c r="H166" s="71"/>
      <c r="I166" s="71"/>
      <c r="J166" s="107"/>
      <c r="K166" s="107"/>
    </row>
    <row r="167" spans="1:11">
      <c r="A167" s="78" t="s">
        <v>4</v>
      </c>
      <c r="B167" s="78" t="s">
        <v>15</v>
      </c>
      <c r="C167" s="78" t="s">
        <v>16</v>
      </c>
      <c r="D167" s="78" t="s">
        <v>17</v>
      </c>
      <c r="E167" s="107" t="s">
        <v>2</v>
      </c>
      <c r="F167" s="107"/>
      <c r="G167" s="124" t="s">
        <v>18</v>
      </c>
      <c r="H167" s="107"/>
      <c r="I167" s="124" t="s">
        <v>19</v>
      </c>
      <c r="J167" s="107"/>
      <c r="K167" s="107"/>
    </row>
    <row r="168" spans="1:11" ht="13.8" thickBot="1">
      <c r="A168" s="111" t="s">
        <v>6</v>
      </c>
      <c r="B168" s="71" t="s">
        <v>131</v>
      </c>
      <c r="C168" s="71"/>
      <c r="D168" s="71"/>
      <c r="E168" s="71"/>
      <c r="F168" s="71"/>
      <c r="G168" s="71"/>
      <c r="J168" s="107"/>
      <c r="K168" s="107"/>
    </row>
    <row r="169" spans="1:11">
      <c r="A169" s="78">
        <v>1</v>
      </c>
      <c r="B169" s="71" t="s">
        <v>406</v>
      </c>
      <c r="C169" s="71" t="s">
        <v>405</v>
      </c>
      <c r="D169" s="107"/>
      <c r="E169" s="107"/>
      <c r="F169" s="107"/>
      <c r="G169" s="107"/>
      <c r="H169" s="107"/>
      <c r="I169" s="174">
        <f>D46</f>
        <v>142113478.10076922</v>
      </c>
      <c r="J169" s="107"/>
      <c r="K169" s="107"/>
    </row>
    <row r="170" spans="1:11">
      <c r="A170" s="78">
        <v>2</v>
      </c>
      <c r="B170" s="71" t="s">
        <v>407</v>
      </c>
      <c r="C170" s="103" t="s">
        <v>466</v>
      </c>
      <c r="I170" s="735">
        <v>0</v>
      </c>
      <c r="J170" s="107"/>
      <c r="K170" s="107"/>
    </row>
    <row r="171" spans="1:11" ht="13.8" thickBot="1">
      <c r="A171" s="78">
        <v>3</v>
      </c>
      <c r="B171" s="145" t="s">
        <v>408</v>
      </c>
      <c r="C171" s="145" t="s">
        <v>361</v>
      </c>
      <c r="D171" s="107"/>
      <c r="E171" s="107"/>
      <c r="F171" s="107"/>
      <c r="G171" s="108"/>
      <c r="H171" s="107"/>
      <c r="I171" s="146">
        <v>5535990.4238461526</v>
      </c>
      <c r="J171" s="107"/>
      <c r="K171" s="107"/>
    </row>
    <row r="172" spans="1:11">
      <c r="A172" s="78">
        <v>4</v>
      </c>
      <c r="B172" s="71" t="s">
        <v>409</v>
      </c>
      <c r="C172" s="71" t="s">
        <v>410</v>
      </c>
      <c r="D172" s="107"/>
      <c r="E172" s="107"/>
      <c r="F172" s="107"/>
      <c r="G172" s="108"/>
      <c r="H172" s="107"/>
      <c r="I172" s="115">
        <f>I169-I170-I171</f>
        <v>136577487.67692307</v>
      </c>
      <c r="J172" s="107"/>
      <c r="K172" s="107"/>
    </row>
    <row r="173" spans="1:11" ht="9" customHeight="1">
      <c r="A173" s="78"/>
      <c r="C173" s="71"/>
      <c r="D173" s="107"/>
      <c r="E173" s="107"/>
      <c r="F173" s="107"/>
      <c r="G173" s="108"/>
      <c r="H173" s="107"/>
      <c r="J173" s="107"/>
      <c r="K173" s="107"/>
    </row>
    <row r="174" spans="1:11">
      <c r="A174" s="78">
        <v>5</v>
      </c>
      <c r="B174" s="71" t="s">
        <v>411</v>
      </c>
      <c r="C174" s="110" t="s">
        <v>412</v>
      </c>
      <c r="D174" s="110"/>
      <c r="E174" s="110"/>
      <c r="F174" s="110"/>
      <c r="G174" s="124"/>
      <c r="H174" s="107" t="s">
        <v>53</v>
      </c>
      <c r="I174" s="147">
        <f>IF(I169&gt;0,I172/I169,0)</f>
        <v>0.96104528227842878</v>
      </c>
      <c r="J174" s="107"/>
      <c r="K174" s="107"/>
    </row>
    <row r="175" spans="1:11" ht="9" customHeight="1">
      <c r="A175" s="78"/>
      <c r="J175" s="107"/>
      <c r="K175" s="107"/>
    </row>
    <row r="176" spans="1:11">
      <c r="A176" s="78"/>
      <c r="B176" s="71" t="s">
        <v>51</v>
      </c>
      <c r="J176" s="107"/>
      <c r="K176" s="107"/>
    </row>
    <row r="177" spans="1:11">
      <c r="A177" s="78">
        <v>6</v>
      </c>
      <c r="B177" s="103" t="s">
        <v>413</v>
      </c>
      <c r="C177" s="103" t="s">
        <v>423</v>
      </c>
      <c r="D177" s="71"/>
      <c r="E177" s="71"/>
      <c r="F177" s="71"/>
      <c r="G177" s="78"/>
      <c r="H177" s="71"/>
      <c r="I177" s="174">
        <f>D105</f>
        <v>27726664</v>
      </c>
      <c r="J177" s="107"/>
      <c r="K177" s="107"/>
    </row>
    <row r="178" spans="1:11" ht="13.8" thickBot="1">
      <c r="A178" s="78">
        <v>7</v>
      </c>
      <c r="B178" s="145" t="s">
        <v>422</v>
      </c>
      <c r="C178" s="145" t="s">
        <v>421</v>
      </c>
      <c r="D178" s="107"/>
      <c r="E178" s="107"/>
      <c r="F178" s="107"/>
      <c r="G178" s="107"/>
      <c r="H178" s="107"/>
      <c r="I178" s="149">
        <f>D106</f>
        <v>435967</v>
      </c>
      <c r="J178" s="107"/>
      <c r="K178" s="107"/>
    </row>
    <row r="179" spans="1:11">
      <c r="A179" s="78">
        <v>8</v>
      </c>
      <c r="B179" s="71" t="s">
        <v>415</v>
      </c>
      <c r="C179" s="110" t="s">
        <v>414</v>
      </c>
      <c r="D179" s="110"/>
      <c r="E179" s="110"/>
      <c r="F179" s="110"/>
      <c r="G179" s="124"/>
      <c r="H179" s="110"/>
      <c r="I179" s="115">
        <f>+I177-I178</f>
        <v>27290697</v>
      </c>
    </row>
    <row r="180" spans="1:11">
      <c r="A180" s="78"/>
      <c r="B180" s="71"/>
      <c r="C180" s="71"/>
      <c r="D180" s="107"/>
      <c r="E180" s="107"/>
      <c r="F180" s="107"/>
      <c r="G180" s="107"/>
    </row>
    <row r="181" spans="1:11">
      <c r="A181" s="78">
        <v>9</v>
      </c>
      <c r="B181" s="71" t="s">
        <v>548</v>
      </c>
      <c r="C181" s="71" t="s">
        <v>424</v>
      </c>
      <c r="D181" s="107"/>
      <c r="E181" s="107"/>
      <c r="F181" s="107"/>
      <c r="G181" s="107"/>
      <c r="H181" s="107"/>
      <c r="I181" s="131">
        <f>IF(I177&gt;0,I179/I177,0)</f>
        <v>0.98427625479935121</v>
      </c>
    </row>
    <row r="182" spans="1:11">
      <c r="A182" s="78">
        <v>10</v>
      </c>
      <c r="B182" s="71" t="s">
        <v>549</v>
      </c>
      <c r="C182" s="71" t="s">
        <v>418</v>
      </c>
      <c r="D182" s="107"/>
      <c r="E182" s="107"/>
      <c r="F182" s="107"/>
      <c r="G182" s="107"/>
      <c r="H182" s="71" t="s">
        <v>11</v>
      </c>
      <c r="I182" s="131">
        <f>$I$174</f>
        <v>0.96104528227842878</v>
      </c>
    </row>
    <row r="183" spans="1:11">
      <c r="A183" s="78">
        <v>11</v>
      </c>
      <c r="B183" s="71" t="s">
        <v>550</v>
      </c>
      <c r="C183" s="71" t="s">
        <v>419</v>
      </c>
      <c r="D183" s="71"/>
      <c r="E183" s="71"/>
      <c r="F183" s="71"/>
      <c r="G183" s="71"/>
      <c r="H183" s="71" t="s">
        <v>52</v>
      </c>
      <c r="I183" s="114">
        <f>+I182*I181</f>
        <v>0.94593405113359719</v>
      </c>
    </row>
    <row r="184" spans="1:11">
      <c r="A184" s="78"/>
      <c r="C184" s="71"/>
      <c r="D184" s="107"/>
      <c r="E184" s="107"/>
      <c r="F184" s="107"/>
      <c r="G184" s="108"/>
      <c r="H184" s="107"/>
    </row>
    <row r="185" spans="1:11">
      <c r="A185" s="78" t="s">
        <v>2</v>
      </c>
      <c r="B185" s="71" t="s">
        <v>54</v>
      </c>
      <c r="C185" s="107"/>
      <c r="D185" s="107"/>
      <c r="E185" s="107"/>
      <c r="F185" s="107"/>
      <c r="G185" s="107"/>
      <c r="H185" s="107"/>
      <c r="I185" s="107"/>
      <c r="J185" s="107"/>
      <c r="K185" s="107"/>
    </row>
    <row r="186" spans="1:11" ht="13.8" thickBot="1">
      <c r="A186" s="78" t="s">
        <v>2</v>
      </c>
      <c r="B186" s="71"/>
      <c r="C186" s="157" t="s">
        <v>55</v>
      </c>
      <c r="D186" s="158" t="s">
        <v>56</v>
      </c>
      <c r="E186" s="158" t="s">
        <v>11</v>
      </c>
      <c r="F186" s="107"/>
      <c r="G186" s="158" t="s">
        <v>57</v>
      </c>
      <c r="H186" s="107"/>
      <c r="I186" s="107"/>
      <c r="J186" s="107"/>
      <c r="K186" s="107"/>
    </row>
    <row r="187" spans="1:11">
      <c r="A187" s="78">
        <v>12</v>
      </c>
      <c r="B187" s="71" t="s">
        <v>26</v>
      </c>
      <c r="C187" s="107" t="s">
        <v>116</v>
      </c>
      <c r="D187" s="116">
        <v>3672443</v>
      </c>
      <c r="E187" s="159">
        <v>0</v>
      </c>
      <c r="F187" s="159"/>
      <c r="G187" s="115">
        <f>D187*E187</f>
        <v>0</v>
      </c>
      <c r="H187" s="107"/>
      <c r="I187" s="107"/>
      <c r="J187" s="107"/>
      <c r="K187" s="107"/>
    </row>
    <row r="188" spans="1:11">
      <c r="A188" s="78">
        <v>13</v>
      </c>
      <c r="B188" s="71" t="s">
        <v>28</v>
      </c>
      <c r="C188" s="107" t="s">
        <v>117</v>
      </c>
      <c r="D188" s="116">
        <v>688100</v>
      </c>
      <c r="E188" s="546">
        <f>$I$174</f>
        <v>0.96104528227842878</v>
      </c>
      <c r="F188" s="159"/>
      <c r="G188" s="115">
        <f>D188*E188</f>
        <v>661295.25873578689</v>
      </c>
      <c r="H188" s="107"/>
      <c r="I188" s="107"/>
      <c r="J188" s="107"/>
      <c r="K188" s="107"/>
    </row>
    <row r="189" spans="1:11">
      <c r="A189" s="78">
        <v>14</v>
      </c>
      <c r="B189" s="71" t="s">
        <v>29</v>
      </c>
      <c r="C189" s="107" t="s">
        <v>118</v>
      </c>
      <c r="D189" s="116">
        <v>2368697</v>
      </c>
      <c r="E189" s="159">
        <v>0</v>
      </c>
      <c r="F189" s="159"/>
      <c r="G189" s="115">
        <f>D189*E189</f>
        <v>0</v>
      </c>
      <c r="H189" s="107"/>
      <c r="I189" s="108" t="s">
        <v>58</v>
      </c>
      <c r="J189" s="107"/>
      <c r="K189" s="107"/>
    </row>
    <row r="190" spans="1:11" ht="13.8" thickBot="1">
      <c r="A190" s="78">
        <v>15</v>
      </c>
      <c r="B190" s="71" t="s">
        <v>59</v>
      </c>
      <c r="C190" s="107" t="s">
        <v>121</v>
      </c>
      <c r="D190" s="146">
        <v>521663</v>
      </c>
      <c r="E190" s="159">
        <v>0</v>
      </c>
      <c r="F190" s="159"/>
      <c r="G190" s="161">
        <f>D190*E190</f>
        <v>0</v>
      </c>
      <c r="H190" s="107"/>
      <c r="I190" s="111" t="s">
        <v>60</v>
      </c>
      <c r="J190" s="107"/>
      <c r="K190" s="107"/>
    </row>
    <row r="191" spans="1:11">
      <c r="A191" s="78">
        <v>16</v>
      </c>
      <c r="B191" s="71" t="s">
        <v>426</v>
      </c>
      <c r="C191" s="107" t="s">
        <v>1177</v>
      </c>
      <c r="D191" s="115">
        <f>SUM(D187:D190)</f>
        <v>7250903</v>
      </c>
      <c r="E191" s="107"/>
      <c r="F191" s="107"/>
      <c r="G191" s="115">
        <f>SUM(G187:G190)</f>
        <v>661295.25873578689</v>
      </c>
      <c r="H191" s="78" t="s">
        <v>61</v>
      </c>
      <c r="I191" s="131">
        <f>IF(G191&gt;0,G191/D191,0)</f>
        <v>9.1201779797052435E-2</v>
      </c>
      <c r="J191" s="108" t="s">
        <v>61</v>
      </c>
      <c r="K191" s="143" t="s">
        <v>100</v>
      </c>
    </row>
    <row r="192" spans="1:11" ht="9" customHeight="1">
      <c r="A192" s="78"/>
      <c r="B192" s="71"/>
      <c r="C192" s="107"/>
      <c r="D192" s="107"/>
      <c r="E192" s="107"/>
      <c r="F192" s="107"/>
      <c r="G192" s="107"/>
      <c r="H192" s="107"/>
      <c r="I192" s="107"/>
      <c r="J192" s="107"/>
      <c r="K192" s="107"/>
    </row>
    <row r="193" spans="1:11">
      <c r="A193" s="78"/>
      <c r="B193" s="71" t="s">
        <v>153</v>
      </c>
      <c r="C193" s="107"/>
      <c r="D193" s="125" t="s">
        <v>56</v>
      </c>
      <c r="E193" s="107"/>
      <c r="F193" s="107"/>
      <c r="G193" s="108" t="s">
        <v>62</v>
      </c>
      <c r="H193" s="139" t="s">
        <v>2</v>
      </c>
      <c r="I193" s="132" t="str">
        <f>+I189</f>
        <v>W&amp;S Allocator</v>
      </c>
      <c r="J193" s="107"/>
      <c r="K193" s="107"/>
    </row>
    <row r="194" spans="1:11">
      <c r="A194" s="78">
        <v>17</v>
      </c>
      <c r="B194" s="71" t="s">
        <v>63</v>
      </c>
      <c r="C194" s="107" t="s">
        <v>64</v>
      </c>
      <c r="D194" s="116">
        <v>791180372</v>
      </c>
      <c r="E194" s="107"/>
      <c r="G194" s="78" t="s">
        <v>65</v>
      </c>
      <c r="H194" s="139"/>
      <c r="I194" s="78" t="s">
        <v>66</v>
      </c>
      <c r="J194" s="107"/>
      <c r="K194" s="78" t="s">
        <v>67</v>
      </c>
    </row>
    <row r="195" spans="1:11">
      <c r="A195" s="78">
        <v>18</v>
      </c>
      <c r="B195" s="71" t="s">
        <v>68</v>
      </c>
      <c r="C195" s="107" t="s">
        <v>107</v>
      </c>
      <c r="D195" s="735">
        <v>0</v>
      </c>
      <c r="E195" s="107"/>
      <c r="G195" s="114">
        <f>IF(D197&gt;0,D194/D197,0)</f>
        <v>0.97768686876734101</v>
      </c>
      <c r="H195" s="108" t="s">
        <v>69</v>
      </c>
      <c r="I195" s="114">
        <f>I191</f>
        <v>9.1201779797052435E-2</v>
      </c>
      <c r="J195" s="139" t="s">
        <v>61</v>
      </c>
      <c r="K195" s="162">
        <f>I195*G195</f>
        <v>8.9166782515788731E-2</v>
      </c>
    </row>
    <row r="196" spans="1:11" ht="13.8" thickBot="1">
      <c r="A196" s="78">
        <v>19</v>
      </c>
      <c r="B196" s="145" t="s">
        <v>59</v>
      </c>
      <c r="C196" s="157" t="s">
        <v>742</v>
      </c>
      <c r="D196" s="146">
        <v>18056611</v>
      </c>
      <c r="E196" s="107"/>
      <c r="F196" s="107"/>
      <c r="G196" s="107" t="s">
        <v>2</v>
      </c>
      <c r="H196" s="107"/>
      <c r="I196" s="107"/>
      <c r="J196" s="107"/>
      <c r="K196" s="107"/>
    </row>
    <row r="197" spans="1:11">
      <c r="A197" s="78">
        <v>20</v>
      </c>
      <c r="B197" s="71" t="s">
        <v>426</v>
      </c>
      <c r="C197" s="107" t="s">
        <v>427</v>
      </c>
      <c r="D197" s="115">
        <f>D194+D195+D196</f>
        <v>809236983</v>
      </c>
      <c r="E197" s="107"/>
      <c r="F197" s="107"/>
      <c r="G197" s="107"/>
      <c r="H197" s="107"/>
      <c r="I197" s="107"/>
      <c r="J197" s="107"/>
      <c r="K197" s="107"/>
    </row>
    <row r="198" spans="1:11" ht="9" customHeight="1">
      <c r="A198" s="78"/>
      <c r="B198" s="71"/>
      <c r="C198" s="107"/>
      <c r="E198" s="107"/>
      <c r="F198" s="107"/>
      <c r="G198" s="107"/>
      <c r="H198" s="107"/>
      <c r="I198" s="107"/>
      <c r="J198" s="107"/>
      <c r="K198" s="107"/>
    </row>
    <row r="199" spans="1:11" ht="13.8" thickBot="1">
      <c r="A199" s="78"/>
      <c r="B199" s="71" t="s">
        <v>70</v>
      </c>
      <c r="C199" s="107"/>
      <c r="D199" s="107"/>
      <c r="E199" s="107"/>
      <c r="F199" s="107"/>
      <c r="G199" s="107"/>
      <c r="H199" s="107"/>
      <c r="I199" s="158" t="s">
        <v>56</v>
      </c>
      <c r="J199" s="107"/>
      <c r="K199" s="107"/>
    </row>
    <row r="200" spans="1:11">
      <c r="A200" s="78">
        <v>21</v>
      </c>
      <c r="B200" s="107" t="s">
        <v>430</v>
      </c>
      <c r="C200" s="107" t="s">
        <v>743</v>
      </c>
      <c r="D200" s="107"/>
      <c r="E200" s="107"/>
      <c r="F200" s="107"/>
      <c r="G200" s="107"/>
      <c r="H200" s="107"/>
      <c r="I200" s="163">
        <f>11332931+73327+11725-0-0+10903510</f>
        <v>22321493</v>
      </c>
      <c r="J200" s="107"/>
      <c r="K200" s="107"/>
    </row>
    <row r="201" spans="1:11" ht="9" customHeight="1">
      <c r="A201" s="78"/>
      <c r="B201" s="107"/>
      <c r="C201" s="107"/>
      <c r="D201" s="107"/>
      <c r="E201" s="107"/>
      <c r="F201" s="107"/>
      <c r="G201" s="107"/>
      <c r="H201" s="107"/>
      <c r="I201" s="107"/>
      <c r="J201" s="107"/>
      <c r="K201" s="107"/>
    </row>
    <row r="202" spans="1:11">
      <c r="A202" s="78">
        <v>22</v>
      </c>
      <c r="B202" s="107" t="s">
        <v>429</v>
      </c>
      <c r="C202" s="107" t="s">
        <v>428</v>
      </c>
      <c r="D202" s="107"/>
      <c r="E202" s="107"/>
      <c r="F202" s="107"/>
      <c r="G202" s="107"/>
      <c r="H202" s="107"/>
      <c r="I202" s="164">
        <v>0</v>
      </c>
      <c r="J202" s="107"/>
      <c r="K202" s="107"/>
    </row>
    <row r="203" spans="1:11" ht="9" customHeight="1">
      <c r="A203" s="78"/>
      <c r="B203" s="71"/>
      <c r="C203" s="107"/>
      <c r="D203" s="107"/>
      <c r="E203" s="107"/>
      <c r="F203" s="107"/>
      <c r="G203" s="107"/>
      <c r="H203" s="107"/>
      <c r="I203" s="107"/>
      <c r="J203" s="107"/>
      <c r="K203" s="107"/>
    </row>
    <row r="204" spans="1:11">
      <c r="A204" s="78"/>
      <c r="B204" s="165" t="s">
        <v>431</v>
      </c>
      <c r="C204" s="107"/>
      <c r="D204" s="107"/>
      <c r="E204" s="107"/>
      <c r="F204" s="107"/>
      <c r="G204" s="107"/>
      <c r="H204" s="107"/>
      <c r="I204" s="107"/>
      <c r="J204" s="107"/>
      <c r="K204" s="107"/>
    </row>
    <row r="205" spans="1:11">
      <c r="A205" s="78">
        <v>23</v>
      </c>
      <c r="B205" s="107" t="s">
        <v>434</v>
      </c>
      <c r="C205" s="107" t="s">
        <v>432</v>
      </c>
      <c r="D205" s="71"/>
      <c r="E205" s="107"/>
      <c r="F205" s="107"/>
      <c r="G205" s="107"/>
      <c r="H205" s="107"/>
      <c r="I205" s="116">
        <v>344050573</v>
      </c>
      <c r="J205" s="107"/>
      <c r="K205" s="107"/>
    </row>
    <row r="206" spans="1:11">
      <c r="A206" s="78">
        <v>24</v>
      </c>
      <c r="B206" s="107" t="s">
        <v>435</v>
      </c>
      <c r="C206" s="107" t="s">
        <v>433</v>
      </c>
      <c r="D206" s="107"/>
      <c r="E206" s="107"/>
      <c r="F206" s="107"/>
      <c r="G206" s="107"/>
      <c r="H206" s="107"/>
      <c r="I206" s="115">
        <f>+D213</f>
        <v>0</v>
      </c>
      <c r="J206" s="107"/>
      <c r="K206" s="107"/>
    </row>
    <row r="207" spans="1:11">
      <c r="A207" s="78">
        <v>25</v>
      </c>
      <c r="B207" s="71" t="s">
        <v>436</v>
      </c>
      <c r="C207" s="71" t="s">
        <v>942</v>
      </c>
      <c r="D207" s="107"/>
      <c r="E207" s="107"/>
      <c r="F207" s="107"/>
      <c r="G207" s="107"/>
      <c r="H207" s="107"/>
      <c r="I207" s="116">
        <v>0</v>
      </c>
      <c r="J207" s="107"/>
      <c r="K207" s="107"/>
    </row>
    <row r="208" spans="1:11" ht="13.8" thickBot="1">
      <c r="A208" s="78">
        <v>26</v>
      </c>
      <c r="B208" s="145" t="s">
        <v>943</v>
      </c>
      <c r="C208" s="145" t="s">
        <v>944</v>
      </c>
      <c r="D208" s="107"/>
      <c r="E208" s="107"/>
      <c r="F208" s="107"/>
      <c r="G208" s="107"/>
      <c r="H208" s="107"/>
      <c r="I208" s="116">
        <v>0</v>
      </c>
      <c r="J208" s="107"/>
      <c r="K208" s="107"/>
    </row>
    <row r="209" spans="1:11">
      <c r="A209" s="78">
        <v>27</v>
      </c>
      <c r="B209" s="71" t="s">
        <v>71</v>
      </c>
      <c r="C209" s="110" t="s">
        <v>945</v>
      </c>
      <c r="D209" s="115"/>
      <c r="E209" s="71"/>
      <c r="F209" s="71"/>
      <c r="G209" s="71"/>
      <c r="H209" s="71"/>
      <c r="I209" s="180">
        <f>I205-I206-I207-I208</f>
        <v>344050573</v>
      </c>
      <c r="J209" s="107"/>
      <c r="K209" s="107"/>
    </row>
    <row r="210" spans="1:11">
      <c r="A210" s="78"/>
      <c r="B210" s="71"/>
      <c r="C210" s="107"/>
      <c r="D210" s="107"/>
      <c r="E210" s="107"/>
      <c r="F210" s="107"/>
      <c r="G210" s="108" t="s">
        <v>72</v>
      </c>
      <c r="H210" s="107"/>
      <c r="I210" s="107"/>
      <c r="J210" s="107"/>
      <c r="K210" s="107"/>
    </row>
    <row r="211" spans="1:11" ht="13.8" thickBot="1">
      <c r="A211" s="78"/>
      <c r="B211" s="71"/>
      <c r="C211" s="107"/>
      <c r="D211" s="111" t="s">
        <v>56</v>
      </c>
      <c r="E211" s="111" t="s">
        <v>73</v>
      </c>
      <c r="F211" s="107"/>
      <c r="G211" s="111" t="s">
        <v>471</v>
      </c>
      <c r="H211" s="107"/>
      <c r="I211" s="111" t="s">
        <v>74</v>
      </c>
      <c r="J211" s="107"/>
      <c r="K211" s="107"/>
    </row>
    <row r="212" spans="1:11">
      <c r="A212" s="78">
        <v>28</v>
      </c>
      <c r="B212" s="71" t="s">
        <v>439</v>
      </c>
      <c r="C212" s="71" t="s">
        <v>437</v>
      </c>
      <c r="D212" s="116">
        <f>195000000+169300000</f>
        <v>364300000</v>
      </c>
      <c r="E212" s="166">
        <f>IF($D$215&gt;0,D212/$D$215,0)</f>
        <v>0.5142933652995012</v>
      </c>
      <c r="F212" s="167"/>
      <c r="G212" s="168">
        <f>IF(D212&gt;0,I200/D212,0)</f>
        <v>6.1272283832006585E-2</v>
      </c>
      <c r="I212" s="168">
        <f>G212*E212</f>
        <v>3.1511929051548884E-2</v>
      </c>
      <c r="J212" s="169" t="s">
        <v>75</v>
      </c>
    </row>
    <row r="213" spans="1:11">
      <c r="A213" s="78">
        <v>29</v>
      </c>
      <c r="B213" s="71" t="s">
        <v>440</v>
      </c>
      <c r="C213" s="71" t="s">
        <v>438</v>
      </c>
      <c r="D213" s="116">
        <v>0</v>
      </c>
      <c r="E213" s="166">
        <f>IF($D$215&gt;0,D213/$D$215,0)</f>
        <v>0</v>
      </c>
      <c r="F213" s="167"/>
      <c r="G213" s="168">
        <f>IF(D213&gt;0,I202/D213,0)</f>
        <v>0</v>
      </c>
      <c r="I213" s="168">
        <f>G213*E213</f>
        <v>0</v>
      </c>
      <c r="J213" s="107"/>
    </row>
    <row r="214" spans="1:11" ht="13.8" thickBot="1">
      <c r="A214" s="78">
        <v>30</v>
      </c>
      <c r="B214" s="145" t="s">
        <v>441</v>
      </c>
      <c r="C214" s="145" t="s">
        <v>946</v>
      </c>
      <c r="D214" s="161">
        <f>I209</f>
        <v>344050573</v>
      </c>
      <c r="E214" s="166">
        <f>IF($D$215&gt;0,D214/$D$215,0)</f>
        <v>0.4857066347004988</v>
      </c>
      <c r="F214" s="167"/>
      <c r="G214" s="705">
        <v>9.9000000000000005E-2</v>
      </c>
      <c r="I214" s="170">
        <f>G214*E214</f>
        <v>4.8084956835349385E-2</v>
      </c>
      <c r="J214" s="107"/>
    </row>
    <row r="215" spans="1:11">
      <c r="A215" s="78">
        <v>31</v>
      </c>
      <c r="B215" s="71" t="s">
        <v>388</v>
      </c>
      <c r="C215" s="110" t="s">
        <v>947</v>
      </c>
      <c r="D215" s="115">
        <f>D214+D213+D212</f>
        <v>708350573</v>
      </c>
      <c r="E215" s="107" t="s">
        <v>2</v>
      </c>
      <c r="F215" s="107"/>
      <c r="G215" s="107"/>
      <c r="H215" s="107"/>
      <c r="I215" s="168">
        <f>SUM(I212:I214)</f>
        <v>7.9596885886898269E-2</v>
      </c>
      <c r="J215" s="169" t="s">
        <v>76</v>
      </c>
    </row>
    <row r="216" spans="1:11" ht="9" customHeight="1">
      <c r="E216" s="107"/>
      <c r="F216" s="107"/>
      <c r="G216" s="107"/>
      <c r="H216" s="107"/>
    </row>
    <row r="217" spans="1:11">
      <c r="A217" s="872"/>
      <c r="B217" s="872"/>
      <c r="C217" s="872"/>
      <c r="D217" s="107"/>
      <c r="E217" s="107"/>
      <c r="F217" s="133"/>
      <c r="G217" s="873"/>
      <c r="H217" s="873"/>
      <c r="I217" s="873"/>
      <c r="J217" s="873"/>
      <c r="K217" s="873"/>
    </row>
    <row r="218" spans="1:11">
      <c r="A218" s="78">
        <v>32</v>
      </c>
      <c r="B218" s="71" t="s">
        <v>701</v>
      </c>
      <c r="C218" s="71" t="s">
        <v>705</v>
      </c>
      <c r="D218" s="104"/>
      <c r="E218" s="71"/>
      <c r="F218" s="71"/>
      <c r="G218" s="71"/>
      <c r="H218" s="347"/>
      <c r="I218" s="164">
        <f>SUM('A7-IncentPlant'!F19:F42)</f>
        <v>0</v>
      </c>
      <c r="J218" s="347"/>
      <c r="K218" s="347"/>
    </row>
    <row r="219" spans="1:11">
      <c r="B219" s="71"/>
      <c r="C219" s="71"/>
      <c r="D219" s="104"/>
      <c r="E219" s="71"/>
      <c r="F219" s="71"/>
      <c r="G219" s="864"/>
      <c r="H219" s="864"/>
      <c r="I219" s="864"/>
      <c r="J219" s="864"/>
      <c r="K219" s="864"/>
    </row>
    <row r="220" spans="1:11">
      <c r="B220" s="71"/>
      <c r="C220" s="71"/>
      <c r="D220" s="104"/>
      <c r="E220" s="71"/>
      <c r="F220" s="71"/>
      <c r="G220" s="71"/>
      <c r="H220" s="71"/>
      <c r="I220" s="865" t="str">
        <f>I1</f>
        <v>Actual Attachment H</v>
      </c>
      <c r="J220" s="865"/>
      <c r="K220" s="865"/>
    </row>
    <row r="221" spans="1:11">
      <c r="B221" s="71"/>
      <c r="C221" s="71"/>
      <c r="D221" s="104"/>
      <c r="E221" s="71"/>
      <c r="F221" s="71"/>
      <c r="G221" s="71"/>
      <c r="H221" s="71"/>
      <c r="I221" s="71"/>
      <c r="J221" s="864" t="s">
        <v>359</v>
      </c>
      <c r="K221" s="864"/>
    </row>
    <row r="222" spans="1:11">
      <c r="B222" s="71"/>
      <c r="C222" s="71"/>
      <c r="D222" s="104"/>
      <c r="E222" s="71"/>
      <c r="F222" s="71"/>
      <c r="G222" s="71"/>
      <c r="H222" s="71"/>
      <c r="I222" s="71"/>
      <c r="J222" s="71"/>
      <c r="K222" s="105"/>
    </row>
    <row r="223" spans="1:11">
      <c r="B223" s="104" t="s">
        <v>0</v>
      </c>
      <c r="C223" s="71"/>
      <c r="D223" s="78" t="s">
        <v>1</v>
      </c>
      <c r="E223" s="71"/>
      <c r="F223" s="71"/>
      <c r="G223" s="71"/>
      <c r="H223" s="71"/>
      <c r="I223" s="71"/>
      <c r="J223" s="71"/>
      <c r="K223" s="121" t="str">
        <f>K4</f>
        <v>Actuals - For the 12 months ended 12/31/2024</v>
      </c>
    </row>
    <row r="224" spans="1:11">
      <c r="B224" s="71"/>
      <c r="C224" s="107"/>
      <c r="D224" s="108" t="s">
        <v>3</v>
      </c>
      <c r="E224" s="107"/>
      <c r="F224" s="107"/>
      <c r="G224" s="107"/>
      <c r="H224" s="71"/>
      <c r="I224" s="71"/>
      <c r="J224" s="71"/>
      <c r="K224" s="71"/>
    </row>
    <row r="225" spans="1:11">
      <c r="A225" s="78"/>
      <c r="C225" s="78"/>
      <c r="D225" s="107"/>
      <c r="E225" s="107"/>
      <c r="F225" s="107"/>
      <c r="G225" s="107"/>
      <c r="H225" s="71"/>
      <c r="I225" s="152"/>
      <c r="K225" s="107"/>
    </row>
    <row r="226" spans="1:11">
      <c r="A226" s="78"/>
      <c r="C226" s="78"/>
      <c r="D226" s="171" t="str">
        <f>C7</f>
        <v>Cheyenne Light, Fuel &amp; Power</v>
      </c>
      <c r="E226" s="107"/>
      <c r="F226" s="107"/>
      <c r="G226" s="107"/>
      <c r="H226" s="71"/>
      <c r="I226" s="152"/>
      <c r="K226" s="107"/>
    </row>
    <row r="227" spans="1:11">
      <c r="A227" s="78"/>
      <c r="C227" s="78"/>
      <c r="D227" s="107"/>
      <c r="E227" s="107"/>
      <c r="F227" s="107"/>
      <c r="G227" s="107"/>
      <c r="H227" s="71"/>
      <c r="I227" s="152"/>
      <c r="K227" s="107"/>
    </row>
    <row r="228" spans="1:11">
      <c r="A228" s="78"/>
      <c r="B228" s="71" t="s">
        <v>120</v>
      </c>
      <c r="C228" s="78"/>
      <c r="D228" s="107"/>
      <c r="E228" s="107"/>
      <c r="F228" s="107"/>
      <c r="G228" s="107"/>
      <c r="H228" s="71"/>
      <c r="I228" s="107"/>
      <c r="J228" s="71"/>
      <c r="K228" s="107"/>
    </row>
    <row r="229" spans="1:11">
      <c r="A229" s="78"/>
      <c r="B229" s="172" t="s">
        <v>119</v>
      </c>
      <c r="C229" s="78"/>
      <c r="D229" s="107"/>
      <c r="E229" s="107"/>
      <c r="F229" s="107"/>
      <c r="G229" s="107"/>
      <c r="H229" s="71"/>
      <c r="I229" s="107"/>
      <c r="J229" s="71"/>
      <c r="K229" s="107"/>
    </row>
    <row r="230" spans="1:11">
      <c r="A230" s="78" t="s">
        <v>77</v>
      </c>
      <c r="B230" s="71"/>
      <c r="C230" s="71"/>
      <c r="D230" s="107"/>
      <c r="E230" s="107"/>
      <c r="F230" s="107"/>
      <c r="G230" s="107"/>
      <c r="H230" s="71"/>
      <c r="I230" s="107"/>
      <c r="J230" s="71"/>
      <c r="K230" s="107"/>
    </row>
    <row r="231" spans="1:11" ht="13.8" thickBot="1">
      <c r="A231" s="111" t="s">
        <v>78</v>
      </c>
      <c r="B231" s="71"/>
      <c r="C231" s="71"/>
      <c r="D231" s="107"/>
      <c r="E231" s="107"/>
      <c r="F231" s="107"/>
      <c r="G231" s="107"/>
      <c r="H231" s="71"/>
      <c r="I231" s="107"/>
      <c r="J231" s="71"/>
      <c r="K231" s="107"/>
    </row>
    <row r="232" spans="1:11">
      <c r="A232" s="79" t="s">
        <v>79</v>
      </c>
      <c r="B232" s="82" t="s">
        <v>128</v>
      </c>
      <c r="C232" s="83"/>
      <c r="D232" s="84"/>
      <c r="E232" s="84"/>
      <c r="F232" s="84"/>
      <c r="G232" s="84"/>
      <c r="H232" s="83"/>
      <c r="I232" s="84"/>
      <c r="J232" s="83"/>
      <c r="K232" s="84"/>
    </row>
    <row r="233" spans="1:11" ht="30.75" customHeight="1">
      <c r="A233" s="79" t="s">
        <v>80</v>
      </c>
      <c r="B233" s="869" t="s">
        <v>999</v>
      </c>
      <c r="C233" s="869"/>
      <c r="D233" s="869"/>
      <c r="E233" s="869"/>
      <c r="F233" s="869"/>
      <c r="G233" s="869"/>
      <c r="H233" s="869"/>
      <c r="I233" s="869"/>
      <c r="J233" s="869"/>
      <c r="K233" s="869"/>
    </row>
    <row r="234" spans="1:11" ht="26.25" customHeight="1">
      <c r="A234" s="79" t="s">
        <v>81</v>
      </c>
      <c r="B234" s="866" t="s">
        <v>1150</v>
      </c>
      <c r="C234" s="866"/>
      <c r="D234" s="866"/>
      <c r="E234" s="866"/>
      <c r="F234" s="866"/>
      <c r="G234" s="866"/>
      <c r="H234" s="866"/>
      <c r="I234" s="866"/>
      <c r="J234" s="866"/>
      <c r="K234" s="866"/>
    </row>
    <row r="235" spans="1:11" ht="27" customHeight="1">
      <c r="A235" s="79" t="s">
        <v>82</v>
      </c>
      <c r="B235" s="868" t="s">
        <v>1092</v>
      </c>
      <c r="C235" s="868"/>
      <c r="D235" s="868"/>
      <c r="E235" s="868"/>
      <c r="F235" s="868"/>
      <c r="G235" s="868"/>
      <c r="H235" s="868"/>
      <c r="I235" s="868"/>
      <c r="J235" s="83"/>
      <c r="K235" s="83"/>
    </row>
    <row r="236" spans="1:11">
      <c r="A236" s="79" t="s">
        <v>83</v>
      </c>
      <c r="B236" s="866" t="s">
        <v>911</v>
      </c>
      <c r="C236" s="866"/>
      <c r="D236" s="866"/>
      <c r="E236" s="866"/>
      <c r="F236" s="866"/>
      <c r="G236" s="866"/>
      <c r="H236" s="866"/>
      <c r="I236" s="866"/>
      <c r="J236" s="866"/>
      <c r="K236" s="866"/>
    </row>
    <row r="237" spans="1:11" ht="28.5" customHeight="1">
      <c r="A237" s="79" t="s">
        <v>84</v>
      </c>
      <c r="B237" s="867" t="s">
        <v>912</v>
      </c>
      <c r="C237" s="867"/>
      <c r="D237" s="867"/>
      <c r="E237" s="867"/>
      <c r="F237" s="867"/>
      <c r="G237" s="867"/>
      <c r="H237" s="867"/>
      <c r="I237" s="867"/>
      <c r="J237" s="86"/>
      <c r="K237" s="86"/>
    </row>
    <row r="238" spans="1:11">
      <c r="A238" s="79" t="s">
        <v>85</v>
      </c>
      <c r="B238" s="80" t="s">
        <v>913</v>
      </c>
      <c r="C238" s="71"/>
      <c r="D238" s="71"/>
      <c r="E238" s="71"/>
      <c r="F238" s="71"/>
      <c r="G238" s="71"/>
      <c r="H238" s="71"/>
      <c r="I238" s="71"/>
      <c r="J238" s="83"/>
      <c r="K238" s="83"/>
    </row>
    <row r="239" spans="1:11" ht="29.25" customHeight="1">
      <c r="A239" s="79" t="s">
        <v>448</v>
      </c>
      <c r="B239" s="868" t="s">
        <v>914</v>
      </c>
      <c r="C239" s="868"/>
      <c r="D239" s="868"/>
      <c r="E239" s="868"/>
      <c r="F239" s="868"/>
      <c r="G239" s="868"/>
      <c r="H239" s="868"/>
      <c r="I239" s="868"/>
      <c r="J239" s="87"/>
      <c r="K239" s="83"/>
    </row>
    <row r="240" spans="1:11" ht="32.25" customHeight="1">
      <c r="A240" s="79" t="s">
        <v>86</v>
      </c>
      <c r="B240" s="868" t="s">
        <v>915</v>
      </c>
      <c r="C240" s="868"/>
      <c r="D240" s="868"/>
      <c r="E240" s="868"/>
      <c r="F240" s="868"/>
      <c r="G240" s="868"/>
      <c r="H240" s="868"/>
      <c r="I240" s="868"/>
      <c r="J240" s="83"/>
      <c r="K240" s="83"/>
    </row>
    <row r="241" spans="1:11" ht="27.75" customHeight="1">
      <c r="A241" s="79" t="s">
        <v>87</v>
      </c>
      <c r="B241" s="868" t="s">
        <v>1074</v>
      </c>
      <c r="C241" s="868"/>
      <c r="D241" s="868"/>
      <c r="E241" s="868"/>
      <c r="F241" s="868"/>
      <c r="G241" s="868"/>
      <c r="H241" s="868"/>
      <c r="I241" s="868"/>
      <c r="J241" s="83"/>
      <c r="K241" s="83"/>
    </row>
    <row r="242" spans="1:11" ht="54" customHeight="1">
      <c r="A242" s="79" t="s">
        <v>88</v>
      </c>
      <c r="B242" s="866" t="s">
        <v>916</v>
      </c>
      <c r="C242" s="866"/>
      <c r="D242" s="866"/>
      <c r="E242" s="866"/>
      <c r="F242" s="866"/>
      <c r="G242" s="866"/>
      <c r="H242" s="866"/>
      <c r="I242" s="866"/>
      <c r="J242" s="866"/>
      <c r="K242" s="866"/>
    </row>
    <row r="243" spans="1:11">
      <c r="A243" s="85" t="s">
        <v>2</v>
      </c>
      <c r="B243" s="71" t="s">
        <v>449</v>
      </c>
      <c r="C243" s="71" t="s">
        <v>93</v>
      </c>
      <c r="D243" s="173">
        <v>0.21</v>
      </c>
      <c r="E243" s="71" t="s">
        <v>450</v>
      </c>
      <c r="F243" s="71"/>
      <c r="G243" s="71"/>
      <c r="H243" s="71"/>
      <c r="I243" s="71"/>
      <c r="J243" s="71"/>
      <c r="K243" s="71"/>
    </row>
    <row r="244" spans="1:11">
      <c r="A244" s="85"/>
      <c r="B244" s="71"/>
      <c r="C244" s="71" t="s">
        <v>94</v>
      </c>
      <c r="D244" s="173">
        <v>0</v>
      </c>
      <c r="E244" s="71" t="s">
        <v>95</v>
      </c>
      <c r="F244" s="71"/>
      <c r="G244" s="71"/>
      <c r="H244" s="71"/>
      <c r="I244" s="71"/>
      <c r="J244" s="71"/>
      <c r="K244" s="71"/>
    </row>
    <row r="245" spans="1:11">
      <c r="A245" s="85"/>
      <c r="B245" s="71"/>
      <c r="C245" s="71" t="s">
        <v>96</v>
      </c>
      <c r="D245" s="173">
        <v>0</v>
      </c>
      <c r="E245" s="71" t="s">
        <v>97</v>
      </c>
      <c r="F245" s="71"/>
      <c r="G245" s="71"/>
      <c r="H245" s="71"/>
      <c r="I245" s="71"/>
      <c r="J245" s="71"/>
      <c r="K245" s="71"/>
    </row>
    <row r="246" spans="1:11" ht="24.75" customHeight="1">
      <c r="A246" s="79" t="s">
        <v>451</v>
      </c>
      <c r="B246" s="880" t="s">
        <v>124</v>
      </c>
      <c r="C246" s="880"/>
      <c r="D246" s="880"/>
      <c r="E246" s="880"/>
      <c r="F246" s="880"/>
      <c r="G246" s="880"/>
      <c r="H246" s="880"/>
      <c r="I246" s="880"/>
      <c r="J246" s="83"/>
      <c r="K246" s="83"/>
    </row>
    <row r="247" spans="1:11" ht="27" customHeight="1">
      <c r="A247" s="79" t="s">
        <v>360</v>
      </c>
      <c r="B247" s="868" t="s">
        <v>452</v>
      </c>
      <c r="C247" s="868"/>
      <c r="D247" s="868"/>
      <c r="E247" s="868"/>
      <c r="F247" s="868"/>
      <c r="G247" s="868"/>
      <c r="H247" s="868"/>
      <c r="I247" s="868"/>
      <c r="J247" s="88"/>
      <c r="K247" s="83"/>
    </row>
    <row r="248" spans="1:11" ht="25.5" customHeight="1">
      <c r="A248" s="79" t="s">
        <v>453</v>
      </c>
      <c r="B248" s="878" t="s">
        <v>1047</v>
      </c>
      <c r="C248" s="878"/>
      <c r="D248" s="878"/>
      <c r="E248" s="878"/>
      <c r="F248" s="878"/>
      <c r="G248" s="878"/>
      <c r="H248" s="878"/>
      <c r="I248" s="878"/>
      <c r="J248" s="878"/>
      <c r="K248" s="878"/>
    </row>
    <row r="249" spans="1:11">
      <c r="A249" s="79" t="s">
        <v>454</v>
      </c>
      <c r="B249" s="867" t="s">
        <v>468</v>
      </c>
      <c r="C249" s="867"/>
      <c r="D249" s="867"/>
      <c r="E249" s="867"/>
      <c r="F249" s="867"/>
      <c r="G249" s="867"/>
      <c r="H249" s="867"/>
      <c r="I249" s="867"/>
      <c r="J249" s="86"/>
      <c r="K249" s="86"/>
    </row>
    <row r="250" spans="1:11">
      <c r="A250" s="79" t="s">
        <v>455</v>
      </c>
      <c r="B250" s="863" t="s">
        <v>1055</v>
      </c>
      <c r="C250" s="863"/>
      <c r="D250" s="863"/>
      <c r="E250" s="863"/>
      <c r="F250" s="863"/>
      <c r="G250" s="863"/>
      <c r="H250" s="863"/>
      <c r="I250" s="863"/>
      <c r="J250" s="863"/>
      <c r="K250" s="863"/>
    </row>
    <row r="251" spans="1:11">
      <c r="A251" s="79" t="s">
        <v>456</v>
      </c>
      <c r="B251" s="870" t="s">
        <v>461</v>
      </c>
      <c r="C251" s="870"/>
      <c r="D251" s="870"/>
      <c r="E251" s="870"/>
      <c r="F251" s="870"/>
      <c r="G251" s="870"/>
      <c r="H251" s="870"/>
      <c r="I251" s="870"/>
      <c r="J251" s="83"/>
      <c r="K251" s="83"/>
    </row>
    <row r="252" spans="1:11" ht="15.75" customHeight="1">
      <c r="A252" s="79" t="s">
        <v>89</v>
      </c>
      <c r="B252" s="881" t="s">
        <v>925</v>
      </c>
      <c r="C252" s="881"/>
      <c r="D252" s="881"/>
      <c r="E252" s="881"/>
      <c r="F252" s="881"/>
      <c r="G252" s="881"/>
      <c r="H252" s="881"/>
      <c r="I252" s="881"/>
      <c r="J252" s="89"/>
      <c r="K252" s="89"/>
    </row>
    <row r="253" spans="1:11" ht="29.25" customHeight="1">
      <c r="A253" s="79" t="s">
        <v>457</v>
      </c>
      <c r="B253" s="879" t="s">
        <v>917</v>
      </c>
      <c r="C253" s="879"/>
      <c r="D253" s="879"/>
      <c r="E253" s="879"/>
      <c r="F253" s="879"/>
      <c r="G253" s="879"/>
      <c r="H253" s="879"/>
      <c r="I253" s="879"/>
      <c r="J253" s="83"/>
      <c r="K253" s="83"/>
    </row>
    <row r="254" spans="1:11" ht="26.25" customHeight="1">
      <c r="A254" s="81" t="s">
        <v>458</v>
      </c>
      <c r="B254" s="862" t="s">
        <v>780</v>
      </c>
      <c r="C254" s="862"/>
      <c r="D254" s="862"/>
      <c r="E254" s="862"/>
      <c r="F254" s="862"/>
      <c r="G254" s="862"/>
      <c r="H254" s="862"/>
      <c r="I254" s="862"/>
      <c r="J254" s="91"/>
      <c r="K254" s="91"/>
    </row>
    <row r="255" spans="1:11" ht="27.75" customHeight="1">
      <c r="A255" s="81" t="s">
        <v>459</v>
      </c>
      <c r="B255" s="876" t="s">
        <v>1102</v>
      </c>
      <c r="C255" s="876"/>
      <c r="D255" s="876"/>
      <c r="E255" s="876"/>
      <c r="F255" s="876"/>
      <c r="G255" s="876"/>
      <c r="H255" s="876"/>
      <c r="I255" s="876"/>
      <c r="J255" s="92"/>
      <c r="K255" s="92"/>
    </row>
    <row r="256" spans="1:11" ht="27.75" customHeight="1">
      <c r="A256" s="81" t="s">
        <v>460</v>
      </c>
      <c r="B256" s="862" t="s">
        <v>744</v>
      </c>
      <c r="C256" s="862"/>
      <c r="D256" s="862"/>
      <c r="E256" s="862"/>
      <c r="F256" s="862"/>
      <c r="G256" s="862"/>
      <c r="H256" s="862"/>
      <c r="I256" s="862"/>
      <c r="J256" s="92"/>
      <c r="K256" s="92"/>
    </row>
    <row r="257" spans="1:11" ht="12.75" customHeight="1">
      <c r="A257" s="81" t="s">
        <v>654</v>
      </c>
      <c r="B257" s="862" t="s">
        <v>655</v>
      </c>
      <c r="C257" s="862"/>
      <c r="D257" s="862"/>
      <c r="E257" s="862"/>
      <c r="F257" s="862"/>
      <c r="G257" s="862"/>
      <c r="H257" s="862"/>
      <c r="I257" s="862"/>
      <c r="J257" s="92"/>
      <c r="K257" s="92"/>
    </row>
    <row r="258" spans="1:11" ht="27.75" customHeight="1">
      <c r="A258" s="81" t="s">
        <v>747</v>
      </c>
      <c r="B258" s="862" t="s">
        <v>918</v>
      </c>
      <c r="C258" s="862"/>
      <c r="D258" s="862"/>
      <c r="E258" s="862"/>
      <c r="F258" s="862"/>
      <c r="G258" s="862"/>
      <c r="H258" s="862"/>
      <c r="I258" s="862"/>
      <c r="J258" s="92"/>
      <c r="K258" s="92"/>
    </row>
    <row r="259" spans="1:11" ht="56.25" customHeight="1">
      <c r="A259" s="81" t="s">
        <v>748</v>
      </c>
      <c r="B259" s="862" t="s">
        <v>919</v>
      </c>
      <c r="C259" s="862"/>
      <c r="D259" s="862"/>
      <c r="E259" s="862"/>
      <c r="F259" s="862"/>
      <c r="G259" s="862"/>
      <c r="H259" s="862"/>
      <c r="I259" s="862"/>
      <c r="J259" s="92"/>
      <c r="K259" s="92"/>
    </row>
    <row r="260" spans="1:11">
      <c r="A260" s="81" t="s">
        <v>1004</v>
      </c>
      <c r="B260" s="862" t="s">
        <v>1005</v>
      </c>
      <c r="C260" s="862"/>
      <c r="D260" s="862"/>
      <c r="E260" s="862"/>
      <c r="F260" s="862"/>
      <c r="G260" s="862"/>
      <c r="H260" s="862"/>
      <c r="I260" s="862"/>
      <c r="J260" s="92"/>
      <c r="K260" s="92"/>
    </row>
    <row r="261" spans="1:11" ht="108.75" customHeight="1">
      <c r="A261" s="81" t="s">
        <v>1085</v>
      </c>
      <c r="B261" s="876" t="s">
        <v>1148</v>
      </c>
      <c r="C261" s="876"/>
      <c r="D261" s="876"/>
      <c r="E261" s="876"/>
      <c r="F261" s="876"/>
      <c r="G261" s="876"/>
      <c r="H261" s="876"/>
      <c r="I261" s="876"/>
      <c r="J261" s="92"/>
      <c r="K261" s="92"/>
    </row>
    <row r="262" spans="1:11">
      <c r="A262" s="90"/>
      <c r="C262" s="92"/>
      <c r="D262" s="92"/>
      <c r="E262" s="92"/>
      <c r="F262" s="92"/>
      <c r="G262" s="92"/>
      <c r="H262" s="92"/>
      <c r="I262" s="92"/>
      <c r="J262" s="92"/>
      <c r="K262" s="92"/>
    </row>
    <row r="263" spans="1:11">
      <c r="A263" s="95"/>
      <c r="B263" s="94"/>
      <c r="C263" s="89"/>
      <c r="D263" s="89"/>
      <c r="E263" s="89"/>
      <c r="F263" s="89"/>
      <c r="G263" s="89"/>
      <c r="H263" s="89"/>
      <c r="I263" s="89"/>
      <c r="J263" s="89"/>
      <c r="K263" s="89"/>
    </row>
    <row r="264" spans="1:11">
      <c r="A264" s="95"/>
      <c r="B264" s="89"/>
      <c r="C264" s="89"/>
      <c r="D264" s="89"/>
      <c r="E264" s="89"/>
      <c r="F264" s="89"/>
      <c r="G264" s="89"/>
      <c r="H264" s="89"/>
      <c r="I264" s="89"/>
      <c r="J264" s="89"/>
      <c r="K264" s="89"/>
    </row>
    <row r="265" spans="1:11">
      <c r="A265" s="93"/>
      <c r="B265" s="877"/>
      <c r="C265" s="877"/>
      <c r="D265" s="877"/>
      <c r="E265" s="877"/>
      <c r="F265" s="877"/>
      <c r="G265" s="877"/>
      <c r="H265" s="877"/>
      <c r="I265" s="877"/>
      <c r="J265" s="96"/>
      <c r="K265" s="96"/>
    </row>
    <row r="266" spans="1:11">
      <c r="A266" s="93"/>
    </row>
    <row r="267" spans="1:11">
      <c r="A267" s="93"/>
    </row>
    <row r="268" spans="1:11">
      <c r="A268" s="90"/>
      <c r="B268" s="97"/>
      <c r="C268" s="97"/>
      <c r="D268" s="97"/>
      <c r="E268" s="97"/>
      <c r="F268" s="97"/>
      <c r="G268" s="97"/>
      <c r="H268" s="98"/>
      <c r="I268" s="99"/>
      <c r="J268" s="100"/>
      <c r="K268" s="100"/>
    </row>
    <row r="269" spans="1:11" ht="25.5" customHeight="1">
      <c r="A269" s="90"/>
      <c r="J269" s="101"/>
      <c r="K269" s="101"/>
    </row>
    <row r="270" spans="1:11">
      <c r="A270" s="90"/>
      <c r="B270" s="89"/>
      <c r="C270" s="89"/>
      <c r="D270" s="89"/>
      <c r="E270" s="89"/>
      <c r="F270" s="89"/>
      <c r="G270" s="89"/>
      <c r="H270" s="89"/>
      <c r="I270" s="89"/>
      <c r="J270" s="89"/>
      <c r="K270" s="89"/>
    </row>
    <row r="271" spans="1:11">
      <c r="A271" s="90"/>
      <c r="B271" s="89"/>
      <c r="C271" s="89"/>
      <c r="D271" s="89"/>
      <c r="E271" s="89"/>
      <c r="F271" s="89"/>
      <c r="G271" s="89"/>
      <c r="H271" s="89"/>
      <c r="I271" s="89"/>
      <c r="J271" s="89"/>
      <c r="K271" s="89"/>
    </row>
    <row r="272" spans="1:11">
      <c r="A272" s="90"/>
      <c r="C272" s="89"/>
      <c r="D272" s="89"/>
      <c r="E272" s="89"/>
      <c r="F272" s="89"/>
      <c r="G272" s="89"/>
      <c r="H272" s="89"/>
      <c r="I272" s="89"/>
      <c r="J272" s="89"/>
      <c r="K272" s="89"/>
    </row>
    <row r="273" spans="1:11">
      <c r="A273" s="93"/>
      <c r="B273" s="875"/>
      <c r="C273" s="875"/>
      <c r="D273" s="875"/>
      <c r="E273" s="875"/>
      <c r="F273" s="875"/>
      <c r="G273" s="875"/>
      <c r="H273" s="875"/>
      <c r="I273" s="875"/>
      <c r="J273" s="89"/>
      <c r="K273" s="89"/>
    </row>
    <row r="274" spans="1:11">
      <c r="A274" s="90"/>
      <c r="B274" s="102"/>
      <c r="C274" s="89"/>
      <c r="D274" s="89"/>
      <c r="E274" s="89"/>
      <c r="F274" s="89"/>
      <c r="G274" s="89"/>
      <c r="H274" s="89"/>
      <c r="I274" s="89"/>
      <c r="J274" s="89"/>
      <c r="K274" s="89"/>
    </row>
    <row r="275" spans="1:11">
      <c r="A275" s="89"/>
      <c r="B275" s="102"/>
      <c r="C275" s="89"/>
      <c r="D275" s="89"/>
      <c r="E275" s="89"/>
      <c r="F275" s="89"/>
      <c r="G275" s="89"/>
      <c r="H275" s="89"/>
      <c r="I275" s="89"/>
      <c r="J275" s="89"/>
      <c r="K275" s="89"/>
    </row>
  </sheetData>
  <sheetProtection formatCells="0" formatColumns="0"/>
  <mergeCells count="43">
    <mergeCell ref="B273:I273"/>
    <mergeCell ref="B235:I235"/>
    <mergeCell ref="B236:K236"/>
    <mergeCell ref="B256:I256"/>
    <mergeCell ref="B260:I260"/>
    <mergeCell ref="B261:I261"/>
    <mergeCell ref="B265:I265"/>
    <mergeCell ref="B248:K248"/>
    <mergeCell ref="B253:I253"/>
    <mergeCell ref="B257:I257"/>
    <mergeCell ref="B255:I255"/>
    <mergeCell ref="B246:I246"/>
    <mergeCell ref="B247:I247"/>
    <mergeCell ref="B249:I249"/>
    <mergeCell ref="B252:I252"/>
    <mergeCell ref="B258:I258"/>
    <mergeCell ref="G161:K161"/>
    <mergeCell ref="A217:C217"/>
    <mergeCell ref="G217:K217"/>
    <mergeCell ref="F157:K157"/>
    <mergeCell ref="I1:K1"/>
    <mergeCell ref="J2:K2"/>
    <mergeCell ref="I158:K158"/>
    <mergeCell ref="I93:K93"/>
    <mergeCell ref="J94:K94"/>
    <mergeCell ref="I32:K32"/>
    <mergeCell ref="J33:K33"/>
    <mergeCell ref="F12:G12"/>
    <mergeCell ref="J159:K159"/>
    <mergeCell ref="B259:I259"/>
    <mergeCell ref="B250:K250"/>
    <mergeCell ref="G219:K219"/>
    <mergeCell ref="I220:K220"/>
    <mergeCell ref="J221:K221"/>
    <mergeCell ref="B242:K242"/>
    <mergeCell ref="B234:K234"/>
    <mergeCell ref="B237:I237"/>
    <mergeCell ref="B239:I239"/>
    <mergeCell ref="B240:I240"/>
    <mergeCell ref="B241:I241"/>
    <mergeCell ref="B254:I254"/>
    <mergeCell ref="B233:K233"/>
    <mergeCell ref="B251:I251"/>
  </mergeCells>
  <pageMargins left="0.5" right="0.25" top="1" bottom="1" header="0.5" footer="0.5"/>
  <pageSetup scale="64" fitToHeight="6" orientation="portrait" r:id="rId1"/>
  <headerFooter alignWithMargins="0"/>
  <rowBreaks count="4" manualBreakCount="4">
    <brk id="31" max="10" man="1"/>
    <brk id="92" max="10" man="1"/>
    <brk id="157" max="10" man="1"/>
    <brk id="219" max="10" man="1"/>
  </rowBreaks>
  <ignoredErrors>
    <ignoredError sqref="C114 G40:I40 B40:C40 B101 C101:I101" numberStoredAsText="1"/>
    <ignoredError sqref="G111 I78:I79" formula="1"/>
    <ignoredError sqref="I32 I158 I93 D191:D193 I22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pageSetUpPr fitToPage="1"/>
  </sheetPr>
  <dimension ref="A1:P177"/>
  <sheetViews>
    <sheetView workbookViewId="0">
      <selection activeCell="A179" sqref="A179"/>
    </sheetView>
  </sheetViews>
  <sheetFormatPr defaultColWidth="8.81640625" defaultRowHeight="13.2"/>
  <cols>
    <col min="1" max="1" width="5.1796875" style="607" customWidth="1"/>
    <col min="2" max="2" width="9.08984375" style="607" customWidth="1"/>
    <col min="3" max="4" width="7.54296875" style="607" customWidth="1"/>
    <col min="5" max="5" width="8.81640625" style="607" customWidth="1"/>
    <col min="6" max="6" width="7.54296875" style="607" customWidth="1"/>
    <col min="7" max="7" width="2.08984375" style="607" customWidth="1"/>
    <col min="8" max="9" width="11.453125" style="607" customWidth="1"/>
    <col min="10" max="10" width="13.453125" style="607" customWidth="1"/>
    <col min="11" max="11" width="1.453125" style="609" customWidth="1"/>
    <col min="12" max="13" width="10.1796875" style="607" bestFit="1" customWidth="1"/>
    <col min="14" max="14" width="10.81640625" style="607" bestFit="1" customWidth="1"/>
    <col min="15" max="16384" width="8.81640625" style="607"/>
  </cols>
  <sheetData>
    <row r="1" spans="1:11" s="606" customFormat="1">
      <c r="A1" s="887" t="s">
        <v>856</v>
      </c>
      <c r="B1" s="887"/>
      <c r="C1" s="887"/>
      <c r="D1" s="887"/>
      <c r="E1" s="887"/>
      <c r="F1" s="887"/>
      <c r="G1" s="887"/>
      <c r="H1" s="887"/>
      <c r="I1" s="887"/>
      <c r="J1" s="887"/>
      <c r="K1" s="887"/>
    </row>
    <row r="2" spans="1:11" s="606" customFormat="1">
      <c r="A2" s="887" t="s">
        <v>204</v>
      </c>
      <c r="B2" s="887"/>
      <c r="C2" s="887"/>
      <c r="D2" s="887"/>
      <c r="E2" s="887"/>
      <c r="F2" s="887"/>
      <c r="G2" s="887"/>
      <c r="H2" s="887"/>
      <c r="I2" s="887"/>
      <c r="J2" s="887"/>
      <c r="K2" s="887"/>
    </row>
    <row r="3" spans="1:11" s="606" customFormat="1">
      <c r="A3" s="888" t="s">
        <v>130</v>
      </c>
      <c r="B3" s="888"/>
      <c r="C3" s="888"/>
      <c r="D3" s="888"/>
      <c r="E3" s="888"/>
      <c r="F3" s="888"/>
      <c r="G3" s="888"/>
      <c r="H3" s="888"/>
      <c r="I3" s="888"/>
      <c r="J3" s="888"/>
      <c r="K3" s="888"/>
    </row>
    <row r="4" spans="1:11" s="606" customFormat="1">
      <c r="A4" s="605"/>
      <c r="B4" s="605"/>
      <c r="C4" s="605"/>
      <c r="D4" s="605"/>
      <c r="E4" s="605"/>
      <c r="F4" s="605"/>
      <c r="G4" s="605"/>
      <c r="H4" s="605"/>
      <c r="I4" s="605"/>
      <c r="J4" s="558" t="s">
        <v>973</v>
      </c>
    </row>
    <row r="5" spans="1:11">
      <c r="I5" s="608" t="s">
        <v>833</v>
      </c>
      <c r="J5" s="729" t="s">
        <v>1171</v>
      </c>
    </row>
    <row r="6" spans="1:11">
      <c r="A6" s="607">
        <v>1</v>
      </c>
      <c r="B6" s="610" t="s">
        <v>834</v>
      </c>
      <c r="H6" s="611"/>
      <c r="I6" s="611"/>
      <c r="J6" s="611"/>
      <c r="K6" s="612"/>
    </row>
    <row r="7" spans="1:11">
      <c r="A7" s="607">
        <f>+A6+1</f>
        <v>2</v>
      </c>
      <c r="B7" s="947" t="s">
        <v>835</v>
      </c>
      <c r="C7" s="948"/>
      <c r="D7" s="948"/>
      <c r="E7" s="948"/>
      <c r="F7" s="949"/>
      <c r="G7" s="613"/>
      <c r="H7" s="947" t="s">
        <v>836</v>
      </c>
      <c r="I7" s="948"/>
      <c r="J7" s="949"/>
      <c r="K7" s="612"/>
    </row>
    <row r="8" spans="1:11">
      <c r="B8" s="614" t="s">
        <v>79</v>
      </c>
      <c r="C8" s="614" t="s">
        <v>80</v>
      </c>
      <c r="D8" s="614" t="s">
        <v>81</v>
      </c>
      <c r="E8" s="614" t="s">
        <v>82</v>
      </c>
      <c r="F8" s="614" t="s">
        <v>83</v>
      </c>
      <c r="G8" s="613"/>
      <c r="H8" s="614" t="s">
        <v>84</v>
      </c>
      <c r="I8" s="614" t="s">
        <v>85</v>
      </c>
      <c r="J8" s="614" t="s">
        <v>448</v>
      </c>
      <c r="K8" s="612"/>
    </row>
    <row r="9" spans="1:11" ht="52.8">
      <c r="A9" s="607">
        <f>+A7+1</f>
        <v>3</v>
      </c>
      <c r="B9" s="615" t="s">
        <v>268</v>
      </c>
      <c r="C9" s="615" t="s">
        <v>837</v>
      </c>
      <c r="D9" s="615" t="s">
        <v>838</v>
      </c>
      <c r="E9" s="615" t="s">
        <v>839</v>
      </c>
      <c r="F9" s="615" t="s">
        <v>840</v>
      </c>
      <c r="G9" s="616"/>
      <c r="H9" s="615" t="s">
        <v>841</v>
      </c>
      <c r="I9" s="615" t="s">
        <v>842</v>
      </c>
      <c r="J9" s="615" t="s">
        <v>843</v>
      </c>
      <c r="K9" s="616"/>
    </row>
    <row r="10" spans="1:11">
      <c r="A10" s="607">
        <f t="shared" ref="A10:A24" si="0">+A9+1</f>
        <v>4</v>
      </c>
      <c r="C10" s="616"/>
      <c r="D10" s="616"/>
      <c r="E10" s="616"/>
      <c r="F10" s="616"/>
      <c r="G10" s="616"/>
      <c r="H10" s="616"/>
      <c r="I10" s="616"/>
      <c r="J10" s="616"/>
      <c r="K10" s="616"/>
    </row>
    <row r="11" spans="1:11">
      <c r="A11" s="607">
        <f t="shared" si="0"/>
        <v>5</v>
      </c>
      <c r="B11" s="617" t="s">
        <v>844</v>
      </c>
      <c r="C11" s="618"/>
      <c r="D11" s="619"/>
      <c r="E11" s="619"/>
      <c r="F11" s="619"/>
      <c r="G11" s="619"/>
      <c r="H11" s="620"/>
      <c r="I11" s="620"/>
      <c r="J11" s="621">
        <v>0</v>
      </c>
      <c r="K11" s="622"/>
    </row>
    <row r="12" spans="1:11">
      <c r="A12" s="607">
        <f t="shared" si="0"/>
        <v>6</v>
      </c>
      <c r="B12" s="618" t="s">
        <v>165</v>
      </c>
      <c r="C12" s="623">
        <v>31</v>
      </c>
      <c r="D12" s="730">
        <v>0</v>
      </c>
      <c r="E12" s="730">
        <v>0</v>
      </c>
      <c r="F12" s="556">
        <f>IF(E12=0,0,D12/E12)</f>
        <v>0</v>
      </c>
      <c r="G12" s="552"/>
      <c r="H12" s="621">
        <v>-27360.8475</v>
      </c>
      <c r="I12" s="583">
        <f>+H12*F12</f>
        <v>0</v>
      </c>
      <c r="J12" s="583">
        <f t="shared" ref="J12:J23" si="1">+I12+J11</f>
        <v>0</v>
      </c>
      <c r="K12" s="622"/>
    </row>
    <row r="13" spans="1:11">
      <c r="A13" s="607">
        <f t="shared" si="0"/>
        <v>7</v>
      </c>
      <c r="B13" s="618" t="s">
        <v>166</v>
      </c>
      <c r="C13" s="624">
        <v>28</v>
      </c>
      <c r="D13" s="730">
        <v>0</v>
      </c>
      <c r="E13" s="730">
        <v>0</v>
      </c>
      <c r="F13" s="556">
        <f t="shared" ref="F13:F23" si="2">IF(E13=0,0,D13/E13)</f>
        <v>0</v>
      </c>
      <c r="G13" s="552"/>
      <c r="H13" s="621">
        <v>-27360.8475</v>
      </c>
      <c r="I13" s="583">
        <f t="shared" ref="I13:I23" si="3">+H13*F13</f>
        <v>0</v>
      </c>
      <c r="J13" s="583">
        <f t="shared" si="1"/>
        <v>0</v>
      </c>
      <c r="K13" s="622"/>
    </row>
    <row r="14" spans="1:11">
      <c r="A14" s="607">
        <f t="shared" si="0"/>
        <v>8</v>
      </c>
      <c r="B14" s="618" t="s">
        <v>515</v>
      </c>
      <c r="C14" s="623">
        <v>31</v>
      </c>
      <c r="D14" s="730">
        <v>0</v>
      </c>
      <c r="E14" s="730">
        <v>0</v>
      </c>
      <c r="F14" s="556">
        <f t="shared" si="2"/>
        <v>0</v>
      </c>
      <c r="G14" s="552"/>
      <c r="H14" s="621">
        <v>-27360.8475</v>
      </c>
      <c r="I14" s="583">
        <f t="shared" si="3"/>
        <v>0</v>
      </c>
      <c r="J14" s="583">
        <f t="shared" si="1"/>
        <v>0</v>
      </c>
      <c r="K14" s="622"/>
    </row>
    <row r="15" spans="1:11">
      <c r="A15" s="607">
        <f t="shared" si="0"/>
        <v>9</v>
      </c>
      <c r="B15" s="618" t="s">
        <v>167</v>
      </c>
      <c r="C15" s="623">
        <v>30</v>
      </c>
      <c r="D15" s="730">
        <v>0</v>
      </c>
      <c r="E15" s="730">
        <v>0</v>
      </c>
      <c r="F15" s="556">
        <f t="shared" si="2"/>
        <v>0</v>
      </c>
      <c r="G15" s="552"/>
      <c r="H15" s="621">
        <v>-27360.8475</v>
      </c>
      <c r="I15" s="583">
        <f t="shared" si="3"/>
        <v>0</v>
      </c>
      <c r="J15" s="583">
        <f t="shared" si="1"/>
        <v>0</v>
      </c>
      <c r="K15" s="622"/>
    </row>
    <row r="16" spans="1:11">
      <c r="A16" s="607">
        <f t="shared" si="0"/>
        <v>10</v>
      </c>
      <c r="B16" s="618" t="s">
        <v>168</v>
      </c>
      <c r="C16" s="623">
        <v>31</v>
      </c>
      <c r="D16" s="730">
        <v>0</v>
      </c>
      <c r="E16" s="730">
        <v>0</v>
      </c>
      <c r="F16" s="556">
        <f t="shared" si="2"/>
        <v>0</v>
      </c>
      <c r="G16" s="552"/>
      <c r="H16" s="621">
        <v>-27360.8475</v>
      </c>
      <c r="I16" s="583">
        <f t="shared" si="3"/>
        <v>0</v>
      </c>
      <c r="J16" s="583">
        <f t="shared" si="1"/>
        <v>0</v>
      </c>
      <c r="K16" s="622"/>
    </row>
    <row r="17" spans="1:14">
      <c r="A17" s="607">
        <f t="shared" si="0"/>
        <v>11</v>
      </c>
      <c r="B17" s="618" t="s">
        <v>169</v>
      </c>
      <c r="C17" s="623">
        <v>30</v>
      </c>
      <c r="D17" s="730">
        <v>0</v>
      </c>
      <c r="E17" s="730">
        <v>0</v>
      </c>
      <c r="F17" s="556">
        <f t="shared" si="2"/>
        <v>0</v>
      </c>
      <c r="G17" s="552"/>
      <c r="H17" s="621">
        <v>-27360.8475</v>
      </c>
      <c r="I17" s="583">
        <f t="shared" si="3"/>
        <v>0</v>
      </c>
      <c r="J17" s="583">
        <f t="shared" si="1"/>
        <v>0</v>
      </c>
      <c r="K17" s="622"/>
    </row>
    <row r="18" spans="1:14">
      <c r="A18" s="607">
        <f t="shared" si="0"/>
        <v>12</v>
      </c>
      <c r="B18" s="618" t="s">
        <v>170</v>
      </c>
      <c r="C18" s="623">
        <v>31</v>
      </c>
      <c r="D18" s="730">
        <v>0</v>
      </c>
      <c r="E18" s="730">
        <v>0</v>
      </c>
      <c r="F18" s="556">
        <f t="shared" si="2"/>
        <v>0</v>
      </c>
      <c r="G18" s="552"/>
      <c r="H18" s="621">
        <v>-27360.8475</v>
      </c>
      <c r="I18" s="583">
        <f t="shared" si="3"/>
        <v>0</v>
      </c>
      <c r="J18" s="583">
        <f t="shared" si="1"/>
        <v>0</v>
      </c>
      <c r="K18" s="622"/>
    </row>
    <row r="19" spans="1:14">
      <c r="A19" s="607">
        <f t="shared" si="0"/>
        <v>13</v>
      </c>
      <c r="B19" s="618" t="s">
        <v>516</v>
      </c>
      <c r="C19" s="623">
        <v>31</v>
      </c>
      <c r="D19" s="730">
        <v>0</v>
      </c>
      <c r="E19" s="730">
        <v>0</v>
      </c>
      <c r="F19" s="556">
        <f t="shared" si="2"/>
        <v>0</v>
      </c>
      <c r="G19" s="552"/>
      <c r="H19" s="621">
        <v>-27360.8475</v>
      </c>
      <c r="I19" s="583">
        <f t="shared" si="3"/>
        <v>0</v>
      </c>
      <c r="J19" s="583">
        <f t="shared" si="1"/>
        <v>0</v>
      </c>
      <c r="K19" s="622"/>
    </row>
    <row r="20" spans="1:14">
      <c r="A20" s="607">
        <f t="shared" si="0"/>
        <v>14</v>
      </c>
      <c r="B20" s="618" t="s">
        <v>171</v>
      </c>
      <c r="C20" s="623">
        <v>30</v>
      </c>
      <c r="D20" s="730">
        <v>0</v>
      </c>
      <c r="E20" s="730">
        <v>0</v>
      </c>
      <c r="F20" s="556">
        <f t="shared" si="2"/>
        <v>0</v>
      </c>
      <c r="G20" s="552"/>
      <c r="H20" s="621">
        <v>-27360.8475</v>
      </c>
      <c r="I20" s="583">
        <f t="shared" si="3"/>
        <v>0</v>
      </c>
      <c r="J20" s="583">
        <f t="shared" si="1"/>
        <v>0</v>
      </c>
      <c r="K20" s="622"/>
    </row>
    <row r="21" spans="1:14">
      <c r="A21" s="607">
        <f t="shared" si="0"/>
        <v>15</v>
      </c>
      <c r="B21" s="618" t="s">
        <v>172</v>
      </c>
      <c r="C21" s="623">
        <v>31</v>
      </c>
      <c r="D21" s="730">
        <v>0</v>
      </c>
      <c r="E21" s="730">
        <v>0</v>
      </c>
      <c r="F21" s="556">
        <f t="shared" si="2"/>
        <v>0</v>
      </c>
      <c r="G21" s="552"/>
      <c r="H21" s="621">
        <v>-27360.8475</v>
      </c>
      <c r="I21" s="583">
        <f t="shared" si="3"/>
        <v>0</v>
      </c>
      <c r="J21" s="583">
        <f t="shared" si="1"/>
        <v>0</v>
      </c>
      <c r="K21" s="622"/>
    </row>
    <row r="22" spans="1:14">
      <c r="A22" s="607">
        <f t="shared" si="0"/>
        <v>16</v>
      </c>
      <c r="B22" s="618" t="s">
        <v>173</v>
      </c>
      <c r="C22" s="623">
        <v>30</v>
      </c>
      <c r="D22" s="730">
        <v>0</v>
      </c>
      <c r="E22" s="730">
        <v>0</v>
      </c>
      <c r="F22" s="556">
        <f t="shared" si="2"/>
        <v>0</v>
      </c>
      <c r="G22" s="552"/>
      <c r="H22" s="621">
        <v>-27360.8475</v>
      </c>
      <c r="I22" s="583">
        <f t="shared" si="3"/>
        <v>0</v>
      </c>
      <c r="J22" s="583">
        <f t="shared" si="1"/>
        <v>0</v>
      </c>
      <c r="K22" s="622"/>
    </row>
    <row r="23" spans="1:14">
      <c r="A23" s="607">
        <f t="shared" si="0"/>
        <v>17</v>
      </c>
      <c r="B23" s="618" t="s">
        <v>517</v>
      </c>
      <c r="C23" s="623">
        <v>31</v>
      </c>
      <c r="D23" s="730">
        <v>0</v>
      </c>
      <c r="E23" s="730">
        <v>0</v>
      </c>
      <c r="F23" s="556">
        <f t="shared" si="2"/>
        <v>0</v>
      </c>
      <c r="G23" s="552"/>
      <c r="H23" s="621">
        <v>-27360.8475</v>
      </c>
      <c r="I23" s="583">
        <f t="shared" si="3"/>
        <v>0</v>
      </c>
      <c r="J23" s="583">
        <f t="shared" si="1"/>
        <v>0</v>
      </c>
      <c r="K23" s="622"/>
      <c r="L23" s="641"/>
      <c r="M23" s="643"/>
      <c r="N23" s="641"/>
    </row>
    <row r="24" spans="1:14">
      <c r="A24" s="607">
        <f t="shared" si="0"/>
        <v>18</v>
      </c>
      <c r="B24" s="625"/>
      <c r="C24" s="625" t="s">
        <v>9</v>
      </c>
      <c r="D24" s="625"/>
      <c r="E24" s="625"/>
      <c r="F24" s="626"/>
      <c r="G24" s="619"/>
      <c r="H24" s="627">
        <f>SUM(H12:H23)</f>
        <v>-328330.16999999993</v>
      </c>
      <c r="I24" s="627">
        <f>SUM(I12:I23)</f>
        <v>0</v>
      </c>
      <c r="J24" s="626"/>
      <c r="K24" s="616"/>
    </row>
    <row r="25" spans="1:14">
      <c r="B25" s="628"/>
      <c r="C25" s="628"/>
      <c r="D25" s="628"/>
      <c r="E25" s="628"/>
      <c r="F25" s="629"/>
      <c r="G25" s="629"/>
      <c r="I25" s="630"/>
      <c r="J25" s="629"/>
      <c r="K25" s="616"/>
      <c r="L25" s="641"/>
    </row>
    <row r="26" spans="1:14">
      <c r="A26" s="607">
        <f>+A24+1</f>
        <v>19</v>
      </c>
      <c r="B26" s="607" t="s">
        <v>989</v>
      </c>
      <c r="F26" s="607" t="s">
        <v>1324</v>
      </c>
      <c r="G26" s="629"/>
      <c r="I26" s="629"/>
      <c r="J26" s="642">
        <f>'A3-ADIT'!E15</f>
        <v>27635409</v>
      </c>
    </row>
    <row r="27" spans="1:14">
      <c r="A27" s="607">
        <f>+A26+1</f>
        <v>20</v>
      </c>
      <c r="B27" s="607" t="s">
        <v>1137</v>
      </c>
      <c r="F27" s="607" t="s">
        <v>1325</v>
      </c>
      <c r="G27" s="629"/>
      <c r="I27" s="629"/>
      <c r="J27" s="642">
        <f>J166*-0.21</f>
        <v>6830602.8587999968</v>
      </c>
    </row>
    <row r="28" spans="1:14">
      <c r="A28" s="607">
        <f t="shared" ref="A28" si="4">+A27+1</f>
        <v>21</v>
      </c>
      <c r="B28" s="607" t="s">
        <v>1138</v>
      </c>
      <c r="F28" s="607" t="s">
        <v>990</v>
      </c>
      <c r="G28" s="629"/>
      <c r="I28" s="629"/>
      <c r="J28" s="642">
        <f>J26-J27</f>
        <v>20804806.141200002</v>
      </c>
    </row>
    <row r="29" spans="1:14">
      <c r="A29" s="607">
        <f>+A28+1</f>
        <v>22</v>
      </c>
      <c r="B29" s="607" t="s">
        <v>1139</v>
      </c>
      <c r="F29" s="607" t="s">
        <v>991</v>
      </c>
      <c r="G29" s="629"/>
      <c r="I29" s="629"/>
      <c r="J29" s="642">
        <f>J27</f>
        <v>6830602.8587999968</v>
      </c>
    </row>
    <row r="30" spans="1:14">
      <c r="A30" s="607">
        <f>+A29+1</f>
        <v>23</v>
      </c>
      <c r="B30" s="607" t="s">
        <v>895</v>
      </c>
      <c r="F30" s="607" t="s">
        <v>909</v>
      </c>
      <c r="G30" s="629"/>
      <c r="I30" s="629"/>
      <c r="J30" s="621">
        <v>0</v>
      </c>
    </row>
    <row r="31" spans="1:14">
      <c r="A31" s="607">
        <f>+A30+1</f>
        <v>24</v>
      </c>
      <c r="B31" s="607" t="s">
        <v>1136</v>
      </c>
      <c r="F31" s="607" t="s">
        <v>1326</v>
      </c>
      <c r="G31" s="629"/>
      <c r="I31" s="629"/>
      <c r="J31" s="631">
        <f>J29+J30</f>
        <v>6830602.8587999968</v>
      </c>
    </row>
    <row r="32" spans="1:14">
      <c r="A32" s="607">
        <v>25</v>
      </c>
      <c r="B32" s="607" t="s">
        <v>849</v>
      </c>
      <c r="F32" s="607" t="s">
        <v>1327</v>
      </c>
      <c r="G32" s="629"/>
      <c r="I32" s="616"/>
      <c r="J32" s="632">
        <f>J23</f>
        <v>0</v>
      </c>
    </row>
    <row r="33" spans="1:11">
      <c r="A33" s="607">
        <v>26</v>
      </c>
      <c r="B33" s="607" t="s">
        <v>984</v>
      </c>
      <c r="F33" s="607" t="s">
        <v>1328</v>
      </c>
      <c r="J33" s="643">
        <f>J31+J32</f>
        <v>6830602.8587999968</v>
      </c>
    </row>
    <row r="34" spans="1:11">
      <c r="A34" s="607">
        <v>27</v>
      </c>
      <c r="B34" s="607" t="s">
        <v>1331</v>
      </c>
      <c r="F34" s="607" t="s">
        <v>1329</v>
      </c>
      <c r="J34" s="855">
        <f>'A3.1-EDIT-DDIT'!P44</f>
        <v>7.9579999999999998E-2</v>
      </c>
    </row>
    <row r="35" spans="1:11">
      <c r="A35" s="607">
        <v>28</v>
      </c>
      <c r="B35" s="610" t="s">
        <v>859</v>
      </c>
      <c r="F35" s="607" t="s">
        <v>1330</v>
      </c>
      <c r="J35" s="651">
        <f>J33*J34</f>
        <v>543579.37550330372</v>
      </c>
    </row>
    <row r="36" spans="1:11">
      <c r="J36" s="643"/>
    </row>
    <row r="37" spans="1:11">
      <c r="J37" s="643"/>
    </row>
    <row r="38" spans="1:11" ht="15">
      <c r="A38"/>
      <c r="B38"/>
      <c r="C38"/>
      <c r="D38"/>
      <c r="E38"/>
      <c r="F38"/>
      <c r="G38"/>
      <c r="H38"/>
      <c r="I38"/>
      <c r="J38"/>
    </row>
    <row r="39" spans="1:11">
      <c r="A39" s="946" t="str">
        <f>A1</f>
        <v>Worksheet P5</v>
      </c>
      <c r="B39" s="946"/>
      <c r="C39" s="946"/>
      <c r="D39" s="946"/>
      <c r="E39" s="946"/>
      <c r="F39" s="946"/>
      <c r="G39" s="946"/>
      <c r="H39" s="946"/>
      <c r="I39" s="946"/>
      <c r="J39" s="946"/>
      <c r="K39" s="946"/>
    </row>
    <row r="40" spans="1:11">
      <c r="A40" s="946" t="str">
        <f>A2</f>
        <v>Accumulated Deferred Income Taxes</v>
      </c>
      <c r="B40" s="946"/>
      <c r="C40" s="946"/>
      <c r="D40" s="946"/>
      <c r="E40" s="946"/>
      <c r="F40" s="946"/>
      <c r="G40" s="946"/>
      <c r="H40" s="946"/>
      <c r="I40" s="946"/>
      <c r="J40" s="946"/>
      <c r="K40" s="946"/>
    </row>
    <row r="41" spans="1:11">
      <c r="A41" s="950" t="str">
        <f>A3</f>
        <v>Cheyenne Light, Fuel &amp; Power</v>
      </c>
      <c r="B41" s="950"/>
      <c r="C41" s="950"/>
      <c r="D41" s="950"/>
      <c r="E41" s="950"/>
      <c r="F41" s="950"/>
      <c r="G41" s="950"/>
      <c r="H41" s="950"/>
      <c r="I41" s="950"/>
      <c r="J41" s="950"/>
      <c r="K41" s="950"/>
    </row>
    <row r="42" spans="1:11">
      <c r="J42" s="609" t="s">
        <v>974</v>
      </c>
    </row>
    <row r="43" spans="1:11">
      <c r="B43" s="610"/>
      <c r="J43" s="608"/>
      <c r="K43" s="634"/>
    </row>
    <row r="44" spans="1:11">
      <c r="A44" s="607">
        <f>A35+1</f>
        <v>29</v>
      </c>
      <c r="B44" s="610" t="s">
        <v>852</v>
      </c>
      <c r="H44" s="611"/>
      <c r="I44" s="611"/>
      <c r="J44" s="611"/>
    </row>
    <row r="45" spans="1:11">
      <c r="A45" s="607">
        <f>+A44+1</f>
        <v>30</v>
      </c>
      <c r="B45" s="947" t="s">
        <v>835</v>
      </c>
      <c r="C45" s="948"/>
      <c r="D45" s="948"/>
      <c r="E45" s="948"/>
      <c r="F45" s="949"/>
      <c r="G45" s="613"/>
      <c r="H45" s="947" t="s">
        <v>836</v>
      </c>
      <c r="I45" s="948"/>
      <c r="J45" s="949"/>
    </row>
    <row r="46" spans="1:11">
      <c r="B46" s="614" t="s">
        <v>79</v>
      </c>
      <c r="C46" s="614" t="s">
        <v>80</v>
      </c>
      <c r="D46" s="614" t="s">
        <v>81</v>
      </c>
      <c r="E46" s="614" t="s">
        <v>82</v>
      </c>
      <c r="F46" s="614" t="s">
        <v>83</v>
      </c>
      <c r="G46" s="613"/>
      <c r="H46" s="614" t="s">
        <v>84</v>
      </c>
      <c r="I46" s="614" t="s">
        <v>85</v>
      </c>
      <c r="J46" s="614" t="s">
        <v>448</v>
      </c>
    </row>
    <row r="47" spans="1:11" ht="52.8">
      <c r="A47" s="607">
        <f>+A45+1</f>
        <v>31</v>
      </c>
      <c r="B47" s="615" t="s">
        <v>268</v>
      </c>
      <c r="C47" s="615" t="s">
        <v>837</v>
      </c>
      <c r="D47" s="615" t="s">
        <v>838</v>
      </c>
      <c r="E47" s="615" t="s">
        <v>839</v>
      </c>
      <c r="F47" s="615" t="s">
        <v>840</v>
      </c>
      <c r="G47" s="616"/>
      <c r="H47" s="615" t="s">
        <v>841</v>
      </c>
      <c r="I47" s="615" t="s">
        <v>842</v>
      </c>
      <c r="J47" s="615" t="s">
        <v>843</v>
      </c>
    </row>
    <row r="48" spans="1:11">
      <c r="A48" s="607">
        <f t="shared" ref="A48:A62" si="5">+A47+1</f>
        <v>32</v>
      </c>
      <c r="C48" s="616"/>
      <c r="D48" s="616"/>
      <c r="E48" s="616"/>
      <c r="F48" s="616"/>
      <c r="G48" s="616"/>
      <c r="H48" s="616"/>
      <c r="I48" s="616"/>
      <c r="J48" s="616"/>
    </row>
    <row r="49" spans="1:11">
      <c r="A49" s="607">
        <f t="shared" si="5"/>
        <v>33</v>
      </c>
      <c r="B49" s="617" t="s">
        <v>844</v>
      </c>
      <c r="C49" s="618"/>
      <c r="D49" s="619"/>
      <c r="E49" s="619"/>
      <c r="F49" s="619"/>
      <c r="G49" s="619"/>
      <c r="H49" s="620"/>
      <c r="I49" s="620"/>
      <c r="J49" s="621">
        <v>0</v>
      </c>
      <c r="K49" s="635"/>
    </row>
    <row r="50" spans="1:11">
      <c r="A50" s="607">
        <f t="shared" si="5"/>
        <v>34</v>
      </c>
      <c r="B50" s="618" t="s">
        <v>165</v>
      </c>
      <c r="C50" s="623">
        <v>31</v>
      </c>
      <c r="D50" s="730">
        <v>0</v>
      </c>
      <c r="E50" s="730">
        <v>0</v>
      </c>
      <c r="F50" s="556">
        <f>IF(E50=0,0,D50/E50)</f>
        <v>0</v>
      </c>
      <c r="G50" s="552"/>
      <c r="H50" s="621"/>
      <c r="I50" s="553">
        <f>+H50*F50</f>
        <v>0</v>
      </c>
      <c r="J50" s="553">
        <f t="shared" ref="J50:J61" si="6">+I50+J49</f>
        <v>0</v>
      </c>
    </row>
    <row r="51" spans="1:11">
      <c r="A51" s="607">
        <f t="shared" si="5"/>
        <v>35</v>
      </c>
      <c r="B51" s="618" t="s">
        <v>166</v>
      </c>
      <c r="C51" s="624">
        <v>28</v>
      </c>
      <c r="D51" s="730">
        <v>0</v>
      </c>
      <c r="E51" s="730">
        <v>0</v>
      </c>
      <c r="F51" s="556">
        <f t="shared" ref="F51:F61" si="7">IF(E51=0,0,D51/E51)</f>
        <v>0</v>
      </c>
      <c r="G51" s="552"/>
      <c r="H51" s="621"/>
      <c r="I51" s="553">
        <f t="shared" ref="I51:I61" si="8">+H51*F51</f>
        <v>0</v>
      </c>
      <c r="J51" s="553">
        <f t="shared" si="6"/>
        <v>0</v>
      </c>
    </row>
    <row r="52" spans="1:11">
      <c r="A52" s="607">
        <f t="shared" si="5"/>
        <v>36</v>
      </c>
      <c r="B52" s="618" t="s">
        <v>515</v>
      </c>
      <c r="C52" s="623">
        <v>31</v>
      </c>
      <c r="D52" s="730">
        <v>0</v>
      </c>
      <c r="E52" s="730">
        <v>0</v>
      </c>
      <c r="F52" s="556">
        <f t="shared" si="7"/>
        <v>0</v>
      </c>
      <c r="G52" s="552"/>
      <c r="H52" s="621"/>
      <c r="I52" s="553">
        <f t="shared" si="8"/>
        <v>0</v>
      </c>
      <c r="J52" s="553">
        <f t="shared" si="6"/>
        <v>0</v>
      </c>
    </row>
    <row r="53" spans="1:11">
      <c r="A53" s="607">
        <f t="shared" si="5"/>
        <v>37</v>
      </c>
      <c r="B53" s="618" t="s">
        <v>167</v>
      </c>
      <c r="C53" s="623">
        <v>30</v>
      </c>
      <c r="D53" s="730">
        <v>0</v>
      </c>
      <c r="E53" s="730">
        <v>0</v>
      </c>
      <c r="F53" s="556">
        <f t="shared" si="7"/>
        <v>0</v>
      </c>
      <c r="G53" s="552"/>
      <c r="H53" s="621"/>
      <c r="I53" s="553">
        <f t="shared" si="8"/>
        <v>0</v>
      </c>
      <c r="J53" s="553">
        <f t="shared" si="6"/>
        <v>0</v>
      </c>
    </row>
    <row r="54" spans="1:11">
      <c r="A54" s="607">
        <f t="shared" si="5"/>
        <v>38</v>
      </c>
      <c r="B54" s="618" t="s">
        <v>168</v>
      </c>
      <c r="C54" s="623">
        <v>31</v>
      </c>
      <c r="D54" s="730">
        <v>0</v>
      </c>
      <c r="E54" s="730">
        <v>0</v>
      </c>
      <c r="F54" s="556">
        <f t="shared" si="7"/>
        <v>0</v>
      </c>
      <c r="G54" s="552"/>
      <c r="H54" s="621"/>
      <c r="I54" s="553">
        <f t="shared" si="8"/>
        <v>0</v>
      </c>
      <c r="J54" s="553">
        <f t="shared" si="6"/>
        <v>0</v>
      </c>
    </row>
    <row r="55" spans="1:11">
      <c r="A55" s="607">
        <f t="shared" si="5"/>
        <v>39</v>
      </c>
      <c r="B55" s="618" t="s">
        <v>169</v>
      </c>
      <c r="C55" s="623">
        <v>30</v>
      </c>
      <c r="D55" s="730">
        <v>0</v>
      </c>
      <c r="E55" s="730">
        <v>0</v>
      </c>
      <c r="F55" s="556">
        <f t="shared" si="7"/>
        <v>0</v>
      </c>
      <c r="G55" s="552"/>
      <c r="H55" s="621"/>
      <c r="I55" s="553">
        <f t="shared" si="8"/>
        <v>0</v>
      </c>
      <c r="J55" s="553">
        <f t="shared" si="6"/>
        <v>0</v>
      </c>
    </row>
    <row r="56" spans="1:11">
      <c r="A56" s="607">
        <f t="shared" si="5"/>
        <v>40</v>
      </c>
      <c r="B56" s="618" t="s">
        <v>170</v>
      </c>
      <c r="C56" s="623">
        <v>31</v>
      </c>
      <c r="D56" s="730">
        <v>0</v>
      </c>
      <c r="E56" s="730">
        <v>0</v>
      </c>
      <c r="F56" s="556">
        <f t="shared" si="7"/>
        <v>0</v>
      </c>
      <c r="G56" s="552"/>
      <c r="H56" s="621"/>
      <c r="I56" s="553">
        <f t="shared" si="8"/>
        <v>0</v>
      </c>
      <c r="J56" s="553">
        <f t="shared" si="6"/>
        <v>0</v>
      </c>
    </row>
    <row r="57" spans="1:11">
      <c r="A57" s="607">
        <f t="shared" si="5"/>
        <v>41</v>
      </c>
      <c r="B57" s="618" t="s">
        <v>516</v>
      </c>
      <c r="C57" s="623">
        <v>31</v>
      </c>
      <c r="D57" s="730">
        <v>0</v>
      </c>
      <c r="E57" s="730">
        <v>0</v>
      </c>
      <c r="F57" s="556">
        <f t="shared" si="7"/>
        <v>0</v>
      </c>
      <c r="G57" s="552"/>
      <c r="H57" s="621"/>
      <c r="I57" s="553">
        <f t="shared" si="8"/>
        <v>0</v>
      </c>
      <c r="J57" s="553">
        <f t="shared" si="6"/>
        <v>0</v>
      </c>
    </row>
    <row r="58" spans="1:11">
      <c r="A58" s="607">
        <f t="shared" si="5"/>
        <v>42</v>
      </c>
      <c r="B58" s="618" t="s">
        <v>171</v>
      </c>
      <c r="C58" s="623">
        <v>30</v>
      </c>
      <c r="D58" s="730">
        <v>0</v>
      </c>
      <c r="E58" s="730">
        <v>0</v>
      </c>
      <c r="F58" s="556">
        <f t="shared" si="7"/>
        <v>0</v>
      </c>
      <c r="G58" s="552"/>
      <c r="H58" s="621"/>
      <c r="I58" s="553">
        <f t="shared" si="8"/>
        <v>0</v>
      </c>
      <c r="J58" s="553">
        <f t="shared" si="6"/>
        <v>0</v>
      </c>
    </row>
    <row r="59" spans="1:11">
      <c r="A59" s="607">
        <f t="shared" si="5"/>
        <v>43</v>
      </c>
      <c r="B59" s="618" t="s">
        <v>172</v>
      </c>
      <c r="C59" s="623">
        <v>31</v>
      </c>
      <c r="D59" s="730">
        <v>0</v>
      </c>
      <c r="E59" s="730">
        <v>0</v>
      </c>
      <c r="F59" s="556">
        <f t="shared" si="7"/>
        <v>0</v>
      </c>
      <c r="G59" s="552"/>
      <c r="H59" s="621"/>
      <c r="I59" s="553">
        <f t="shared" si="8"/>
        <v>0</v>
      </c>
      <c r="J59" s="553">
        <f t="shared" si="6"/>
        <v>0</v>
      </c>
    </row>
    <row r="60" spans="1:11">
      <c r="A60" s="607">
        <f t="shared" si="5"/>
        <v>44</v>
      </c>
      <c r="B60" s="618" t="s">
        <v>173</v>
      </c>
      <c r="C60" s="623">
        <v>30</v>
      </c>
      <c r="D60" s="730">
        <v>0</v>
      </c>
      <c r="E60" s="730">
        <v>0</v>
      </c>
      <c r="F60" s="556">
        <f t="shared" si="7"/>
        <v>0</v>
      </c>
      <c r="G60" s="552"/>
      <c r="H60" s="621"/>
      <c r="I60" s="553">
        <f t="shared" si="8"/>
        <v>0</v>
      </c>
      <c r="J60" s="553">
        <f t="shared" si="6"/>
        <v>0</v>
      </c>
    </row>
    <row r="61" spans="1:11">
      <c r="A61" s="607">
        <f t="shared" si="5"/>
        <v>45</v>
      </c>
      <c r="B61" s="618" t="s">
        <v>517</v>
      </c>
      <c r="C61" s="623">
        <v>31</v>
      </c>
      <c r="D61" s="730">
        <v>0</v>
      </c>
      <c r="E61" s="730">
        <v>0</v>
      </c>
      <c r="F61" s="556">
        <f t="shared" si="7"/>
        <v>0</v>
      </c>
      <c r="G61" s="552"/>
      <c r="H61" s="621"/>
      <c r="I61" s="553">
        <f t="shared" si="8"/>
        <v>0</v>
      </c>
      <c r="J61" s="553">
        <f t="shared" si="6"/>
        <v>0</v>
      </c>
    </row>
    <row r="62" spans="1:11">
      <c r="A62" s="607">
        <f t="shared" si="5"/>
        <v>46</v>
      </c>
      <c r="B62" s="625"/>
      <c r="C62" s="625" t="s">
        <v>9</v>
      </c>
      <c r="D62" s="625"/>
      <c r="E62" s="625"/>
      <c r="F62" s="626"/>
      <c r="G62" s="619"/>
      <c r="H62" s="627">
        <f>SUM(H50:H61)</f>
        <v>0</v>
      </c>
      <c r="I62" s="627">
        <f>SUM(I50:I61)</f>
        <v>0</v>
      </c>
      <c r="J62" s="626"/>
    </row>
    <row r="63" spans="1:11">
      <c r="B63" s="628"/>
      <c r="C63" s="628"/>
      <c r="D63" s="628"/>
      <c r="E63" s="628"/>
      <c r="F63" s="629"/>
      <c r="G63" s="629"/>
      <c r="I63" s="630"/>
      <c r="J63" s="629"/>
    </row>
    <row r="64" spans="1:11">
      <c r="A64" s="607">
        <f>+A62+1</f>
        <v>47</v>
      </c>
      <c r="B64" s="607" t="s">
        <v>1072</v>
      </c>
      <c r="F64" s="607" t="s">
        <v>853</v>
      </c>
      <c r="G64" s="629"/>
      <c r="I64" s="629"/>
      <c r="J64" s="624">
        <v>0</v>
      </c>
    </row>
    <row r="65" spans="1:11">
      <c r="A65" s="607">
        <f>+A64+1</f>
        <v>48</v>
      </c>
      <c r="B65" s="607" t="s">
        <v>846</v>
      </c>
      <c r="F65" s="607" t="str">
        <f>"(Line "&amp;A64&amp;" less line "&amp;A66&amp;")"</f>
        <v>(Line 47 less line 49)</v>
      </c>
      <c r="G65" s="629"/>
      <c r="I65" s="629"/>
      <c r="J65" s="631">
        <f>+J64-J66</f>
        <v>0</v>
      </c>
    </row>
    <row r="66" spans="1:11">
      <c r="A66" s="607">
        <f t="shared" ref="A66:A72" si="9">+A65+1</f>
        <v>49</v>
      </c>
      <c r="B66" s="607" t="s">
        <v>847</v>
      </c>
      <c r="F66" s="607" t="str">
        <f>"(Line "&amp;A49&amp;", Col H)"</f>
        <v>(Line 33, Col H)</v>
      </c>
      <c r="G66" s="629"/>
      <c r="I66" s="629"/>
      <c r="J66" s="620">
        <f>+J49</f>
        <v>0</v>
      </c>
    </row>
    <row r="67" spans="1:11">
      <c r="A67" s="607">
        <f t="shared" si="9"/>
        <v>50</v>
      </c>
      <c r="B67" s="607" t="s">
        <v>848</v>
      </c>
      <c r="F67" s="607" t="s">
        <v>854</v>
      </c>
      <c r="G67" s="629"/>
      <c r="I67" s="629"/>
      <c r="J67" s="624">
        <v>0</v>
      </c>
    </row>
    <row r="68" spans="1:11">
      <c r="A68" s="607">
        <f t="shared" si="9"/>
        <v>51</v>
      </c>
      <c r="B68" s="607" t="str">
        <f>+B65</f>
        <v>Less non Prorated Items</v>
      </c>
      <c r="F68" s="607" t="str">
        <f>"(Line "&amp;A67&amp;" less line "&amp;A69&amp;")"</f>
        <v>(Line 50 less line 52)</v>
      </c>
      <c r="G68" s="629"/>
      <c r="I68" s="629"/>
      <c r="J68" s="631">
        <f>+J67-J69</f>
        <v>0</v>
      </c>
    </row>
    <row r="69" spans="1:11">
      <c r="A69" s="607">
        <f t="shared" si="9"/>
        <v>52</v>
      </c>
      <c r="B69" s="607" t="s">
        <v>849</v>
      </c>
      <c r="F69" s="607" t="str">
        <f>"(Line "&amp;A61&amp;", Col H)"</f>
        <v>(Line 45, Col H)</v>
      </c>
      <c r="G69" s="629"/>
      <c r="I69" s="629"/>
      <c r="J69" s="631">
        <f>+J61</f>
        <v>0</v>
      </c>
    </row>
    <row r="70" spans="1:11">
      <c r="A70" s="607">
        <f t="shared" si="9"/>
        <v>53</v>
      </c>
      <c r="B70" s="607" t="s">
        <v>767</v>
      </c>
      <c r="F70" s="607" t="str">
        <f>"([Lines "&amp;A66&amp;" + "&amp;A69&amp;"] /2)+([Lines "&amp;A65&amp;" +"&amp;A68&amp;")/2])"</f>
        <v>([Lines 49 + 52] /2)+([Lines 48 +51)/2])</v>
      </c>
      <c r="G70" s="629"/>
      <c r="I70" s="616"/>
      <c r="J70" s="632">
        <f>(J66+J69)/2+(J65+J68)/2</f>
        <v>0</v>
      </c>
    </row>
    <row r="71" spans="1:11">
      <c r="A71" s="607">
        <f t="shared" si="9"/>
        <v>54</v>
      </c>
      <c r="B71" s="607" t="s">
        <v>1194</v>
      </c>
      <c r="G71" s="629"/>
      <c r="I71" s="616"/>
      <c r="J71" s="642">
        <v>0</v>
      </c>
    </row>
    <row r="72" spans="1:11">
      <c r="A72" s="607">
        <f t="shared" si="9"/>
        <v>55</v>
      </c>
      <c r="B72" s="607" t="s">
        <v>859</v>
      </c>
      <c r="F72" s="607" t="str">
        <f>"(Line "&amp;A70&amp;")"</f>
        <v>(Line 53)</v>
      </c>
      <c r="J72" s="633">
        <f>+J70</f>
        <v>0</v>
      </c>
    </row>
    <row r="73" spans="1:11">
      <c r="A73" s="946" t="str">
        <f>A1</f>
        <v>Worksheet P5</v>
      </c>
      <c r="B73" s="946"/>
      <c r="C73" s="946"/>
      <c r="D73" s="946"/>
      <c r="E73" s="946"/>
      <c r="F73" s="946"/>
      <c r="G73" s="946"/>
      <c r="H73" s="946"/>
      <c r="I73" s="946"/>
      <c r="J73" s="946"/>
      <c r="K73" s="946"/>
    </row>
    <row r="74" spans="1:11">
      <c r="A74" s="946" t="str">
        <f>A2</f>
        <v>Accumulated Deferred Income Taxes</v>
      </c>
      <c r="B74" s="946"/>
      <c r="C74" s="946"/>
      <c r="D74" s="946"/>
      <c r="E74" s="946"/>
      <c r="F74" s="946"/>
      <c r="G74" s="946"/>
      <c r="H74" s="946"/>
      <c r="I74" s="946"/>
      <c r="J74" s="946"/>
      <c r="K74" s="946"/>
    </row>
    <row r="75" spans="1:11">
      <c r="A75" s="946" t="str">
        <f>A3</f>
        <v>Cheyenne Light, Fuel &amp; Power</v>
      </c>
      <c r="B75" s="946"/>
      <c r="C75" s="946"/>
      <c r="D75" s="946"/>
      <c r="E75" s="946"/>
      <c r="F75" s="946"/>
      <c r="G75" s="946"/>
      <c r="H75" s="946"/>
      <c r="I75" s="946"/>
      <c r="J75" s="946"/>
      <c r="K75" s="946"/>
    </row>
    <row r="76" spans="1:11">
      <c r="A76" s="636"/>
      <c r="B76" s="636"/>
      <c r="C76" s="636"/>
      <c r="D76" s="636"/>
      <c r="E76" s="636"/>
      <c r="F76" s="636"/>
      <c r="G76" s="636"/>
      <c r="H76" s="636"/>
      <c r="I76" s="636"/>
      <c r="J76" s="609" t="s">
        <v>975</v>
      </c>
      <c r="K76" s="636"/>
    </row>
    <row r="78" spans="1:11">
      <c r="A78" s="607">
        <f>+A72+1</f>
        <v>56</v>
      </c>
      <c r="B78" s="610" t="s">
        <v>850</v>
      </c>
      <c r="H78" s="611"/>
      <c r="I78" s="611"/>
      <c r="J78" s="611"/>
    </row>
    <row r="79" spans="1:11">
      <c r="A79" s="607">
        <f>+A78+1</f>
        <v>57</v>
      </c>
      <c r="B79" s="951" t="s">
        <v>835</v>
      </c>
      <c r="C79" s="952"/>
      <c r="D79" s="952"/>
      <c r="E79" s="952"/>
      <c r="F79" s="953"/>
      <c r="G79" s="613"/>
      <c r="H79" s="947" t="s">
        <v>836</v>
      </c>
      <c r="I79" s="948"/>
      <c r="J79" s="949"/>
    </row>
    <row r="80" spans="1:11">
      <c r="B80" s="614" t="s">
        <v>79</v>
      </c>
      <c r="C80" s="614" t="s">
        <v>80</v>
      </c>
      <c r="D80" s="614" t="s">
        <v>81</v>
      </c>
      <c r="E80" s="614" t="s">
        <v>82</v>
      </c>
      <c r="F80" s="614" t="s">
        <v>83</v>
      </c>
      <c r="G80" s="613"/>
      <c r="H80" s="614" t="s">
        <v>84</v>
      </c>
      <c r="I80" s="614" t="s">
        <v>85</v>
      </c>
      <c r="J80" s="614" t="s">
        <v>448</v>
      </c>
    </row>
    <row r="81" spans="1:16" ht="52.8">
      <c r="A81" s="607">
        <f>+A79+1</f>
        <v>58</v>
      </c>
      <c r="B81" s="615" t="s">
        <v>268</v>
      </c>
      <c r="C81" s="615" t="s">
        <v>837</v>
      </c>
      <c r="D81" s="615" t="s">
        <v>838</v>
      </c>
      <c r="E81" s="615" t="s">
        <v>839</v>
      </c>
      <c r="F81" s="615" t="s">
        <v>840</v>
      </c>
      <c r="G81" s="616"/>
      <c r="H81" s="615" t="s">
        <v>841</v>
      </c>
      <c r="I81" s="615" t="s">
        <v>842</v>
      </c>
      <c r="J81" s="615" t="s">
        <v>843</v>
      </c>
    </row>
    <row r="82" spans="1:16">
      <c r="A82" s="607">
        <f t="shared" ref="A82:A96" si="10">+A81+1</f>
        <v>59</v>
      </c>
      <c r="C82" s="616"/>
      <c r="D82" s="616"/>
      <c r="E82" s="616"/>
      <c r="F82" s="616"/>
      <c r="G82" s="616"/>
      <c r="H82" s="616"/>
      <c r="I82" s="616"/>
      <c r="J82" s="616"/>
      <c r="L82" s="637"/>
      <c r="M82" s="637"/>
      <c r="N82" s="637"/>
      <c r="O82" s="637"/>
      <c r="P82" s="637"/>
    </row>
    <row r="83" spans="1:16">
      <c r="A83" s="607">
        <f>+A82+1</f>
        <v>60</v>
      </c>
      <c r="B83" s="607" t="s">
        <v>847</v>
      </c>
      <c r="C83" s="618"/>
      <c r="D83" s="619"/>
      <c r="E83" s="619"/>
      <c r="F83" s="619"/>
      <c r="G83" s="619"/>
      <c r="H83" s="620"/>
      <c r="I83" s="620"/>
      <c r="J83" s="621">
        <v>0</v>
      </c>
      <c r="L83" s="638"/>
      <c r="M83" s="637"/>
      <c r="N83" s="637"/>
      <c r="O83" s="637"/>
      <c r="P83" s="637"/>
    </row>
    <row r="84" spans="1:16">
      <c r="A84" s="607">
        <f t="shared" si="10"/>
        <v>61</v>
      </c>
      <c r="B84" s="618" t="s">
        <v>165</v>
      </c>
      <c r="C84" s="623">
        <v>31</v>
      </c>
      <c r="D84" s="730">
        <v>0</v>
      </c>
      <c r="E84" s="730">
        <v>0</v>
      </c>
      <c r="F84" s="573">
        <f>IF(E84=0,0,D84/E84)</f>
        <v>0</v>
      </c>
      <c r="G84" s="639"/>
      <c r="H84" s="621">
        <v>0</v>
      </c>
      <c r="I84" s="583">
        <f>+H84*F84</f>
        <v>0</v>
      </c>
      <c r="J84" s="583">
        <f>+I84+J83</f>
        <v>0</v>
      </c>
      <c r="L84" s="554"/>
      <c r="M84" s="555"/>
      <c r="N84" s="637"/>
      <c r="O84" s="637"/>
      <c r="P84" s="637"/>
    </row>
    <row r="85" spans="1:16">
      <c r="A85" s="607">
        <f t="shared" si="10"/>
        <v>62</v>
      </c>
      <c r="B85" s="618" t="s">
        <v>166</v>
      </c>
      <c r="C85" s="624">
        <v>28</v>
      </c>
      <c r="D85" s="730">
        <v>0</v>
      </c>
      <c r="E85" s="730">
        <v>0</v>
      </c>
      <c r="F85" s="573">
        <f t="shared" ref="F85:F95" si="11">IF(E85=0,0,D85/E85)</f>
        <v>0</v>
      </c>
      <c r="G85" s="557"/>
      <c r="H85" s="621">
        <v>0</v>
      </c>
      <c r="I85" s="583">
        <f t="shared" ref="I85:I95" si="12">+H85*F85</f>
        <v>0</v>
      </c>
      <c r="J85" s="583">
        <f t="shared" ref="J85:J95" si="13">+I85+J84</f>
        <v>0</v>
      </c>
      <c r="K85" s="640"/>
      <c r="L85" s="554"/>
      <c r="M85" s="554"/>
      <c r="N85" s="637"/>
      <c r="O85" s="637"/>
      <c r="P85" s="637"/>
    </row>
    <row r="86" spans="1:16">
      <c r="A86" s="607">
        <f t="shared" si="10"/>
        <v>63</v>
      </c>
      <c r="B86" s="618" t="s">
        <v>515</v>
      </c>
      <c r="C86" s="623">
        <v>31</v>
      </c>
      <c r="D86" s="730">
        <v>0</v>
      </c>
      <c r="E86" s="730">
        <v>0</v>
      </c>
      <c r="F86" s="573">
        <f t="shared" si="11"/>
        <v>0</v>
      </c>
      <c r="G86" s="557"/>
      <c r="H86" s="621">
        <v>0</v>
      </c>
      <c r="I86" s="583">
        <f t="shared" si="12"/>
        <v>0</v>
      </c>
      <c r="J86" s="583">
        <f t="shared" si="13"/>
        <v>0</v>
      </c>
      <c r="L86" s="554"/>
      <c r="M86" s="554"/>
      <c r="N86" s="637"/>
      <c r="O86" s="637"/>
      <c r="P86" s="637"/>
    </row>
    <row r="87" spans="1:16">
      <c r="A87" s="607">
        <f t="shared" si="10"/>
        <v>64</v>
      </c>
      <c r="B87" s="618" t="s">
        <v>167</v>
      </c>
      <c r="C87" s="623">
        <v>30</v>
      </c>
      <c r="D87" s="730">
        <v>0</v>
      </c>
      <c r="E87" s="730">
        <v>0</v>
      </c>
      <c r="F87" s="573">
        <f t="shared" si="11"/>
        <v>0</v>
      </c>
      <c r="G87" s="557"/>
      <c r="H87" s="621">
        <v>0</v>
      </c>
      <c r="I87" s="583">
        <f t="shared" si="12"/>
        <v>0</v>
      </c>
      <c r="J87" s="583">
        <f t="shared" si="13"/>
        <v>0</v>
      </c>
      <c r="L87" s="554"/>
      <c r="M87" s="554"/>
      <c r="N87" s="637"/>
      <c r="O87" s="637"/>
      <c r="P87" s="637"/>
    </row>
    <row r="88" spans="1:16">
      <c r="A88" s="607">
        <f t="shared" si="10"/>
        <v>65</v>
      </c>
      <c r="B88" s="618" t="s">
        <v>168</v>
      </c>
      <c r="C88" s="623">
        <v>31</v>
      </c>
      <c r="D88" s="730">
        <v>0</v>
      </c>
      <c r="E88" s="730">
        <v>0</v>
      </c>
      <c r="F88" s="573">
        <f t="shared" si="11"/>
        <v>0</v>
      </c>
      <c r="G88" s="557"/>
      <c r="H88" s="621">
        <v>0</v>
      </c>
      <c r="I88" s="583">
        <f t="shared" si="12"/>
        <v>0</v>
      </c>
      <c r="J88" s="583">
        <f t="shared" si="13"/>
        <v>0</v>
      </c>
      <c r="L88" s="554"/>
      <c r="M88" s="554"/>
      <c r="N88" s="637"/>
      <c r="O88" s="637"/>
      <c r="P88" s="637"/>
    </row>
    <row r="89" spans="1:16">
      <c r="A89" s="607">
        <f t="shared" si="10"/>
        <v>66</v>
      </c>
      <c r="B89" s="618" t="s">
        <v>169</v>
      </c>
      <c r="C89" s="623">
        <v>30</v>
      </c>
      <c r="D89" s="730">
        <v>0</v>
      </c>
      <c r="E89" s="730">
        <v>0</v>
      </c>
      <c r="F89" s="573">
        <f t="shared" si="11"/>
        <v>0</v>
      </c>
      <c r="G89" s="557"/>
      <c r="H89" s="621">
        <v>0</v>
      </c>
      <c r="I89" s="583">
        <f t="shared" si="12"/>
        <v>0</v>
      </c>
      <c r="J89" s="583">
        <f t="shared" si="13"/>
        <v>0</v>
      </c>
      <c r="L89" s="554"/>
      <c r="M89" s="554"/>
      <c r="N89" s="637"/>
      <c r="O89" s="637"/>
      <c r="P89" s="637"/>
    </row>
    <row r="90" spans="1:16">
      <c r="A90" s="607">
        <f t="shared" si="10"/>
        <v>67</v>
      </c>
      <c r="B90" s="618" t="s">
        <v>170</v>
      </c>
      <c r="C90" s="623">
        <v>31</v>
      </c>
      <c r="D90" s="730">
        <v>0</v>
      </c>
      <c r="E90" s="730">
        <v>0</v>
      </c>
      <c r="F90" s="573">
        <f t="shared" si="11"/>
        <v>0</v>
      </c>
      <c r="G90" s="557"/>
      <c r="H90" s="621">
        <v>0</v>
      </c>
      <c r="I90" s="583">
        <f t="shared" si="12"/>
        <v>0</v>
      </c>
      <c r="J90" s="583">
        <f t="shared" si="13"/>
        <v>0</v>
      </c>
      <c r="L90" s="554"/>
      <c r="M90" s="554"/>
      <c r="N90" s="638"/>
      <c r="O90" s="637"/>
      <c r="P90" s="554"/>
    </row>
    <row r="91" spans="1:16">
      <c r="A91" s="607">
        <f t="shared" si="10"/>
        <v>68</v>
      </c>
      <c r="B91" s="618" t="s">
        <v>516</v>
      </c>
      <c r="C91" s="623">
        <v>31</v>
      </c>
      <c r="D91" s="730">
        <v>0</v>
      </c>
      <c r="E91" s="730">
        <v>0</v>
      </c>
      <c r="F91" s="573">
        <f t="shared" si="11"/>
        <v>0</v>
      </c>
      <c r="G91" s="557"/>
      <c r="H91" s="621">
        <v>0</v>
      </c>
      <c r="I91" s="583">
        <f t="shared" si="12"/>
        <v>0</v>
      </c>
      <c r="J91" s="583">
        <f t="shared" si="13"/>
        <v>0</v>
      </c>
      <c r="L91" s="554"/>
      <c r="M91" s="554"/>
      <c r="N91" s="638"/>
      <c r="O91" s="637"/>
      <c r="P91" s="554"/>
    </row>
    <row r="92" spans="1:16">
      <c r="A92" s="607">
        <f t="shared" si="10"/>
        <v>69</v>
      </c>
      <c r="B92" s="618" t="s">
        <v>171</v>
      </c>
      <c r="C92" s="623">
        <v>30</v>
      </c>
      <c r="D92" s="730">
        <v>0</v>
      </c>
      <c r="E92" s="730">
        <v>0</v>
      </c>
      <c r="F92" s="573">
        <f t="shared" si="11"/>
        <v>0</v>
      </c>
      <c r="G92" s="557"/>
      <c r="H92" s="621">
        <v>0</v>
      </c>
      <c r="I92" s="583">
        <f t="shared" si="12"/>
        <v>0</v>
      </c>
      <c r="J92" s="583">
        <f t="shared" si="13"/>
        <v>0</v>
      </c>
      <c r="L92" s="554"/>
      <c r="M92" s="554"/>
      <c r="N92" s="638"/>
      <c r="O92" s="637"/>
      <c r="P92" s="554"/>
    </row>
    <row r="93" spans="1:16">
      <c r="A93" s="607">
        <f t="shared" si="10"/>
        <v>70</v>
      </c>
      <c r="B93" s="618" t="s">
        <v>172</v>
      </c>
      <c r="C93" s="623">
        <v>31</v>
      </c>
      <c r="D93" s="730">
        <v>0</v>
      </c>
      <c r="E93" s="730">
        <v>0</v>
      </c>
      <c r="F93" s="573">
        <f t="shared" si="11"/>
        <v>0</v>
      </c>
      <c r="G93" s="557"/>
      <c r="H93" s="621">
        <v>0</v>
      </c>
      <c r="I93" s="583">
        <f t="shared" si="12"/>
        <v>0</v>
      </c>
      <c r="J93" s="583">
        <f t="shared" si="13"/>
        <v>0</v>
      </c>
      <c r="L93" s="554"/>
      <c r="M93" s="554"/>
      <c r="N93" s="638"/>
      <c r="O93" s="637"/>
      <c r="P93" s="554"/>
    </row>
    <row r="94" spans="1:16">
      <c r="A94" s="607">
        <f t="shared" si="10"/>
        <v>71</v>
      </c>
      <c r="B94" s="618" t="s">
        <v>173</v>
      </c>
      <c r="C94" s="623">
        <v>30</v>
      </c>
      <c r="D94" s="730">
        <v>0</v>
      </c>
      <c r="E94" s="730">
        <v>0</v>
      </c>
      <c r="F94" s="573">
        <f t="shared" si="11"/>
        <v>0</v>
      </c>
      <c r="G94" s="557"/>
      <c r="H94" s="621">
        <v>0</v>
      </c>
      <c r="I94" s="583">
        <f t="shared" si="12"/>
        <v>0</v>
      </c>
      <c r="J94" s="583">
        <f t="shared" si="13"/>
        <v>0</v>
      </c>
      <c r="L94" s="554"/>
      <c r="M94" s="554"/>
      <c r="N94" s="638"/>
      <c r="O94" s="637"/>
      <c r="P94" s="554"/>
    </row>
    <row r="95" spans="1:16">
      <c r="A95" s="607">
        <f t="shared" si="10"/>
        <v>72</v>
      </c>
      <c r="B95" s="618" t="s">
        <v>517</v>
      </c>
      <c r="C95" s="623">
        <v>31</v>
      </c>
      <c r="D95" s="730">
        <v>0</v>
      </c>
      <c r="E95" s="730">
        <v>0</v>
      </c>
      <c r="F95" s="573">
        <f t="shared" si="11"/>
        <v>0</v>
      </c>
      <c r="G95" s="557"/>
      <c r="H95" s="621">
        <v>0</v>
      </c>
      <c r="I95" s="583">
        <f t="shared" si="12"/>
        <v>0</v>
      </c>
      <c r="J95" s="583">
        <f t="shared" si="13"/>
        <v>0</v>
      </c>
      <c r="L95" s="554"/>
      <c r="M95" s="554"/>
      <c r="N95" s="638"/>
      <c r="O95" s="637"/>
      <c r="P95" s="554"/>
    </row>
    <row r="96" spans="1:16">
      <c r="A96" s="607">
        <f t="shared" si="10"/>
        <v>73</v>
      </c>
      <c r="B96" s="625"/>
      <c r="C96" s="625" t="s">
        <v>9</v>
      </c>
      <c r="D96" s="625"/>
      <c r="E96" s="625"/>
      <c r="F96" s="626"/>
      <c r="G96" s="619"/>
      <c r="H96" s="627">
        <f>SUM(H84:H95)</f>
        <v>0</v>
      </c>
      <c r="I96" s="627">
        <f>SUM(I84:I95)</f>
        <v>0</v>
      </c>
      <c r="J96" s="626"/>
      <c r="L96" s="641"/>
    </row>
    <row r="97" spans="1:16">
      <c r="B97" s="628"/>
      <c r="C97" s="628"/>
      <c r="D97" s="628"/>
      <c r="E97" s="628"/>
      <c r="F97" s="629"/>
      <c r="G97" s="619"/>
      <c r="H97" s="620"/>
      <c r="I97" s="620"/>
      <c r="J97" s="629"/>
      <c r="L97" s="641"/>
    </row>
    <row r="98" spans="1:16">
      <c r="A98" s="607">
        <f>+A96+1</f>
        <v>74</v>
      </c>
      <c r="B98" s="617" t="s">
        <v>893</v>
      </c>
      <c r="C98" s="616"/>
      <c r="D98" s="616"/>
      <c r="E98" s="616"/>
      <c r="F98" s="617" t="s">
        <v>897</v>
      </c>
      <c r="G98" s="616"/>
      <c r="H98" s="616"/>
      <c r="I98" s="616"/>
      <c r="J98" s="582">
        <f>'A3-ADIT'!E13</f>
        <v>-84866187</v>
      </c>
      <c r="L98" s="637"/>
      <c r="M98" s="637"/>
      <c r="N98" s="637"/>
      <c r="O98" s="637"/>
      <c r="P98" s="637"/>
    </row>
    <row r="99" spans="1:16">
      <c r="A99" s="607">
        <f>A98+1</f>
        <v>75</v>
      </c>
      <c r="B99" s="607" t="s">
        <v>1061</v>
      </c>
      <c r="C99" s="616"/>
      <c r="D99" s="616"/>
      <c r="E99" s="616"/>
      <c r="F99" s="617" t="s">
        <v>1161</v>
      </c>
      <c r="G99" s="616"/>
      <c r="H99" s="616"/>
      <c r="I99" s="616"/>
      <c r="J99" s="717">
        <f>'Proj Att-H'!G234</f>
        <v>0.20603172438633593</v>
      </c>
      <c r="L99" s="637"/>
      <c r="M99" s="637"/>
      <c r="N99" s="637"/>
      <c r="O99" s="637"/>
      <c r="P99" s="637"/>
    </row>
    <row r="100" spans="1:16">
      <c r="A100" s="607">
        <f t="shared" ref="A100:A106" si="14">+A99+1</f>
        <v>76</v>
      </c>
      <c r="B100" s="607" t="s">
        <v>894</v>
      </c>
      <c r="C100" s="616"/>
      <c r="D100" s="616"/>
      <c r="E100" s="616"/>
      <c r="F100" s="617" t="s">
        <v>1332</v>
      </c>
      <c r="G100" s="616"/>
      <c r="H100" s="616"/>
      <c r="I100" s="616"/>
      <c r="J100" s="718">
        <f>J98*J99</f>
        <v>-17485126.849703245</v>
      </c>
      <c r="L100" s="637"/>
      <c r="M100" s="637"/>
      <c r="N100" s="637"/>
      <c r="O100" s="637"/>
      <c r="P100" s="637"/>
    </row>
    <row r="101" spans="1:16">
      <c r="A101" s="607">
        <f t="shared" si="14"/>
        <v>77</v>
      </c>
      <c r="B101" s="607" t="s">
        <v>895</v>
      </c>
      <c r="C101" s="616"/>
      <c r="D101" s="616"/>
      <c r="E101" s="616"/>
      <c r="F101" s="617" t="s">
        <v>1159</v>
      </c>
      <c r="G101" s="616"/>
      <c r="H101" s="616"/>
      <c r="I101" s="616"/>
      <c r="J101" s="718">
        <f>'P1-Trans Plant'!V42</f>
        <v>0</v>
      </c>
      <c r="L101" s="637"/>
      <c r="M101" s="637"/>
      <c r="N101" s="637"/>
      <c r="O101" s="637"/>
      <c r="P101" s="637"/>
    </row>
    <row r="102" spans="1:16">
      <c r="A102" s="607">
        <f t="shared" si="14"/>
        <v>78</v>
      </c>
      <c r="B102" s="607" t="s">
        <v>845</v>
      </c>
      <c r="F102" s="607" t="s">
        <v>1333</v>
      </c>
      <c r="G102" s="629"/>
      <c r="I102" s="629"/>
      <c r="J102" s="642">
        <f>J100+J101</f>
        <v>-17485126.849703245</v>
      </c>
    </row>
    <row r="103" spans="1:16">
      <c r="A103" s="607">
        <f t="shared" si="14"/>
        <v>79</v>
      </c>
      <c r="B103" s="607" t="s">
        <v>849</v>
      </c>
      <c r="F103" s="607" t="str">
        <f>"(Line "&amp;A95&amp;", Col H)"</f>
        <v>(Line 72, Col H)</v>
      </c>
      <c r="G103" s="629"/>
      <c r="I103" s="629"/>
      <c r="J103" s="631">
        <f>+J95</f>
        <v>0</v>
      </c>
    </row>
    <row r="104" spans="1:16">
      <c r="A104" s="607">
        <f t="shared" si="14"/>
        <v>80</v>
      </c>
      <c r="B104" s="607" t="s">
        <v>896</v>
      </c>
      <c r="F104" s="607" t="s">
        <v>1334</v>
      </c>
      <c r="G104" s="629"/>
      <c r="I104" s="616"/>
      <c r="J104" s="632">
        <f>J102+J103</f>
        <v>-17485126.849703245</v>
      </c>
      <c r="L104" s="643"/>
    </row>
    <row r="105" spans="1:16">
      <c r="A105" s="607">
        <f t="shared" si="14"/>
        <v>81</v>
      </c>
      <c r="B105" s="607" t="s">
        <v>1194</v>
      </c>
      <c r="G105" s="629"/>
      <c r="I105" s="616"/>
      <c r="J105" s="642">
        <v>0</v>
      </c>
    </row>
    <row r="106" spans="1:16">
      <c r="A106" s="607">
        <f t="shared" si="14"/>
        <v>82</v>
      </c>
      <c r="B106" s="607" t="s">
        <v>859</v>
      </c>
      <c r="F106" s="607" t="s">
        <v>1335</v>
      </c>
      <c r="J106" s="633">
        <f>+J104</f>
        <v>-17485126.849703245</v>
      </c>
    </row>
    <row r="107" spans="1:16">
      <c r="A107" s="946" t="str">
        <f>A1</f>
        <v>Worksheet P5</v>
      </c>
      <c r="B107" s="946"/>
      <c r="C107" s="946"/>
      <c r="D107" s="946"/>
      <c r="E107" s="946"/>
      <c r="F107" s="946"/>
      <c r="G107" s="946"/>
      <c r="H107" s="946"/>
      <c r="I107" s="946"/>
      <c r="J107" s="946"/>
      <c r="K107" s="946"/>
    </row>
    <row r="108" spans="1:16">
      <c r="A108" s="946" t="str">
        <f>A2</f>
        <v>Accumulated Deferred Income Taxes</v>
      </c>
      <c r="B108" s="946"/>
      <c r="C108" s="946"/>
      <c r="D108" s="946"/>
      <c r="E108" s="946"/>
      <c r="F108" s="946"/>
      <c r="G108" s="946"/>
      <c r="H108" s="946"/>
      <c r="I108" s="946"/>
      <c r="J108" s="946"/>
      <c r="K108" s="946"/>
    </row>
    <row r="109" spans="1:16">
      <c r="A109" s="946" t="str">
        <f>A3</f>
        <v>Cheyenne Light, Fuel &amp; Power</v>
      </c>
      <c r="B109" s="946"/>
      <c r="C109" s="946"/>
      <c r="D109" s="946"/>
      <c r="E109" s="946"/>
      <c r="F109" s="946"/>
      <c r="G109" s="946"/>
      <c r="H109" s="946"/>
      <c r="I109" s="946"/>
      <c r="J109" s="946"/>
      <c r="K109" s="946"/>
    </row>
    <row r="110" spans="1:16">
      <c r="J110" s="609" t="s">
        <v>976</v>
      </c>
    </row>
    <row r="111" spans="1:16">
      <c r="A111" s="644"/>
      <c r="B111" s="644"/>
      <c r="C111" s="644"/>
      <c r="D111" s="644"/>
      <c r="E111" s="644"/>
      <c r="F111" s="644"/>
      <c r="G111" s="644"/>
      <c r="H111" s="644"/>
    </row>
    <row r="112" spans="1:16">
      <c r="A112" s="607">
        <f>A106+1</f>
        <v>83</v>
      </c>
      <c r="B112" s="610" t="s">
        <v>851</v>
      </c>
      <c r="H112" s="611"/>
      <c r="I112" s="611"/>
      <c r="J112" s="611"/>
    </row>
    <row r="113" spans="1:10">
      <c r="A113" s="607">
        <f>+A112+1</f>
        <v>84</v>
      </c>
      <c r="B113" s="947" t="s">
        <v>835</v>
      </c>
      <c r="C113" s="948"/>
      <c r="D113" s="948"/>
      <c r="E113" s="948"/>
      <c r="F113" s="949"/>
      <c r="G113" s="613"/>
      <c r="H113" s="947" t="s">
        <v>836</v>
      </c>
      <c r="I113" s="948"/>
      <c r="J113" s="949"/>
    </row>
    <row r="114" spans="1:10">
      <c r="B114" s="614" t="s">
        <v>79</v>
      </c>
      <c r="C114" s="614" t="s">
        <v>80</v>
      </c>
      <c r="D114" s="614" t="s">
        <v>81</v>
      </c>
      <c r="E114" s="614" t="s">
        <v>82</v>
      </c>
      <c r="F114" s="614" t="s">
        <v>83</v>
      </c>
      <c r="G114" s="613"/>
      <c r="H114" s="614" t="s">
        <v>84</v>
      </c>
      <c r="I114" s="614" t="s">
        <v>85</v>
      </c>
      <c r="J114" s="614" t="s">
        <v>448</v>
      </c>
    </row>
    <row r="115" spans="1:10" ht="52.8">
      <c r="A115" s="607">
        <f>+A113+1</f>
        <v>85</v>
      </c>
      <c r="B115" s="615" t="s">
        <v>268</v>
      </c>
      <c r="C115" s="615" t="s">
        <v>837</v>
      </c>
      <c r="D115" s="615" t="s">
        <v>838</v>
      </c>
      <c r="E115" s="615" t="s">
        <v>839</v>
      </c>
      <c r="F115" s="615" t="s">
        <v>840</v>
      </c>
      <c r="G115" s="616"/>
      <c r="H115" s="615" t="s">
        <v>841</v>
      </c>
      <c r="I115" s="615" t="s">
        <v>842</v>
      </c>
      <c r="J115" s="615" t="s">
        <v>843</v>
      </c>
    </row>
    <row r="116" spans="1:10">
      <c r="A116" s="607">
        <f t="shared" ref="A116:A130" si="15">+A115+1</f>
        <v>86</v>
      </c>
      <c r="C116" s="616"/>
      <c r="D116" s="616"/>
      <c r="E116" s="616"/>
      <c r="F116" s="616"/>
      <c r="G116" s="616"/>
      <c r="H116" s="616"/>
      <c r="I116" s="616"/>
      <c r="J116" s="616"/>
    </row>
    <row r="117" spans="1:10">
      <c r="A117" s="607">
        <f t="shared" si="15"/>
        <v>87</v>
      </c>
      <c r="B117" s="617" t="s">
        <v>844</v>
      </c>
      <c r="C117" s="618"/>
      <c r="D117" s="619"/>
      <c r="E117" s="619"/>
      <c r="F117" s="619"/>
      <c r="G117" s="619"/>
      <c r="H117" s="620"/>
      <c r="I117" s="620"/>
      <c r="J117" s="621">
        <v>0</v>
      </c>
    </row>
    <row r="118" spans="1:10">
      <c r="A118" s="607">
        <f t="shared" si="15"/>
        <v>88</v>
      </c>
      <c r="B118" s="618" t="s">
        <v>165</v>
      </c>
      <c r="C118" s="623">
        <v>31</v>
      </c>
      <c r="D118" s="730">
        <v>0</v>
      </c>
      <c r="E118" s="730">
        <v>0</v>
      </c>
      <c r="F118" s="556">
        <f>IF(E118=0,0,D118/E118)</f>
        <v>0</v>
      </c>
      <c r="G118" s="552"/>
      <c r="H118" s="621">
        <v>0</v>
      </c>
      <c r="I118" s="553">
        <f>+H118*F118</f>
        <v>0</v>
      </c>
      <c r="J118" s="553">
        <f t="shared" ref="J118:J129" si="16">+I118+J117</f>
        <v>0</v>
      </c>
    </row>
    <row r="119" spans="1:10">
      <c r="A119" s="607">
        <f t="shared" si="15"/>
        <v>89</v>
      </c>
      <c r="B119" s="618" t="s">
        <v>166</v>
      </c>
      <c r="C119" s="624">
        <v>28</v>
      </c>
      <c r="D119" s="730">
        <v>0</v>
      </c>
      <c r="E119" s="730">
        <v>0</v>
      </c>
      <c r="F119" s="556">
        <f t="shared" ref="F119:F129" si="17">IF(E119=0,0,D119/E119)</f>
        <v>0</v>
      </c>
      <c r="G119" s="552"/>
      <c r="H119" s="621">
        <v>0</v>
      </c>
      <c r="I119" s="553">
        <f t="shared" ref="I119:I129" si="18">+H119*F119</f>
        <v>0</v>
      </c>
      <c r="J119" s="553">
        <f t="shared" si="16"/>
        <v>0</v>
      </c>
    </row>
    <row r="120" spans="1:10">
      <c r="A120" s="607">
        <f t="shared" si="15"/>
        <v>90</v>
      </c>
      <c r="B120" s="618" t="s">
        <v>515</v>
      </c>
      <c r="C120" s="623">
        <v>31</v>
      </c>
      <c r="D120" s="730">
        <v>0</v>
      </c>
      <c r="E120" s="730">
        <v>0</v>
      </c>
      <c r="F120" s="556">
        <f t="shared" si="17"/>
        <v>0</v>
      </c>
      <c r="G120" s="552"/>
      <c r="H120" s="621">
        <v>0</v>
      </c>
      <c r="I120" s="553">
        <f t="shared" si="18"/>
        <v>0</v>
      </c>
      <c r="J120" s="553">
        <f t="shared" si="16"/>
        <v>0</v>
      </c>
    </row>
    <row r="121" spans="1:10">
      <c r="A121" s="607">
        <f t="shared" si="15"/>
        <v>91</v>
      </c>
      <c r="B121" s="618" t="s">
        <v>167</v>
      </c>
      <c r="C121" s="623">
        <v>30</v>
      </c>
      <c r="D121" s="730">
        <v>0</v>
      </c>
      <c r="E121" s="730">
        <v>0</v>
      </c>
      <c r="F121" s="556">
        <f t="shared" si="17"/>
        <v>0</v>
      </c>
      <c r="G121" s="552"/>
      <c r="H121" s="621">
        <v>0</v>
      </c>
      <c r="I121" s="553">
        <f t="shared" si="18"/>
        <v>0</v>
      </c>
      <c r="J121" s="553">
        <f t="shared" si="16"/>
        <v>0</v>
      </c>
    </row>
    <row r="122" spans="1:10">
      <c r="A122" s="607">
        <f t="shared" si="15"/>
        <v>92</v>
      </c>
      <c r="B122" s="618" t="s">
        <v>168</v>
      </c>
      <c r="C122" s="623">
        <v>31</v>
      </c>
      <c r="D122" s="730">
        <v>0</v>
      </c>
      <c r="E122" s="730">
        <v>0</v>
      </c>
      <c r="F122" s="556">
        <f t="shared" si="17"/>
        <v>0</v>
      </c>
      <c r="G122" s="552"/>
      <c r="H122" s="621">
        <v>0</v>
      </c>
      <c r="I122" s="553">
        <f t="shared" si="18"/>
        <v>0</v>
      </c>
      <c r="J122" s="553">
        <f t="shared" si="16"/>
        <v>0</v>
      </c>
    </row>
    <row r="123" spans="1:10">
      <c r="A123" s="607">
        <f t="shared" si="15"/>
        <v>93</v>
      </c>
      <c r="B123" s="618" t="s">
        <v>169</v>
      </c>
      <c r="C123" s="623">
        <v>30</v>
      </c>
      <c r="D123" s="730">
        <v>0</v>
      </c>
      <c r="E123" s="730">
        <v>0</v>
      </c>
      <c r="F123" s="556">
        <f t="shared" si="17"/>
        <v>0</v>
      </c>
      <c r="G123" s="552"/>
      <c r="H123" s="621">
        <v>0</v>
      </c>
      <c r="I123" s="553">
        <f t="shared" si="18"/>
        <v>0</v>
      </c>
      <c r="J123" s="553">
        <f t="shared" si="16"/>
        <v>0</v>
      </c>
    </row>
    <row r="124" spans="1:10">
      <c r="A124" s="607">
        <f t="shared" si="15"/>
        <v>94</v>
      </c>
      <c r="B124" s="618" t="s">
        <v>170</v>
      </c>
      <c r="C124" s="623">
        <v>31</v>
      </c>
      <c r="D124" s="730">
        <v>0</v>
      </c>
      <c r="E124" s="730">
        <v>0</v>
      </c>
      <c r="F124" s="556">
        <f t="shared" si="17"/>
        <v>0</v>
      </c>
      <c r="G124" s="552"/>
      <c r="H124" s="621">
        <v>0</v>
      </c>
      <c r="I124" s="553">
        <f t="shared" si="18"/>
        <v>0</v>
      </c>
      <c r="J124" s="553">
        <f t="shared" si="16"/>
        <v>0</v>
      </c>
    </row>
    <row r="125" spans="1:10">
      <c r="A125" s="607">
        <f t="shared" si="15"/>
        <v>95</v>
      </c>
      <c r="B125" s="618" t="s">
        <v>516</v>
      </c>
      <c r="C125" s="623">
        <v>31</v>
      </c>
      <c r="D125" s="730">
        <v>0</v>
      </c>
      <c r="E125" s="730">
        <v>0</v>
      </c>
      <c r="F125" s="556">
        <f t="shared" si="17"/>
        <v>0</v>
      </c>
      <c r="G125" s="552"/>
      <c r="H125" s="621">
        <v>0</v>
      </c>
      <c r="I125" s="553">
        <f t="shared" si="18"/>
        <v>0</v>
      </c>
      <c r="J125" s="553">
        <f t="shared" si="16"/>
        <v>0</v>
      </c>
    </row>
    <row r="126" spans="1:10">
      <c r="A126" s="607">
        <f t="shared" si="15"/>
        <v>96</v>
      </c>
      <c r="B126" s="618" t="s">
        <v>171</v>
      </c>
      <c r="C126" s="623">
        <v>30</v>
      </c>
      <c r="D126" s="730">
        <v>0</v>
      </c>
      <c r="E126" s="730">
        <v>0</v>
      </c>
      <c r="F126" s="556">
        <f t="shared" si="17"/>
        <v>0</v>
      </c>
      <c r="G126" s="552"/>
      <c r="H126" s="621">
        <v>0</v>
      </c>
      <c r="I126" s="553">
        <f t="shared" si="18"/>
        <v>0</v>
      </c>
      <c r="J126" s="553">
        <f t="shared" si="16"/>
        <v>0</v>
      </c>
    </row>
    <row r="127" spans="1:10">
      <c r="A127" s="607">
        <f t="shared" si="15"/>
        <v>97</v>
      </c>
      <c r="B127" s="618" t="s">
        <v>172</v>
      </c>
      <c r="C127" s="623">
        <v>31</v>
      </c>
      <c r="D127" s="730">
        <v>0</v>
      </c>
      <c r="E127" s="730">
        <v>0</v>
      </c>
      <c r="F127" s="556">
        <f t="shared" si="17"/>
        <v>0</v>
      </c>
      <c r="G127" s="552"/>
      <c r="H127" s="621">
        <v>0</v>
      </c>
      <c r="I127" s="553">
        <f t="shared" si="18"/>
        <v>0</v>
      </c>
      <c r="J127" s="553">
        <f t="shared" si="16"/>
        <v>0</v>
      </c>
    </row>
    <row r="128" spans="1:10">
      <c r="A128" s="607">
        <f t="shared" si="15"/>
        <v>98</v>
      </c>
      <c r="B128" s="618" t="s">
        <v>173</v>
      </c>
      <c r="C128" s="623">
        <v>30</v>
      </c>
      <c r="D128" s="730">
        <v>0</v>
      </c>
      <c r="E128" s="730">
        <v>0</v>
      </c>
      <c r="F128" s="556">
        <f t="shared" si="17"/>
        <v>0</v>
      </c>
      <c r="G128" s="552"/>
      <c r="H128" s="621">
        <v>0</v>
      </c>
      <c r="I128" s="553">
        <f t="shared" si="18"/>
        <v>0</v>
      </c>
      <c r="J128" s="553">
        <f t="shared" si="16"/>
        <v>0</v>
      </c>
    </row>
    <row r="129" spans="1:11">
      <c r="A129" s="607">
        <f t="shared" si="15"/>
        <v>99</v>
      </c>
      <c r="B129" s="618" t="s">
        <v>517</v>
      </c>
      <c r="C129" s="623">
        <v>31</v>
      </c>
      <c r="D129" s="730">
        <v>0</v>
      </c>
      <c r="E129" s="730">
        <v>0</v>
      </c>
      <c r="F129" s="556">
        <f t="shared" si="17"/>
        <v>0</v>
      </c>
      <c r="G129" s="552"/>
      <c r="H129" s="621">
        <v>0</v>
      </c>
      <c r="I129" s="553">
        <f t="shared" si="18"/>
        <v>0</v>
      </c>
      <c r="J129" s="553">
        <f t="shared" si="16"/>
        <v>0</v>
      </c>
    </row>
    <row r="130" spans="1:11">
      <c r="A130" s="607">
        <f t="shared" si="15"/>
        <v>100</v>
      </c>
      <c r="B130" s="625"/>
      <c r="C130" s="625" t="s">
        <v>9</v>
      </c>
      <c r="D130" s="625"/>
      <c r="E130" s="625"/>
      <c r="F130" s="626"/>
      <c r="G130" s="619"/>
      <c r="H130" s="627">
        <f>SUM(H118:H129)</f>
        <v>0</v>
      </c>
      <c r="I130" s="627">
        <f>SUM(I118:I129)</f>
        <v>0</v>
      </c>
      <c r="J130" s="626"/>
    </row>
    <row r="131" spans="1:11">
      <c r="B131" s="628"/>
      <c r="C131" s="628"/>
      <c r="D131" s="628"/>
      <c r="E131" s="628"/>
      <c r="F131" s="629"/>
      <c r="G131" s="629"/>
      <c r="I131" s="630"/>
      <c r="J131" s="629"/>
    </row>
    <row r="132" spans="1:11">
      <c r="A132" s="607">
        <f>+A130+1</f>
        <v>101</v>
      </c>
      <c r="B132" s="607" t="s">
        <v>845</v>
      </c>
      <c r="F132" s="607" t="s">
        <v>855</v>
      </c>
      <c r="G132" s="629"/>
      <c r="I132" s="629"/>
      <c r="J132" s="624">
        <v>0</v>
      </c>
    </row>
    <row r="133" spans="1:11">
      <c r="A133" s="607">
        <f>+A132+1</f>
        <v>102</v>
      </c>
      <c r="B133" s="607" t="s">
        <v>846</v>
      </c>
      <c r="F133" s="607" t="str">
        <f>"(Line "&amp;A132&amp;" less line "&amp;A134&amp;")"</f>
        <v>(Line 101 less line 103)</v>
      </c>
      <c r="G133" s="629"/>
      <c r="I133" s="629"/>
      <c r="J133" s="631">
        <f>+J132-J134</f>
        <v>0</v>
      </c>
    </row>
    <row r="134" spans="1:11">
      <c r="A134" s="607">
        <f t="shared" ref="A134:A140" si="19">+A133+1</f>
        <v>103</v>
      </c>
      <c r="B134" s="607" t="s">
        <v>847</v>
      </c>
      <c r="F134" s="607" t="str">
        <f>"(Line "&amp;A117&amp;", Col H)"</f>
        <v>(Line 87, Col H)</v>
      </c>
      <c r="G134" s="629"/>
      <c r="I134" s="629"/>
      <c r="J134" s="631">
        <f>+J117</f>
        <v>0</v>
      </c>
    </row>
    <row r="135" spans="1:11">
      <c r="A135" s="607">
        <f t="shared" si="19"/>
        <v>104</v>
      </c>
      <c r="B135" s="607" t="s">
        <v>848</v>
      </c>
      <c r="F135" s="607" t="s">
        <v>1336</v>
      </c>
      <c r="G135" s="629"/>
      <c r="I135" s="629"/>
      <c r="J135" s="642">
        <f>'A3-ADIT'!E14</f>
        <v>-7033965</v>
      </c>
    </row>
    <row r="136" spans="1:11">
      <c r="A136" s="607">
        <f t="shared" si="19"/>
        <v>105</v>
      </c>
      <c r="B136" s="607" t="str">
        <f>+B133</f>
        <v>Less non Prorated Items</v>
      </c>
      <c r="F136" s="607" t="str">
        <f>"(Line "&amp;A135&amp;" less line "&amp;A137&amp;")"</f>
        <v>(Line 104 less line 106)</v>
      </c>
      <c r="G136" s="629"/>
      <c r="I136" s="629"/>
      <c r="J136" s="631">
        <f>+J135-J137</f>
        <v>-7033965</v>
      </c>
    </row>
    <row r="137" spans="1:11">
      <c r="A137" s="607">
        <f t="shared" si="19"/>
        <v>106</v>
      </c>
      <c r="B137" s="607" t="s">
        <v>849</v>
      </c>
      <c r="F137" s="607" t="str">
        <f>"(Line "&amp;A129&amp;", Col H)"</f>
        <v>(Line 99, Col H)</v>
      </c>
      <c r="G137" s="629"/>
      <c r="I137" s="629"/>
      <c r="J137" s="631">
        <f>+J129</f>
        <v>0</v>
      </c>
    </row>
    <row r="138" spans="1:11">
      <c r="A138" s="607">
        <f t="shared" si="19"/>
        <v>107</v>
      </c>
      <c r="B138" s="607" t="s">
        <v>767</v>
      </c>
      <c r="F138" s="607" t="str">
        <f>"([Lines "&amp;A134&amp;" + "&amp;A137&amp;"] /2)+([Lines "&amp;A133&amp;" +"&amp;A136&amp;")/2])"</f>
        <v>([Lines 103 + 106] /2)+([Lines 102 +105)/2])</v>
      </c>
      <c r="G138" s="629"/>
      <c r="I138" s="616"/>
      <c r="J138" s="632">
        <f>(J134+J137)/2+(J133+J136)/2</f>
        <v>-3516982.5</v>
      </c>
    </row>
    <row r="139" spans="1:11">
      <c r="A139" s="607">
        <f t="shared" si="19"/>
        <v>108</v>
      </c>
      <c r="B139" s="607" t="s">
        <v>1194</v>
      </c>
      <c r="G139" s="629"/>
      <c r="I139" s="616"/>
      <c r="J139" s="642">
        <v>0</v>
      </c>
    </row>
    <row r="140" spans="1:11">
      <c r="A140" s="607">
        <f t="shared" si="19"/>
        <v>109</v>
      </c>
      <c r="B140" s="607" t="s">
        <v>859</v>
      </c>
      <c r="F140" s="607" t="str">
        <f>"(Line "&amp;A138&amp;")"</f>
        <v>(Line 107)</v>
      </c>
      <c r="J140" s="633">
        <f>+J138</f>
        <v>-3516982.5</v>
      </c>
    </row>
    <row r="141" spans="1:11">
      <c r="A141" s="946" t="str">
        <f>A39</f>
        <v>Worksheet P5</v>
      </c>
      <c r="B141" s="946"/>
      <c r="C141" s="946"/>
      <c r="D141" s="946"/>
      <c r="E141" s="946"/>
      <c r="F141" s="946"/>
      <c r="G141" s="946"/>
      <c r="H141" s="946"/>
      <c r="I141" s="946"/>
      <c r="J141" s="946"/>
      <c r="K141" s="946"/>
    </row>
    <row r="142" spans="1:11">
      <c r="A142" s="946" t="str">
        <f>"Excess "&amp;A40</f>
        <v>Excess Accumulated Deferred Income Taxes</v>
      </c>
      <c r="B142" s="946"/>
      <c r="C142" s="946"/>
      <c r="D142" s="946"/>
      <c r="E142" s="946"/>
      <c r="F142" s="946"/>
      <c r="G142" s="946"/>
      <c r="H142" s="946"/>
      <c r="I142" s="946"/>
      <c r="J142" s="946"/>
      <c r="K142" s="946"/>
    </row>
    <row r="143" spans="1:11">
      <c r="A143" s="946" t="str">
        <f>A41</f>
        <v>Cheyenne Light, Fuel &amp; Power</v>
      </c>
      <c r="B143" s="946"/>
      <c r="C143" s="946"/>
      <c r="D143" s="946"/>
      <c r="E143" s="946"/>
      <c r="F143" s="946"/>
      <c r="G143" s="946"/>
      <c r="H143" s="946"/>
      <c r="I143" s="946"/>
      <c r="J143" s="946"/>
      <c r="K143" s="946"/>
    </row>
    <row r="144" spans="1:11">
      <c r="J144" s="609" t="s">
        <v>977</v>
      </c>
    </row>
    <row r="145" spans="1:10">
      <c r="A145" s="644"/>
      <c r="B145" s="644"/>
      <c r="C145" s="644"/>
      <c r="D145" s="644"/>
      <c r="E145" s="644"/>
      <c r="F145" s="644"/>
      <c r="G145" s="644"/>
      <c r="H145" s="644"/>
    </row>
    <row r="146" spans="1:10">
      <c r="A146" s="607">
        <f>A140+1</f>
        <v>110</v>
      </c>
      <c r="B146" s="610" t="s">
        <v>1337</v>
      </c>
      <c r="H146" s="611"/>
      <c r="I146" s="611"/>
      <c r="J146" s="611"/>
    </row>
    <row r="147" spans="1:10">
      <c r="A147" s="607">
        <f>+A146+1</f>
        <v>111</v>
      </c>
      <c r="B147" s="947" t="s">
        <v>835</v>
      </c>
      <c r="C147" s="948"/>
      <c r="D147" s="948"/>
      <c r="E147" s="948"/>
      <c r="F147" s="949"/>
      <c r="G147" s="613"/>
      <c r="H147" s="947" t="s">
        <v>836</v>
      </c>
      <c r="I147" s="948"/>
      <c r="J147" s="949"/>
    </row>
    <row r="148" spans="1:10">
      <c r="B148" s="614" t="s">
        <v>79</v>
      </c>
      <c r="C148" s="614" t="s">
        <v>80</v>
      </c>
      <c r="D148" s="614" t="s">
        <v>81</v>
      </c>
      <c r="E148" s="614" t="s">
        <v>82</v>
      </c>
      <c r="F148" s="614" t="s">
        <v>83</v>
      </c>
      <c r="G148" s="613"/>
      <c r="H148" s="614" t="s">
        <v>84</v>
      </c>
      <c r="I148" s="614" t="s">
        <v>85</v>
      </c>
      <c r="J148" s="614" t="s">
        <v>448</v>
      </c>
    </row>
    <row r="149" spans="1:10" ht="52.8">
      <c r="A149" s="607">
        <f>+A147+1</f>
        <v>112</v>
      </c>
      <c r="B149" s="615" t="s">
        <v>268</v>
      </c>
      <c r="C149" s="615" t="s">
        <v>837</v>
      </c>
      <c r="D149" s="615" t="s">
        <v>838</v>
      </c>
      <c r="E149" s="615" t="s">
        <v>839</v>
      </c>
      <c r="F149" s="615" t="s">
        <v>840</v>
      </c>
      <c r="G149" s="616"/>
      <c r="H149" s="615" t="s">
        <v>841</v>
      </c>
      <c r="I149" s="615" t="s">
        <v>842</v>
      </c>
      <c r="J149" s="615" t="s">
        <v>843</v>
      </c>
    </row>
    <row r="150" spans="1:10">
      <c r="A150" s="607">
        <f t="shared" ref="A150:A164" si="20">+A149+1</f>
        <v>113</v>
      </c>
      <c r="C150" s="616"/>
      <c r="D150" s="616"/>
      <c r="E150" s="616"/>
      <c r="F150" s="616"/>
      <c r="G150" s="616"/>
      <c r="H150" s="616"/>
      <c r="I150" s="616"/>
      <c r="J150" s="616"/>
    </row>
    <row r="151" spans="1:10">
      <c r="A151" s="607">
        <f t="shared" si="20"/>
        <v>114</v>
      </c>
      <c r="B151" s="617" t="s">
        <v>844</v>
      </c>
      <c r="C151" s="618"/>
      <c r="D151" s="619"/>
      <c r="E151" s="619"/>
      <c r="F151" s="619"/>
      <c r="G151" s="619"/>
      <c r="H151" s="620"/>
      <c r="I151" s="620"/>
      <c r="J151" s="621"/>
    </row>
    <row r="152" spans="1:10">
      <c r="A152" s="607">
        <f t="shared" si="20"/>
        <v>115</v>
      </c>
      <c r="B152" s="618" t="s">
        <v>165</v>
      </c>
      <c r="C152" s="623">
        <v>31</v>
      </c>
      <c r="D152" s="730">
        <v>0</v>
      </c>
      <c r="E152" s="730">
        <v>0</v>
      </c>
      <c r="F152" s="556">
        <f>IF(E152=0,0,D152/E152)</f>
        <v>0</v>
      </c>
      <c r="G152" s="552"/>
      <c r="H152" s="645">
        <f>'A3.1-EDIT-DDIT'!H40/12</f>
        <v>205741.03586497891</v>
      </c>
      <c r="I152" s="553">
        <f>+H152*F152</f>
        <v>0</v>
      </c>
      <c r="J152" s="583">
        <f t="shared" ref="J152:J163" si="21">+I152+J151</f>
        <v>0</v>
      </c>
    </row>
    <row r="153" spans="1:10">
      <c r="A153" s="607">
        <f t="shared" si="20"/>
        <v>116</v>
      </c>
      <c r="B153" s="618" t="s">
        <v>166</v>
      </c>
      <c r="C153" s="624">
        <v>28</v>
      </c>
      <c r="D153" s="730">
        <v>0</v>
      </c>
      <c r="E153" s="730">
        <v>0</v>
      </c>
      <c r="F153" s="556">
        <f t="shared" ref="F153:F163" si="22">IF(E153=0,0,D153/E153)</f>
        <v>0</v>
      </c>
      <c r="G153" s="552"/>
      <c r="H153" s="645">
        <f>H152</f>
        <v>205741.03586497891</v>
      </c>
      <c r="I153" s="553">
        <f t="shared" ref="I153:I163" si="23">+H153*F153</f>
        <v>0</v>
      </c>
      <c r="J153" s="583">
        <f t="shared" si="21"/>
        <v>0</v>
      </c>
    </row>
    <row r="154" spans="1:10">
      <c r="A154" s="607">
        <f t="shared" si="20"/>
        <v>117</v>
      </c>
      <c r="B154" s="618" t="s">
        <v>515</v>
      </c>
      <c r="C154" s="623">
        <v>31</v>
      </c>
      <c r="D154" s="730">
        <v>0</v>
      </c>
      <c r="E154" s="730">
        <v>0</v>
      </c>
      <c r="F154" s="556">
        <f t="shared" si="22"/>
        <v>0</v>
      </c>
      <c r="G154" s="552"/>
      <c r="H154" s="645">
        <f t="shared" ref="H154:H163" si="24">H153</f>
        <v>205741.03586497891</v>
      </c>
      <c r="I154" s="553">
        <f t="shared" si="23"/>
        <v>0</v>
      </c>
      <c r="J154" s="583">
        <f t="shared" si="21"/>
        <v>0</v>
      </c>
    </row>
    <row r="155" spans="1:10">
      <c r="A155" s="607">
        <f t="shared" si="20"/>
        <v>118</v>
      </c>
      <c r="B155" s="618" t="s">
        <v>167</v>
      </c>
      <c r="C155" s="623">
        <v>30</v>
      </c>
      <c r="D155" s="730">
        <v>0</v>
      </c>
      <c r="E155" s="730">
        <v>0</v>
      </c>
      <c r="F155" s="556">
        <f t="shared" si="22"/>
        <v>0</v>
      </c>
      <c r="G155" s="552"/>
      <c r="H155" s="645">
        <f t="shared" si="24"/>
        <v>205741.03586497891</v>
      </c>
      <c r="I155" s="553">
        <f t="shared" si="23"/>
        <v>0</v>
      </c>
      <c r="J155" s="583">
        <f t="shared" si="21"/>
        <v>0</v>
      </c>
    </row>
    <row r="156" spans="1:10">
      <c r="A156" s="607">
        <f t="shared" si="20"/>
        <v>119</v>
      </c>
      <c r="B156" s="618" t="s">
        <v>168</v>
      </c>
      <c r="C156" s="623">
        <v>31</v>
      </c>
      <c r="D156" s="730">
        <v>0</v>
      </c>
      <c r="E156" s="730">
        <v>0</v>
      </c>
      <c r="F156" s="556">
        <f t="shared" si="22"/>
        <v>0</v>
      </c>
      <c r="G156" s="552"/>
      <c r="H156" s="645">
        <f t="shared" si="24"/>
        <v>205741.03586497891</v>
      </c>
      <c r="I156" s="553">
        <f t="shared" si="23"/>
        <v>0</v>
      </c>
      <c r="J156" s="583">
        <f t="shared" si="21"/>
        <v>0</v>
      </c>
    </row>
    <row r="157" spans="1:10">
      <c r="A157" s="607">
        <f t="shared" si="20"/>
        <v>120</v>
      </c>
      <c r="B157" s="618" t="s">
        <v>169</v>
      </c>
      <c r="C157" s="623">
        <v>30</v>
      </c>
      <c r="D157" s="730">
        <v>0</v>
      </c>
      <c r="E157" s="730">
        <v>0</v>
      </c>
      <c r="F157" s="556">
        <f t="shared" si="22"/>
        <v>0</v>
      </c>
      <c r="G157" s="552"/>
      <c r="H157" s="645">
        <f t="shared" si="24"/>
        <v>205741.03586497891</v>
      </c>
      <c r="I157" s="553">
        <f t="shared" si="23"/>
        <v>0</v>
      </c>
      <c r="J157" s="583">
        <f t="shared" si="21"/>
        <v>0</v>
      </c>
    </row>
    <row r="158" spans="1:10">
      <c r="A158" s="607">
        <f t="shared" si="20"/>
        <v>121</v>
      </c>
      <c r="B158" s="618" t="s">
        <v>170</v>
      </c>
      <c r="C158" s="623">
        <v>31</v>
      </c>
      <c r="D158" s="730">
        <v>0</v>
      </c>
      <c r="E158" s="730">
        <v>0</v>
      </c>
      <c r="F158" s="556">
        <f t="shared" si="22"/>
        <v>0</v>
      </c>
      <c r="G158" s="552"/>
      <c r="H158" s="645">
        <f t="shared" si="24"/>
        <v>205741.03586497891</v>
      </c>
      <c r="I158" s="553">
        <f t="shared" si="23"/>
        <v>0</v>
      </c>
      <c r="J158" s="583">
        <f t="shared" si="21"/>
        <v>0</v>
      </c>
    </row>
    <row r="159" spans="1:10">
      <c r="A159" s="607">
        <f t="shared" si="20"/>
        <v>122</v>
      </c>
      <c r="B159" s="618" t="s">
        <v>516</v>
      </c>
      <c r="C159" s="623">
        <v>31</v>
      </c>
      <c r="D159" s="730">
        <v>0</v>
      </c>
      <c r="E159" s="730">
        <v>0</v>
      </c>
      <c r="F159" s="556">
        <f t="shared" si="22"/>
        <v>0</v>
      </c>
      <c r="G159" s="552"/>
      <c r="H159" s="645">
        <f t="shared" si="24"/>
        <v>205741.03586497891</v>
      </c>
      <c r="I159" s="553">
        <f t="shared" si="23"/>
        <v>0</v>
      </c>
      <c r="J159" s="583">
        <f t="shared" si="21"/>
        <v>0</v>
      </c>
    </row>
    <row r="160" spans="1:10">
      <c r="A160" s="607">
        <f t="shared" si="20"/>
        <v>123</v>
      </c>
      <c r="B160" s="618" t="s">
        <v>171</v>
      </c>
      <c r="C160" s="623">
        <v>30</v>
      </c>
      <c r="D160" s="730">
        <v>0</v>
      </c>
      <c r="E160" s="730">
        <v>0</v>
      </c>
      <c r="F160" s="556">
        <f t="shared" si="22"/>
        <v>0</v>
      </c>
      <c r="G160" s="552"/>
      <c r="H160" s="645">
        <f t="shared" si="24"/>
        <v>205741.03586497891</v>
      </c>
      <c r="I160" s="553">
        <f t="shared" si="23"/>
        <v>0</v>
      </c>
      <c r="J160" s="583">
        <f t="shared" si="21"/>
        <v>0</v>
      </c>
    </row>
    <row r="161" spans="1:14">
      <c r="A161" s="607">
        <f t="shared" si="20"/>
        <v>124</v>
      </c>
      <c r="B161" s="618" t="s">
        <v>172</v>
      </c>
      <c r="C161" s="623">
        <v>31</v>
      </c>
      <c r="D161" s="730">
        <v>0</v>
      </c>
      <c r="E161" s="730">
        <v>0</v>
      </c>
      <c r="F161" s="556">
        <f t="shared" si="22"/>
        <v>0</v>
      </c>
      <c r="G161" s="552"/>
      <c r="H161" s="645">
        <f t="shared" si="24"/>
        <v>205741.03586497891</v>
      </c>
      <c r="I161" s="553">
        <f t="shared" si="23"/>
        <v>0</v>
      </c>
      <c r="J161" s="583">
        <f t="shared" si="21"/>
        <v>0</v>
      </c>
    </row>
    <row r="162" spans="1:14">
      <c r="A162" s="607">
        <f t="shared" si="20"/>
        <v>125</v>
      </c>
      <c r="B162" s="618" t="s">
        <v>173</v>
      </c>
      <c r="C162" s="623">
        <v>30</v>
      </c>
      <c r="D162" s="730">
        <v>0</v>
      </c>
      <c r="E162" s="730">
        <v>0</v>
      </c>
      <c r="F162" s="556">
        <f t="shared" si="22"/>
        <v>0</v>
      </c>
      <c r="G162" s="552"/>
      <c r="H162" s="645">
        <f t="shared" si="24"/>
        <v>205741.03586497891</v>
      </c>
      <c r="I162" s="553">
        <f t="shared" si="23"/>
        <v>0</v>
      </c>
      <c r="J162" s="583">
        <f t="shared" si="21"/>
        <v>0</v>
      </c>
    </row>
    <row r="163" spans="1:14">
      <c r="A163" s="607">
        <f t="shared" si="20"/>
        <v>126</v>
      </c>
      <c r="B163" s="618" t="s">
        <v>517</v>
      </c>
      <c r="C163" s="623">
        <v>31</v>
      </c>
      <c r="D163" s="730">
        <v>0</v>
      </c>
      <c r="E163" s="730">
        <v>0</v>
      </c>
      <c r="F163" s="556">
        <f t="shared" si="22"/>
        <v>0</v>
      </c>
      <c r="G163" s="552"/>
      <c r="H163" s="645">
        <f t="shared" si="24"/>
        <v>205741.03586497891</v>
      </c>
      <c r="I163" s="553">
        <f t="shared" si="23"/>
        <v>0</v>
      </c>
      <c r="J163" s="583">
        <f t="shared" si="21"/>
        <v>0</v>
      </c>
      <c r="L163" s="641"/>
    </row>
    <row r="164" spans="1:14">
      <c r="A164" s="607">
        <f t="shared" si="20"/>
        <v>127</v>
      </c>
      <c r="B164" s="625"/>
      <c r="C164" s="625" t="s">
        <v>9</v>
      </c>
      <c r="D164" s="625"/>
      <c r="E164" s="625"/>
      <c r="F164" s="626"/>
      <c r="G164" s="619"/>
      <c r="H164" s="627">
        <f>SUM(H152:H163)</f>
        <v>2468892.4303797474</v>
      </c>
      <c r="I164" s="627">
        <f>SUM(I152:I163)</f>
        <v>0</v>
      </c>
      <c r="J164" s="626"/>
    </row>
    <row r="165" spans="1:14">
      <c r="B165" s="628"/>
      <c r="C165" s="628"/>
      <c r="D165" s="628"/>
      <c r="E165" s="628"/>
      <c r="F165" s="629"/>
      <c r="G165" s="629"/>
      <c r="I165" s="649"/>
      <c r="J165" s="629"/>
    </row>
    <row r="166" spans="1:14">
      <c r="A166" s="607">
        <f>+A164+1</f>
        <v>128</v>
      </c>
      <c r="B166" s="607" t="s">
        <v>978</v>
      </c>
      <c r="F166" s="607" t="s">
        <v>1338</v>
      </c>
      <c r="G166" s="629"/>
      <c r="I166" s="629"/>
      <c r="J166" s="856">
        <f>'A3.1-EDIT-DDIT'!J40</f>
        <v>-32526680.279999986</v>
      </c>
      <c r="M166" s="641"/>
      <c r="N166" s="643"/>
    </row>
    <row r="167" spans="1:14">
      <c r="A167" s="607">
        <f t="shared" ref="A167:A173" si="25">+A166+1</f>
        <v>129</v>
      </c>
      <c r="B167" s="607" t="s">
        <v>895</v>
      </c>
      <c r="F167" s="607" t="s">
        <v>1339</v>
      </c>
      <c r="G167" s="629"/>
      <c r="I167" s="629"/>
      <c r="J167" s="856">
        <f>'A3.1-EDIT-DDIT'!H40</f>
        <v>2468892.4303797469</v>
      </c>
    </row>
    <row r="168" spans="1:14">
      <c r="A168" s="607">
        <f t="shared" si="25"/>
        <v>130</v>
      </c>
      <c r="B168" s="607" t="s">
        <v>979</v>
      </c>
      <c r="F168" s="607" t="s">
        <v>1340</v>
      </c>
      <c r="G168" s="629"/>
      <c r="I168" s="629"/>
      <c r="J168" s="642">
        <f>J166+J167</f>
        <v>-30057787.849620238</v>
      </c>
    </row>
    <row r="169" spans="1:14">
      <c r="A169" s="607">
        <f t="shared" si="25"/>
        <v>131</v>
      </c>
      <c r="B169" s="607" t="s">
        <v>980</v>
      </c>
      <c r="F169" s="617" t="s">
        <v>1341</v>
      </c>
      <c r="G169" s="629"/>
      <c r="I169" s="629"/>
      <c r="J169" s="631">
        <f>J168</f>
        <v>-30057787.849620238</v>
      </c>
      <c r="L169" s="641"/>
    </row>
    <row r="170" spans="1:14">
      <c r="A170" s="607">
        <f t="shared" si="25"/>
        <v>132</v>
      </c>
      <c r="B170" s="607" t="s">
        <v>849</v>
      </c>
      <c r="F170" s="607" t="s">
        <v>1342</v>
      </c>
      <c r="G170" s="629"/>
      <c r="I170" s="616"/>
      <c r="J170" s="632">
        <f>J163</f>
        <v>0</v>
      </c>
    </row>
    <row r="171" spans="1:14">
      <c r="A171" s="607">
        <f t="shared" si="25"/>
        <v>133</v>
      </c>
      <c r="B171" s="607" t="s">
        <v>896</v>
      </c>
      <c r="F171" s="607" t="s">
        <v>1343</v>
      </c>
      <c r="G171" s="629"/>
      <c r="I171" s="616"/>
      <c r="J171" s="642">
        <f>J169+J170</f>
        <v>-30057787.849620238</v>
      </c>
    </row>
    <row r="172" spans="1:14">
      <c r="A172" s="607">
        <f t="shared" si="25"/>
        <v>134</v>
      </c>
      <c r="B172" s="607" t="s">
        <v>1194</v>
      </c>
      <c r="G172" s="629"/>
      <c r="I172" s="616"/>
      <c r="J172" s="642">
        <v>0</v>
      </c>
    </row>
    <row r="173" spans="1:14">
      <c r="A173" s="607">
        <f t="shared" si="25"/>
        <v>135</v>
      </c>
      <c r="B173" s="607" t="s">
        <v>984</v>
      </c>
      <c r="F173" s="607" t="s">
        <v>1346</v>
      </c>
      <c r="J173" s="643">
        <f>J171</f>
        <v>-30057787.849620238</v>
      </c>
    </row>
    <row r="174" spans="1:14">
      <c r="A174" s="607">
        <v>136</v>
      </c>
      <c r="B174" s="607" t="s">
        <v>1331</v>
      </c>
      <c r="F174" s="607" t="s">
        <v>1344</v>
      </c>
      <c r="J174" s="857">
        <f>'A3.1-EDIT-DDIT'!P44</f>
        <v>7.9579999999999998E-2</v>
      </c>
    </row>
    <row r="175" spans="1:14">
      <c r="A175" s="607">
        <v>137</v>
      </c>
      <c r="B175" s="610" t="s">
        <v>859</v>
      </c>
      <c r="F175" s="607" t="s">
        <v>1345</v>
      </c>
      <c r="J175" s="633">
        <f>J173*J174</f>
        <v>-2391998.7570727784</v>
      </c>
      <c r="L175" s="641"/>
      <c r="M175" s="643"/>
      <c r="N175" s="641"/>
    </row>
    <row r="176" spans="1:14">
      <c r="J176" s="647"/>
      <c r="M176" s="641"/>
      <c r="N176" s="641"/>
    </row>
    <row r="177" spans="10:12">
      <c r="J177" s="648"/>
      <c r="L177" s="648"/>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rintOptions horizontalCentered="1"/>
  <pageMargins left="0.45" right="0.45" top="0.5" bottom="0.5" header="0.3" footer="0.3"/>
  <pageSetup scale="96" fitToHeight="0" orientation="portrait" r:id="rId1"/>
  <rowBreaks count="4" manualBreakCount="4">
    <brk id="38" max="9" man="1"/>
    <brk id="72" max="9" man="1"/>
    <brk id="106" max="9" man="1"/>
    <brk id="140" max="9" man="1"/>
  </rowBreaks>
  <ignoredErrors>
    <ignoredError sqref="J32 J103"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pageSetUpPr fitToPage="1"/>
  </sheetPr>
  <dimension ref="A1:F161"/>
  <sheetViews>
    <sheetView workbookViewId="0">
      <selection activeCell="A52" sqref="A52"/>
    </sheetView>
  </sheetViews>
  <sheetFormatPr defaultColWidth="8.81640625" defaultRowHeight="13.2"/>
  <cols>
    <col min="1" max="1" width="5.81640625" style="367" bestFit="1" customWidth="1"/>
    <col min="2" max="2" width="50.1796875" style="367" customWidth="1"/>
    <col min="3" max="3" width="19.54296875" style="369" bestFit="1" customWidth="1"/>
    <col min="4" max="4" width="12.08984375" style="372" customWidth="1"/>
    <col min="5" max="5" width="7.54296875" style="367" bestFit="1" customWidth="1"/>
    <col min="6" max="16384" width="8.81640625" style="367"/>
  </cols>
  <sheetData>
    <row r="1" spans="1:6">
      <c r="A1" s="887" t="s">
        <v>735</v>
      </c>
      <c r="B1" s="887"/>
      <c r="C1" s="887"/>
      <c r="D1" s="887"/>
      <c r="E1" s="887"/>
      <c r="F1" s="216"/>
    </row>
    <row r="2" spans="1:6">
      <c r="A2" s="887" t="s">
        <v>736</v>
      </c>
      <c r="B2" s="887"/>
      <c r="C2" s="887"/>
      <c r="D2" s="887"/>
      <c r="E2" s="887"/>
      <c r="F2" s="216"/>
    </row>
    <row r="3" spans="1:6">
      <c r="A3" s="888" t="str">
        <f>'Act Att-H'!C7</f>
        <v>Cheyenne Light, Fuel &amp; Power</v>
      </c>
      <c r="B3" s="888"/>
      <c r="C3" s="888"/>
      <c r="D3" s="888"/>
      <c r="E3" s="888"/>
      <c r="F3" s="228"/>
    </row>
    <row r="4" spans="1:6" ht="12.75" customHeight="1">
      <c r="A4" s="368"/>
      <c r="D4" s="370" t="s">
        <v>241</v>
      </c>
      <c r="E4" s="370"/>
    </row>
    <row r="6" spans="1:6">
      <c r="A6" s="432" t="s">
        <v>506</v>
      </c>
      <c r="B6" s="432" t="s">
        <v>191</v>
      </c>
      <c r="C6" s="377" t="s">
        <v>577</v>
      </c>
      <c r="D6" s="433" t="s">
        <v>7</v>
      </c>
    </row>
    <row r="7" spans="1:6">
      <c r="C7" s="440"/>
    </row>
    <row r="8" spans="1:6">
      <c r="A8" s="369">
        <v>1</v>
      </c>
      <c r="B8" s="371" t="s">
        <v>786</v>
      </c>
      <c r="C8" s="440"/>
    </row>
    <row r="9" spans="1:6">
      <c r="A9" s="369">
        <f>A8+1</f>
        <v>2</v>
      </c>
      <c r="B9" s="373" t="s">
        <v>734</v>
      </c>
      <c r="C9" s="440" t="s">
        <v>547</v>
      </c>
      <c r="D9" s="731">
        <f>99947+320486+15534+13905+430784+16139+180166+98552</f>
        <v>1175513</v>
      </c>
    </row>
    <row r="10" spans="1:6">
      <c r="A10" s="369">
        <f t="shared" ref="A10:A41" si="0">A9+1</f>
        <v>3</v>
      </c>
      <c r="B10" s="375" t="s">
        <v>733</v>
      </c>
      <c r="C10" s="440" t="s">
        <v>737</v>
      </c>
      <c r="D10" s="731">
        <v>13905</v>
      </c>
    </row>
    <row r="11" spans="1:6">
      <c r="A11" s="369">
        <f t="shared" si="0"/>
        <v>4</v>
      </c>
      <c r="B11" s="376" t="s">
        <v>732</v>
      </c>
      <c r="C11" s="440" t="s">
        <v>738</v>
      </c>
      <c r="D11" s="731">
        <v>430784</v>
      </c>
    </row>
    <row r="12" spans="1:6">
      <c r="A12" s="369">
        <f t="shared" si="0"/>
        <v>5</v>
      </c>
      <c r="B12" s="376" t="s">
        <v>731</v>
      </c>
      <c r="C12" s="440" t="s">
        <v>739</v>
      </c>
      <c r="D12" s="731">
        <v>16139</v>
      </c>
    </row>
    <row r="13" spans="1:6">
      <c r="A13" s="369">
        <f t="shared" si="0"/>
        <v>6</v>
      </c>
      <c r="B13" s="376" t="s">
        <v>730</v>
      </c>
      <c r="C13" s="440" t="s">
        <v>740</v>
      </c>
      <c r="D13" s="731">
        <v>180166</v>
      </c>
    </row>
    <row r="14" spans="1:6">
      <c r="A14" s="369">
        <f t="shared" si="0"/>
        <v>7</v>
      </c>
      <c r="B14" s="376" t="s">
        <v>729</v>
      </c>
      <c r="C14" s="440" t="s">
        <v>741</v>
      </c>
      <c r="D14" s="731">
        <v>98552</v>
      </c>
    </row>
    <row r="15" spans="1:6">
      <c r="A15" s="369">
        <f t="shared" si="0"/>
        <v>8</v>
      </c>
      <c r="B15" s="436" t="s">
        <v>783</v>
      </c>
      <c r="C15" s="733" t="s">
        <v>1162</v>
      </c>
      <c r="D15" s="435">
        <f>D9-D10-D11-D12-D13-D14</f>
        <v>435967</v>
      </c>
    </row>
    <row r="16" spans="1:6">
      <c r="A16" s="369">
        <f t="shared" si="0"/>
        <v>9</v>
      </c>
      <c r="B16" s="373"/>
      <c r="D16" s="374"/>
    </row>
    <row r="17" spans="1:6">
      <c r="A17" s="369">
        <f t="shared" si="0"/>
        <v>10</v>
      </c>
      <c r="B17" s="373" t="s">
        <v>794</v>
      </c>
      <c r="C17" s="440" t="s">
        <v>806</v>
      </c>
      <c r="D17" s="174">
        <f>'A1-RevCred'!H48</f>
        <v>0</v>
      </c>
    </row>
    <row r="18" spans="1:6">
      <c r="A18" s="369">
        <f t="shared" si="0"/>
        <v>11</v>
      </c>
      <c r="B18" s="373"/>
      <c r="D18" s="374"/>
    </row>
    <row r="19" spans="1:6">
      <c r="A19" s="369">
        <f t="shared" si="0"/>
        <v>12</v>
      </c>
      <c r="B19" s="373" t="s">
        <v>796</v>
      </c>
      <c r="C19" s="440" t="s">
        <v>1163</v>
      </c>
      <c r="D19" s="442">
        <f>D15-D17</f>
        <v>435967</v>
      </c>
    </row>
    <row r="20" spans="1:6">
      <c r="A20" s="369">
        <f t="shared" si="0"/>
        <v>13</v>
      </c>
      <c r="B20" s="373"/>
      <c r="C20" s="440"/>
      <c r="D20" s="441"/>
    </row>
    <row r="21" spans="1:6">
      <c r="A21" s="369">
        <f t="shared" si="0"/>
        <v>14</v>
      </c>
      <c r="B21" s="371" t="s">
        <v>795</v>
      </c>
      <c r="D21" s="374"/>
    </row>
    <row r="22" spans="1:6">
      <c r="A22" s="369">
        <f t="shared" si="0"/>
        <v>15</v>
      </c>
      <c r="B22" s="240" t="s">
        <v>790</v>
      </c>
      <c r="C22" s="440" t="s">
        <v>793</v>
      </c>
      <c r="D22" s="438">
        <f>D15</f>
        <v>435967</v>
      </c>
    </row>
    <row r="23" spans="1:6">
      <c r="A23" s="369">
        <f t="shared" si="0"/>
        <v>16</v>
      </c>
      <c r="B23" s="240" t="s">
        <v>825</v>
      </c>
      <c r="C23" s="440" t="s">
        <v>827</v>
      </c>
      <c r="D23" s="434">
        <v>387094</v>
      </c>
    </row>
    <row r="24" spans="1:6">
      <c r="A24" s="369">
        <f t="shared" si="0"/>
        <v>17</v>
      </c>
      <c r="B24" s="240" t="s">
        <v>286</v>
      </c>
      <c r="C24" s="440" t="s">
        <v>797</v>
      </c>
      <c r="D24" s="439">
        <f>D22-D23</f>
        <v>48873</v>
      </c>
    </row>
    <row r="25" spans="1:6" s="240" customFormat="1">
      <c r="A25" s="369">
        <f t="shared" si="0"/>
        <v>18</v>
      </c>
      <c r="B25" s="240" t="s">
        <v>791</v>
      </c>
      <c r="C25" s="244" t="s">
        <v>817</v>
      </c>
      <c r="D25" s="265">
        <f>'TU-TrueUp'!H53</f>
        <v>0</v>
      </c>
    </row>
    <row r="26" spans="1:6" s="240" customFormat="1">
      <c r="A26" s="369">
        <f t="shared" si="0"/>
        <v>19</v>
      </c>
      <c r="B26" s="240" t="s">
        <v>792</v>
      </c>
      <c r="C26" s="240" t="s">
        <v>938</v>
      </c>
      <c r="D26" s="267">
        <f>D25*D24*24/12</f>
        <v>0</v>
      </c>
    </row>
    <row r="27" spans="1:6" s="240" customFormat="1">
      <c r="A27" s="369">
        <f t="shared" si="0"/>
        <v>20</v>
      </c>
      <c r="B27" s="244" t="s">
        <v>553</v>
      </c>
      <c r="C27" s="244" t="s">
        <v>798</v>
      </c>
      <c r="D27" s="443">
        <f>(D24+D26)</f>
        <v>48873</v>
      </c>
      <c r="E27" s="241"/>
    </row>
    <row r="28" spans="1:6" s="240" customFormat="1">
      <c r="A28" s="369">
        <f t="shared" si="0"/>
        <v>21</v>
      </c>
      <c r="B28" s="243"/>
      <c r="C28" s="244"/>
      <c r="E28" s="241"/>
      <c r="F28" s="437"/>
    </row>
    <row r="29" spans="1:6" s="240" customFormat="1" ht="13.8" thickBot="1">
      <c r="A29" s="369">
        <f t="shared" si="0"/>
        <v>22</v>
      </c>
      <c r="B29" s="243" t="s">
        <v>789</v>
      </c>
      <c r="C29" s="244" t="s">
        <v>826</v>
      </c>
      <c r="D29" s="447">
        <f>D19+D27</f>
        <v>484840</v>
      </c>
      <c r="E29" s="241"/>
      <c r="F29" s="437"/>
    </row>
    <row r="30" spans="1:6" s="240" customFormat="1" ht="13.8" thickTop="1">
      <c r="A30" s="369">
        <f t="shared" si="0"/>
        <v>23</v>
      </c>
      <c r="B30" s="243"/>
      <c r="C30" s="244"/>
      <c r="E30" s="241"/>
      <c r="F30" s="437"/>
    </row>
    <row r="31" spans="1:6">
      <c r="A31" s="369">
        <f t="shared" si="0"/>
        <v>24</v>
      </c>
      <c r="B31" s="371" t="s">
        <v>197</v>
      </c>
      <c r="C31" s="71"/>
      <c r="D31" s="107"/>
      <c r="E31" s="71"/>
      <c r="F31" s="71"/>
    </row>
    <row r="32" spans="1:6">
      <c r="A32" s="369">
        <f t="shared" si="0"/>
        <v>25</v>
      </c>
      <c r="B32" s="71" t="s">
        <v>255</v>
      </c>
      <c r="C32" s="103" t="s">
        <v>567</v>
      </c>
      <c r="D32" s="174" t="e">
        <f>'P3-Divisor'!G24</f>
        <v>#DIV/0!</v>
      </c>
      <c r="E32" s="71"/>
      <c r="F32" s="71"/>
    </row>
    <row r="33" spans="1:6">
      <c r="A33" s="369">
        <f t="shared" si="0"/>
        <v>26</v>
      </c>
      <c r="B33" s="71"/>
      <c r="C33" s="107"/>
      <c r="D33" s="107"/>
      <c r="E33" s="107"/>
      <c r="F33" s="107"/>
    </row>
    <row r="34" spans="1:6">
      <c r="A34" s="369">
        <f t="shared" si="0"/>
        <v>27</v>
      </c>
      <c r="B34" s="371" t="s">
        <v>152</v>
      </c>
      <c r="C34" s="107"/>
      <c r="D34" s="107"/>
      <c r="E34" s="107"/>
      <c r="F34" s="107"/>
    </row>
    <row r="35" spans="1:6">
      <c r="A35" s="369">
        <f t="shared" si="0"/>
        <v>28</v>
      </c>
      <c r="B35" s="71" t="s">
        <v>256</v>
      </c>
      <c r="C35" s="71"/>
      <c r="D35" s="577" t="e">
        <f>ROUND(D29/D32,2)</f>
        <v>#DIV/0!</v>
      </c>
      <c r="E35" s="71" t="s">
        <v>245</v>
      </c>
      <c r="F35" s="107"/>
    </row>
    <row r="36" spans="1:6">
      <c r="A36" s="369">
        <f t="shared" si="0"/>
        <v>29</v>
      </c>
      <c r="B36" s="71" t="s">
        <v>257</v>
      </c>
      <c r="C36" s="71" t="s">
        <v>787</v>
      </c>
      <c r="D36" s="577" t="e">
        <f>ROUND(D35/12,2)</f>
        <v>#DIV/0!</v>
      </c>
      <c r="E36" s="71" t="s">
        <v>246</v>
      </c>
      <c r="F36" s="107"/>
    </row>
    <row r="37" spans="1:6">
      <c r="A37" s="369">
        <f t="shared" si="0"/>
        <v>30</v>
      </c>
      <c r="B37" s="71" t="s">
        <v>258</v>
      </c>
      <c r="C37" s="71" t="s">
        <v>788</v>
      </c>
      <c r="D37" s="577" t="e">
        <f>ROUND(D35/52,2)</f>
        <v>#DIV/0!</v>
      </c>
      <c r="E37" s="71" t="s">
        <v>247</v>
      </c>
      <c r="F37" s="107"/>
    </row>
    <row r="38" spans="1:6">
      <c r="A38" s="369">
        <f t="shared" si="0"/>
        <v>31</v>
      </c>
      <c r="B38" s="71" t="s">
        <v>259</v>
      </c>
      <c r="C38" s="71" t="s">
        <v>248</v>
      </c>
      <c r="D38" s="578" t="e">
        <f>+D37/6</f>
        <v>#DIV/0!</v>
      </c>
      <c r="E38" s="71" t="s">
        <v>249</v>
      </c>
      <c r="F38" s="107"/>
    </row>
    <row r="39" spans="1:6">
      <c r="A39" s="369">
        <f t="shared" si="0"/>
        <v>32</v>
      </c>
      <c r="B39" s="71" t="s">
        <v>260</v>
      </c>
      <c r="C39" s="71" t="s">
        <v>250</v>
      </c>
      <c r="D39" s="578" t="e">
        <f>+D37/7</f>
        <v>#DIV/0!</v>
      </c>
      <c r="E39" s="71" t="s">
        <v>249</v>
      </c>
      <c r="F39" s="107"/>
    </row>
    <row r="40" spans="1:6">
      <c r="A40" s="369">
        <f t="shared" si="0"/>
        <v>33</v>
      </c>
      <c r="B40" s="71" t="s">
        <v>261</v>
      </c>
      <c r="C40" s="71" t="s">
        <v>251</v>
      </c>
      <c r="D40" s="577" t="e">
        <f>+D38/16*1000</f>
        <v>#DIV/0!</v>
      </c>
      <c r="E40" s="71" t="s">
        <v>890</v>
      </c>
      <c r="F40" s="107"/>
    </row>
    <row r="41" spans="1:6">
      <c r="A41" s="369">
        <f t="shared" si="0"/>
        <v>34</v>
      </c>
      <c r="B41" s="71" t="s">
        <v>262</v>
      </c>
      <c r="C41" s="71" t="s">
        <v>252</v>
      </c>
      <c r="D41" s="577" t="e">
        <f>+D39/24*1000</f>
        <v>#DIV/0!</v>
      </c>
      <c r="E41" s="71" t="s">
        <v>890</v>
      </c>
      <c r="F41" s="107"/>
    </row>
    <row r="42" spans="1:6">
      <c r="A42" s="369"/>
      <c r="B42" s="71"/>
      <c r="C42" s="71"/>
      <c r="D42" s="579"/>
      <c r="E42" s="71"/>
      <c r="F42" s="107"/>
    </row>
    <row r="43" spans="1:6">
      <c r="A43" s="369"/>
      <c r="B43" s="373"/>
      <c r="C43" s="431"/>
      <c r="D43" s="374"/>
    </row>
    <row r="44" spans="1:6">
      <c r="A44" s="206" t="s">
        <v>174</v>
      </c>
      <c r="B44" s="373"/>
      <c r="D44" s="374"/>
    </row>
    <row r="45" spans="1:6">
      <c r="A45" s="421" t="s">
        <v>79</v>
      </c>
      <c r="B45" s="956" t="s">
        <v>828</v>
      </c>
      <c r="C45" s="956"/>
      <c r="D45" s="956"/>
    </row>
    <row r="46" spans="1:6">
      <c r="A46" s="369" t="s">
        <v>80</v>
      </c>
      <c r="B46" s="956" t="s">
        <v>829</v>
      </c>
      <c r="C46" s="956"/>
      <c r="D46" s="956"/>
    </row>
    <row r="47" spans="1:6">
      <c r="A47" s="369"/>
      <c r="B47" s="954"/>
      <c r="C47" s="954"/>
      <c r="D47" s="954"/>
    </row>
    <row r="48" spans="1:6">
      <c r="A48" s="369"/>
      <c r="B48" s="549"/>
      <c r="C48" s="549"/>
      <c r="D48" s="550"/>
    </row>
    <row r="49" spans="1:5">
      <c r="A49" s="369"/>
      <c r="B49" s="548"/>
      <c r="C49" s="549"/>
      <c r="D49" s="550"/>
    </row>
    <row r="50" spans="1:5">
      <c r="A50" s="369"/>
      <c r="B50" s="955"/>
      <c r="C50" s="955"/>
      <c r="D50" s="955"/>
    </row>
    <row r="51" spans="1:5">
      <c r="A51" s="369"/>
      <c r="B51" s="373"/>
      <c r="D51" s="378"/>
      <c r="E51" s="379"/>
    </row>
    <row r="52" spans="1:5">
      <c r="A52" s="369"/>
      <c r="B52" s="373"/>
      <c r="D52" s="378"/>
    </row>
    <row r="53" spans="1:5">
      <c r="A53" s="369"/>
      <c r="B53" s="373"/>
      <c r="D53" s="378"/>
    </row>
    <row r="54" spans="1:5">
      <c r="A54" s="369"/>
      <c r="B54" s="373"/>
      <c r="D54" s="378"/>
    </row>
    <row r="55" spans="1:5">
      <c r="A55" s="369"/>
      <c r="D55" s="374"/>
    </row>
    <row r="56" spans="1:5">
      <c r="A56" s="369"/>
      <c r="B56" s="380"/>
      <c r="D56" s="374"/>
    </row>
    <row r="57" spans="1:5">
      <c r="A57" s="369"/>
      <c r="B57" s="380"/>
      <c r="D57" s="374"/>
    </row>
    <row r="58" spans="1:5">
      <c r="A58" s="369"/>
      <c r="B58" s="380"/>
      <c r="D58" s="374"/>
    </row>
    <row r="59" spans="1:5">
      <c r="A59" s="369"/>
      <c r="B59" s="380"/>
      <c r="D59" s="374"/>
    </row>
    <row r="60" spans="1:5">
      <c r="A60" s="369"/>
      <c r="B60" s="380"/>
      <c r="D60" s="374"/>
    </row>
    <row r="61" spans="1:5">
      <c r="A61" s="369"/>
      <c r="B61" s="380"/>
      <c r="D61" s="374"/>
    </row>
    <row r="62" spans="1:5">
      <c r="A62" s="369"/>
      <c r="B62" s="380"/>
      <c r="D62" s="374"/>
    </row>
    <row r="63" spans="1:5">
      <c r="A63" s="369"/>
      <c r="B63" s="380"/>
      <c r="D63" s="374"/>
    </row>
    <row r="64" spans="1:5">
      <c r="A64" s="369"/>
      <c r="B64" s="380"/>
      <c r="D64" s="374"/>
    </row>
    <row r="65" spans="1:4">
      <c r="A65" s="369"/>
      <c r="B65" s="380"/>
      <c r="D65" s="374"/>
    </row>
    <row r="66" spans="1:4">
      <c r="A66" s="369"/>
      <c r="B66" s="373"/>
      <c r="D66" s="374"/>
    </row>
    <row r="67" spans="1:4">
      <c r="A67" s="369"/>
      <c r="B67" s="373"/>
      <c r="D67" s="374"/>
    </row>
    <row r="68" spans="1:4">
      <c r="A68" s="369"/>
      <c r="B68" s="373"/>
      <c r="D68" s="374"/>
    </row>
    <row r="69" spans="1:4">
      <c r="A69" s="369"/>
      <c r="B69" s="373"/>
      <c r="D69" s="374"/>
    </row>
    <row r="70" spans="1:4">
      <c r="A70" s="369"/>
      <c r="B70" s="373"/>
      <c r="D70" s="374"/>
    </row>
    <row r="71" spans="1:4">
      <c r="A71" s="369"/>
      <c r="B71" s="377"/>
      <c r="D71" s="374"/>
    </row>
    <row r="72" spans="1:4">
      <c r="A72" s="369"/>
      <c r="B72" s="373"/>
    </row>
    <row r="73" spans="1:4">
      <c r="A73" s="369"/>
      <c r="B73" s="373"/>
    </row>
    <row r="74" spans="1:4">
      <c r="A74" s="369"/>
      <c r="B74" s="373"/>
      <c r="D74" s="378"/>
    </row>
    <row r="75" spans="1:4">
      <c r="A75" s="369"/>
      <c r="B75" s="373"/>
      <c r="D75" s="378"/>
    </row>
    <row r="76" spans="1:4">
      <c r="A76" s="369"/>
      <c r="B76" s="373"/>
      <c r="D76" s="378"/>
    </row>
    <row r="77" spans="1:4">
      <c r="A77" s="369"/>
      <c r="B77" s="373"/>
      <c r="D77" s="378"/>
    </row>
    <row r="78" spans="1:4">
      <c r="A78" s="369"/>
      <c r="B78" s="373"/>
      <c r="D78" s="374"/>
    </row>
    <row r="79" spans="1:4">
      <c r="A79" s="369"/>
      <c r="B79" s="373"/>
      <c r="D79" s="374"/>
    </row>
    <row r="80" spans="1:4">
      <c r="A80" s="369"/>
      <c r="B80" s="373"/>
      <c r="D80" s="374"/>
    </row>
    <row r="150" spans="1:6" s="369" customFormat="1">
      <c r="A150" s="367"/>
      <c r="B150" s="367"/>
      <c r="D150" s="372"/>
      <c r="E150" s="367"/>
      <c r="F150" s="367"/>
    </row>
    <row r="161" spans="5:6">
      <c r="E161" s="369"/>
      <c r="F161" s="369"/>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46" firstPageNumber="7" orientation="portrait" cellComments="atEnd" r:id="rId1"/>
  <headerFooter alignWithMargins="0"/>
  <ignoredErrors>
    <ignoredError sqref="D35:D41 D2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N61"/>
  <sheetViews>
    <sheetView zoomScale="85" zoomScaleNormal="85" workbookViewId="0">
      <selection activeCell="A63" sqref="A63"/>
    </sheetView>
  </sheetViews>
  <sheetFormatPr defaultColWidth="8.81640625" defaultRowHeight="13.2"/>
  <cols>
    <col min="1" max="1" width="4.81640625" style="2" bestFit="1" customWidth="1"/>
    <col min="2" max="2" width="12.7265625" style="2" customWidth="1"/>
    <col min="3" max="3" width="24.08984375" style="2" customWidth="1"/>
    <col min="4" max="4" width="7.54296875" style="2" bestFit="1" customWidth="1"/>
    <col min="5" max="5" width="9.54296875" style="2" bestFit="1" customWidth="1"/>
    <col min="6" max="6" width="9" style="2" customWidth="1"/>
    <col min="7" max="7" width="10.7265625" style="2" customWidth="1"/>
    <col min="8" max="12" width="9" style="2" customWidth="1"/>
    <col min="13" max="13" width="8.08984375" style="2" customWidth="1"/>
    <col min="14" max="14" width="9.1796875" style="2" bestFit="1" customWidth="1"/>
    <col min="15" max="16384" width="8.81640625" style="2"/>
  </cols>
  <sheetData>
    <row r="1" spans="1:14">
      <c r="A1" s="882" t="s">
        <v>530</v>
      </c>
      <c r="B1" s="882"/>
      <c r="C1" s="882"/>
      <c r="D1" s="882"/>
      <c r="E1" s="882"/>
      <c r="F1" s="882"/>
      <c r="G1" s="882"/>
      <c r="H1" s="882"/>
      <c r="I1" s="882"/>
      <c r="J1" s="882"/>
      <c r="K1" s="882"/>
      <c r="L1" s="882"/>
      <c r="M1" s="882"/>
      <c r="N1" s="882"/>
    </row>
    <row r="2" spans="1:14">
      <c r="A2" s="883" t="s">
        <v>222</v>
      </c>
      <c r="B2" s="883"/>
      <c r="C2" s="883"/>
      <c r="D2" s="883"/>
      <c r="E2" s="883"/>
      <c r="F2" s="883"/>
      <c r="G2" s="883"/>
      <c r="H2" s="883"/>
      <c r="I2" s="883"/>
      <c r="J2" s="883"/>
      <c r="K2" s="883"/>
      <c r="L2" s="883"/>
      <c r="M2" s="883"/>
      <c r="N2" s="883"/>
    </row>
    <row r="3" spans="1:14">
      <c r="A3" s="883" t="str">
        <f>'Act Att-H'!C7</f>
        <v>Cheyenne Light, Fuel &amp; Power</v>
      </c>
      <c r="B3" s="883"/>
      <c r="C3" s="883"/>
      <c r="D3" s="883"/>
      <c r="E3" s="883"/>
      <c r="F3" s="883"/>
      <c r="G3" s="883"/>
      <c r="H3" s="883"/>
      <c r="I3" s="883"/>
      <c r="J3" s="883"/>
      <c r="K3" s="883"/>
      <c r="L3" s="883"/>
      <c r="M3" s="883"/>
      <c r="N3" s="883"/>
    </row>
    <row r="4" spans="1:14">
      <c r="B4" s="444"/>
      <c r="C4" s="444"/>
      <c r="D4" s="444"/>
      <c r="E4" s="444"/>
      <c r="F4" s="444"/>
      <c r="G4" s="444"/>
      <c r="H4" s="444"/>
      <c r="I4" s="444"/>
      <c r="J4" s="444"/>
      <c r="K4" s="444"/>
      <c r="M4" s="2" t="s">
        <v>672</v>
      </c>
    </row>
    <row r="5" spans="1:14">
      <c r="A5" s="126" t="s">
        <v>154</v>
      </c>
      <c r="B5" s="129" t="s">
        <v>474</v>
      </c>
      <c r="C5" s="71"/>
      <c r="D5" s="103"/>
      <c r="E5" s="71"/>
      <c r="F5" s="71"/>
      <c r="G5" s="450"/>
      <c r="H5" s="71"/>
      <c r="I5" s="152"/>
      <c r="J5" s="103"/>
      <c r="K5" s="451"/>
    </row>
    <row r="6" spans="1:14">
      <c r="B6" s="452"/>
      <c r="C6" s="103"/>
      <c r="D6" s="453"/>
      <c r="E6" s="103"/>
      <c r="F6" s="103"/>
      <c r="G6" s="103"/>
      <c r="H6" s="103"/>
      <c r="I6" s="103"/>
      <c r="J6" s="103"/>
    </row>
    <row r="7" spans="1:14">
      <c r="A7" s="5">
        <v>1</v>
      </c>
      <c r="B7" s="454" t="s">
        <v>221</v>
      </c>
      <c r="C7" s="454" t="s">
        <v>191</v>
      </c>
      <c r="D7" s="455"/>
      <c r="E7" s="454" t="s">
        <v>9</v>
      </c>
      <c r="F7" s="454" t="s">
        <v>216</v>
      </c>
      <c r="G7" s="454" t="s">
        <v>240</v>
      </c>
      <c r="H7" s="885" t="s">
        <v>10</v>
      </c>
      <c r="I7" s="885"/>
      <c r="J7" s="454" t="s">
        <v>9</v>
      </c>
    </row>
    <row r="8" spans="1:14">
      <c r="A8" s="5">
        <f>A7+1</f>
        <v>2</v>
      </c>
      <c r="E8" s="27" t="s">
        <v>157</v>
      </c>
      <c r="F8" s="457" t="s">
        <v>158</v>
      </c>
      <c r="G8" s="457" t="s">
        <v>159</v>
      </c>
      <c r="H8" s="884" t="s">
        <v>160</v>
      </c>
      <c r="I8" s="884"/>
      <c r="J8" s="457" t="s">
        <v>704</v>
      </c>
    </row>
    <row r="9" spans="1:14">
      <c r="A9" s="5">
        <f t="shared" ref="A9:A57" si="0">A8+1</f>
        <v>3</v>
      </c>
      <c r="B9" s="458" t="s">
        <v>217</v>
      </c>
      <c r="C9" s="459"/>
      <c r="F9" s="459"/>
      <c r="G9" s="459"/>
      <c r="H9" s="103"/>
    </row>
    <row r="10" spans="1:14">
      <c r="A10" s="5">
        <f t="shared" si="0"/>
        <v>4</v>
      </c>
      <c r="B10" s="460">
        <v>45400</v>
      </c>
      <c r="C10" s="459" t="s">
        <v>218</v>
      </c>
      <c r="E10" s="212">
        <v>0</v>
      </c>
      <c r="F10" s="220">
        <v>0</v>
      </c>
      <c r="G10" s="220">
        <f>SUM(E10:F10)</f>
        <v>0</v>
      </c>
      <c r="H10" s="594" t="s">
        <v>11</v>
      </c>
      <c r="I10" s="162">
        <f>'Act Att-H'!I174</f>
        <v>0.96104528227842878</v>
      </c>
      <c r="J10" s="220">
        <f>G10*I10</f>
        <v>0</v>
      </c>
      <c r="K10" s="444"/>
    </row>
    <row r="11" spans="1:14">
      <c r="A11" s="5">
        <f t="shared" si="0"/>
        <v>5</v>
      </c>
      <c r="B11" s="460">
        <v>45400</v>
      </c>
      <c r="C11" s="459" t="s">
        <v>219</v>
      </c>
      <c r="E11" s="461">
        <v>1136631</v>
      </c>
      <c r="F11" s="459">
        <v>0</v>
      </c>
      <c r="G11" s="459">
        <f>SUM(E11:F11)</f>
        <v>1136631</v>
      </c>
      <c r="H11" s="27" t="s">
        <v>67</v>
      </c>
      <c r="I11" s="162">
        <f>'Act Att-H'!K195</f>
        <v>8.9166782515788731E-2</v>
      </c>
      <c r="J11" s="220">
        <f>G11*I11</f>
        <v>101349.72917770346</v>
      </c>
    </row>
    <row r="12" spans="1:14">
      <c r="A12" s="5">
        <f t="shared" si="0"/>
        <v>6</v>
      </c>
      <c r="B12" s="462" t="s">
        <v>220</v>
      </c>
      <c r="C12" s="462"/>
      <c r="D12" s="463"/>
      <c r="E12" s="435">
        <f>SUM(E10:E11)</f>
        <v>1136631</v>
      </c>
      <c r="F12" s="435">
        <f>SUM(F10:F11)</f>
        <v>0</v>
      </c>
      <c r="G12" s="435">
        <f>SUM(G10:G11)</f>
        <v>1136631</v>
      </c>
      <c r="H12" s="463"/>
      <c r="I12" s="595"/>
      <c r="J12" s="596">
        <f>SUM(J10:J11)</f>
        <v>101349.72917770346</v>
      </c>
    </row>
    <row r="13" spans="1:14">
      <c r="A13" s="5">
        <f t="shared" si="0"/>
        <v>7</v>
      </c>
      <c r="B13" s="464"/>
      <c r="C13" s="465"/>
      <c r="D13" s="465"/>
      <c r="E13" s="103"/>
      <c r="F13" s="103"/>
      <c r="G13" s="103"/>
      <c r="H13" s="456"/>
    </row>
    <row r="14" spans="1:14">
      <c r="A14" s="5">
        <f t="shared" si="0"/>
        <v>8</v>
      </c>
    </row>
    <row r="15" spans="1:14">
      <c r="A15" s="5">
        <f t="shared" si="0"/>
        <v>9</v>
      </c>
      <c r="B15" s="129" t="s">
        <v>804</v>
      </c>
      <c r="C15" s="71"/>
      <c r="D15" s="71"/>
      <c r="E15" s="71"/>
      <c r="F15" s="71"/>
      <c r="G15" s="71"/>
      <c r="H15" s="71"/>
      <c r="I15" s="152"/>
      <c r="J15" s="103"/>
      <c r="K15" s="451"/>
    </row>
    <row r="16" spans="1:14">
      <c r="A16" s="5">
        <f t="shared" si="0"/>
        <v>10</v>
      </c>
      <c r="F16" s="186"/>
      <c r="G16" s="186"/>
      <c r="H16" s="186" t="s">
        <v>234</v>
      </c>
      <c r="I16" s="186" t="s">
        <v>175</v>
      </c>
      <c r="K16" s="186"/>
      <c r="L16" s="186" t="s">
        <v>237</v>
      </c>
      <c r="M16" s="186"/>
      <c r="N16" s="186"/>
    </row>
    <row r="17" spans="1:14">
      <c r="A17" s="5">
        <f t="shared" si="0"/>
        <v>11</v>
      </c>
      <c r="B17" s="425"/>
      <c r="F17" s="186"/>
      <c r="G17" s="186"/>
      <c r="H17" s="186" t="s">
        <v>176</v>
      </c>
      <c r="I17" s="186" t="s">
        <v>177</v>
      </c>
      <c r="J17" s="186" t="s">
        <v>235</v>
      </c>
      <c r="K17" s="186" t="s">
        <v>237</v>
      </c>
      <c r="L17" s="186" t="s">
        <v>179</v>
      </c>
      <c r="M17" s="186" t="s">
        <v>239</v>
      </c>
      <c r="N17" s="186"/>
    </row>
    <row r="18" spans="1:14">
      <c r="A18" s="5">
        <f t="shared" si="0"/>
        <v>12</v>
      </c>
      <c r="F18" s="186" t="s">
        <v>232</v>
      </c>
      <c r="G18" s="186" t="s">
        <v>180</v>
      </c>
      <c r="H18" s="186" t="s">
        <v>181</v>
      </c>
      <c r="I18" s="186" t="s">
        <v>182</v>
      </c>
      <c r="J18" s="186" t="s">
        <v>178</v>
      </c>
      <c r="K18" s="186" t="s">
        <v>183</v>
      </c>
      <c r="L18" s="186" t="s">
        <v>184</v>
      </c>
      <c r="M18" s="186" t="s">
        <v>184</v>
      </c>
      <c r="N18" s="186"/>
    </row>
    <row r="19" spans="1:14">
      <c r="A19" s="5">
        <f t="shared" si="0"/>
        <v>13</v>
      </c>
      <c r="F19" s="186" t="s">
        <v>233</v>
      </c>
      <c r="G19" s="186" t="s">
        <v>231</v>
      </c>
      <c r="H19" s="186" t="s">
        <v>185</v>
      </c>
      <c r="I19" s="186" t="s">
        <v>186</v>
      </c>
      <c r="J19" s="186" t="s">
        <v>236</v>
      </c>
      <c r="K19" s="186" t="s">
        <v>238</v>
      </c>
      <c r="L19" s="186" t="s">
        <v>187</v>
      </c>
      <c r="M19" s="186" t="s">
        <v>187</v>
      </c>
      <c r="N19" s="186" t="s">
        <v>188</v>
      </c>
    </row>
    <row r="20" spans="1:14">
      <c r="A20" s="5">
        <f t="shared" si="0"/>
        <v>14</v>
      </c>
      <c r="B20" s="186"/>
      <c r="C20" s="186"/>
      <c r="D20" s="186" t="s">
        <v>189</v>
      </c>
      <c r="E20" s="186" t="s">
        <v>555</v>
      </c>
      <c r="F20" s="186" t="s">
        <v>223</v>
      </c>
      <c r="G20" s="186" t="s">
        <v>224</v>
      </c>
      <c r="H20" s="186" t="s">
        <v>225</v>
      </c>
      <c r="I20" s="186" t="s">
        <v>226</v>
      </c>
      <c r="J20" s="186" t="s">
        <v>227</v>
      </c>
      <c r="K20" s="186" t="s">
        <v>228</v>
      </c>
      <c r="L20" s="186" t="s">
        <v>229</v>
      </c>
      <c r="M20" s="186" t="s">
        <v>230</v>
      </c>
      <c r="N20" s="186" t="s">
        <v>4</v>
      </c>
    </row>
    <row r="21" spans="1:14">
      <c r="A21" s="5">
        <f t="shared" si="0"/>
        <v>15</v>
      </c>
      <c r="B21" s="454" t="s">
        <v>190</v>
      </c>
      <c r="C21" s="454" t="s">
        <v>191</v>
      </c>
      <c r="D21" s="466" t="s">
        <v>192</v>
      </c>
      <c r="E21" s="466" t="s">
        <v>556</v>
      </c>
      <c r="F21" s="454"/>
      <c r="G21" s="454"/>
      <c r="H21" s="454"/>
      <c r="I21" s="454"/>
      <c r="J21" s="454"/>
      <c r="K21" s="454"/>
      <c r="L21" s="454"/>
      <c r="M21" s="454"/>
      <c r="N21" s="454" t="s">
        <v>193</v>
      </c>
    </row>
    <row r="22" spans="1:14">
      <c r="A22" s="5">
        <f t="shared" si="0"/>
        <v>16</v>
      </c>
      <c r="E22" s="27" t="s">
        <v>157</v>
      </c>
      <c r="F22" s="27" t="s">
        <v>158</v>
      </c>
      <c r="G22" s="27" t="s">
        <v>159</v>
      </c>
      <c r="H22" s="27" t="s">
        <v>160</v>
      </c>
      <c r="I22" s="27" t="s">
        <v>161</v>
      </c>
      <c r="J22" s="27" t="s">
        <v>162</v>
      </c>
      <c r="K22" s="27" t="s">
        <v>163</v>
      </c>
      <c r="L22" s="27" t="s">
        <v>164</v>
      </c>
      <c r="M22" s="27" t="s">
        <v>194</v>
      </c>
      <c r="N22" s="27" t="s">
        <v>195</v>
      </c>
    </row>
    <row r="23" spans="1:14">
      <c r="A23" s="5">
        <f t="shared" si="0"/>
        <v>17</v>
      </c>
    </row>
    <row r="24" spans="1:14">
      <c r="A24" s="5">
        <f t="shared" si="0"/>
        <v>18</v>
      </c>
      <c r="B24" s="467" t="s">
        <v>196</v>
      </c>
      <c r="C24" s="467" t="s">
        <v>1358</v>
      </c>
      <c r="D24" s="468" t="s">
        <v>1179</v>
      </c>
      <c r="E24" s="469"/>
      <c r="F24" s="470"/>
      <c r="G24" s="471"/>
      <c r="H24" s="470"/>
      <c r="I24" s="470">
        <v>715719</v>
      </c>
      <c r="J24" s="470"/>
      <c r="K24" s="470"/>
      <c r="L24" s="470"/>
      <c r="M24" s="470"/>
      <c r="N24" s="470">
        <f>SUM(F24:M24)</f>
        <v>715719</v>
      </c>
    </row>
    <row r="25" spans="1:14">
      <c r="A25" s="5">
        <f t="shared" si="0"/>
        <v>19</v>
      </c>
      <c r="B25" s="467" t="s">
        <v>196</v>
      </c>
      <c r="C25" s="467" t="s">
        <v>1358</v>
      </c>
      <c r="D25" s="468" t="s">
        <v>1350</v>
      </c>
      <c r="E25" s="469"/>
      <c r="F25" s="470"/>
      <c r="G25" s="470"/>
      <c r="H25" s="470"/>
      <c r="I25" s="470">
        <v>-79551</v>
      </c>
      <c r="J25" s="470"/>
      <c r="K25" s="470"/>
      <c r="L25" s="470"/>
      <c r="M25" s="470"/>
      <c r="N25" s="470">
        <f>SUM(F25:M25)</f>
        <v>-79551</v>
      </c>
    </row>
    <row r="26" spans="1:14">
      <c r="A26" s="5">
        <f t="shared" si="0"/>
        <v>20</v>
      </c>
      <c r="B26" s="467" t="s">
        <v>197</v>
      </c>
      <c r="C26" s="467" t="s">
        <v>1359</v>
      </c>
      <c r="D26" s="468" t="s">
        <v>1351</v>
      </c>
      <c r="E26" s="469"/>
      <c r="F26" s="470"/>
      <c r="G26" s="470">
        <v>259</v>
      </c>
      <c r="H26" s="470"/>
      <c r="I26" s="470">
        <v>9</v>
      </c>
      <c r="J26" s="470"/>
      <c r="K26" s="470"/>
      <c r="L26" s="470"/>
      <c r="M26" s="470"/>
      <c r="N26" s="470">
        <f>SUM(F26:M26)</f>
        <v>268</v>
      </c>
    </row>
    <row r="27" spans="1:14">
      <c r="A27" s="5">
        <f t="shared" si="0"/>
        <v>21</v>
      </c>
      <c r="B27" s="467" t="s">
        <v>198</v>
      </c>
      <c r="C27" s="467" t="s">
        <v>1360</v>
      </c>
      <c r="D27" s="468" t="s">
        <v>1178</v>
      </c>
      <c r="E27" s="469"/>
      <c r="F27" s="470">
        <v>6520</v>
      </c>
      <c r="G27" s="470"/>
      <c r="H27" s="470"/>
      <c r="I27" s="470">
        <v>1873</v>
      </c>
      <c r="J27" s="470"/>
      <c r="K27" s="470"/>
      <c r="L27" s="470"/>
      <c r="M27" s="470"/>
      <c r="N27" s="470">
        <f t="shared" ref="N27:N29" si="1">SUM(F27:M27)</f>
        <v>8393</v>
      </c>
    </row>
    <row r="28" spans="1:14">
      <c r="A28" s="5">
        <f t="shared" si="0"/>
        <v>22</v>
      </c>
      <c r="B28" s="467" t="s">
        <v>198</v>
      </c>
      <c r="C28" s="467" t="s">
        <v>1361</v>
      </c>
      <c r="D28" s="467" t="s">
        <v>1178</v>
      </c>
      <c r="E28" s="469"/>
      <c r="F28" s="470">
        <v>8699</v>
      </c>
      <c r="G28" s="470"/>
      <c r="H28" s="470"/>
      <c r="I28" s="470">
        <v>2111</v>
      </c>
      <c r="J28" s="470"/>
      <c r="K28" s="470"/>
      <c r="L28" s="470"/>
      <c r="M28" s="470"/>
      <c r="N28" s="470">
        <f t="shared" si="1"/>
        <v>10810</v>
      </c>
    </row>
    <row r="29" spans="1:14">
      <c r="A29" s="5">
        <f t="shared" si="0"/>
        <v>23</v>
      </c>
      <c r="B29" s="467" t="s">
        <v>196</v>
      </c>
      <c r="C29" s="467" t="s">
        <v>1182</v>
      </c>
      <c r="D29" s="468"/>
      <c r="E29" s="469"/>
      <c r="F29" s="470"/>
      <c r="G29" s="470"/>
      <c r="H29" s="470"/>
      <c r="I29" s="470">
        <v>483741</v>
      </c>
      <c r="J29" s="470"/>
      <c r="K29" s="470"/>
      <c r="L29" s="470"/>
      <c r="M29" s="470"/>
      <c r="N29" s="470">
        <f t="shared" si="1"/>
        <v>483741</v>
      </c>
    </row>
    <row r="30" spans="1:14">
      <c r="A30" s="5">
        <f t="shared" si="0"/>
        <v>24</v>
      </c>
      <c r="B30" s="467"/>
      <c r="C30" s="467"/>
      <c r="D30" s="468"/>
      <c r="E30" s="469"/>
      <c r="F30" s="470"/>
      <c r="G30" s="470"/>
      <c r="H30" s="470"/>
      <c r="I30" s="470"/>
      <c r="J30" s="470"/>
      <c r="K30" s="470"/>
      <c r="L30" s="470"/>
      <c r="M30" s="470"/>
      <c r="N30" s="470"/>
    </row>
    <row r="31" spans="1:14">
      <c r="A31" s="5">
        <f t="shared" si="0"/>
        <v>25</v>
      </c>
      <c r="B31" s="467"/>
      <c r="C31" s="467"/>
      <c r="D31" s="468"/>
      <c r="E31" s="469"/>
      <c r="F31" s="470"/>
      <c r="G31" s="470"/>
      <c r="H31" s="470"/>
      <c r="I31" s="470"/>
      <c r="J31" s="470"/>
      <c r="K31" s="470"/>
      <c r="L31" s="470"/>
      <c r="M31" s="470"/>
      <c r="N31" s="470"/>
    </row>
    <row r="32" spans="1:14">
      <c r="A32" s="5">
        <f t="shared" si="0"/>
        <v>26</v>
      </c>
      <c r="B32" s="467"/>
      <c r="C32" s="467"/>
      <c r="D32" s="468"/>
      <c r="E32" s="469"/>
      <c r="F32" s="470"/>
      <c r="G32" s="470"/>
      <c r="H32" s="470"/>
      <c r="I32" s="470"/>
      <c r="J32" s="470"/>
      <c r="K32" s="470"/>
      <c r="L32" s="470"/>
      <c r="M32" s="470"/>
      <c r="N32" s="470"/>
    </row>
    <row r="33" spans="1:14">
      <c r="A33" s="5">
        <f t="shared" si="0"/>
        <v>27</v>
      </c>
      <c r="B33" s="467"/>
      <c r="C33" s="467"/>
      <c r="D33" s="468"/>
      <c r="E33" s="469"/>
      <c r="F33" s="470"/>
      <c r="G33" s="470"/>
      <c r="H33" s="470"/>
      <c r="I33" s="470"/>
      <c r="J33" s="470"/>
      <c r="K33" s="470"/>
      <c r="L33" s="470"/>
      <c r="M33" s="470"/>
      <c r="N33" s="470"/>
    </row>
    <row r="34" spans="1:14">
      <c r="A34" s="5">
        <f t="shared" si="0"/>
        <v>28</v>
      </c>
      <c r="B34" s="467"/>
      <c r="C34" s="467"/>
      <c r="D34" s="467"/>
      <c r="E34" s="469"/>
      <c r="F34" s="470"/>
      <c r="G34" s="470"/>
      <c r="H34" s="470"/>
      <c r="I34" s="470"/>
      <c r="J34" s="470"/>
      <c r="K34" s="470"/>
      <c r="L34" s="470"/>
      <c r="M34" s="470"/>
      <c r="N34" s="470"/>
    </row>
    <row r="35" spans="1:14">
      <c r="A35" s="5">
        <f t="shared" si="0"/>
        <v>29</v>
      </c>
      <c r="B35" s="467"/>
      <c r="C35" s="467"/>
      <c r="D35" s="467"/>
      <c r="E35" s="469"/>
      <c r="F35" s="470"/>
      <c r="G35" s="470"/>
      <c r="H35" s="470"/>
      <c r="I35" s="470"/>
      <c r="J35" s="470"/>
      <c r="K35" s="470"/>
      <c r="L35" s="470"/>
      <c r="M35" s="470"/>
      <c r="N35" s="470"/>
    </row>
    <row r="36" spans="1:14">
      <c r="A36" s="5">
        <f t="shared" si="0"/>
        <v>30</v>
      </c>
      <c r="B36" s="467"/>
      <c r="C36" s="467"/>
      <c r="D36" s="467"/>
      <c r="E36" s="467"/>
      <c r="F36" s="470"/>
      <c r="G36" s="470"/>
      <c r="H36" s="470"/>
      <c r="I36" s="470"/>
      <c r="J36" s="470"/>
      <c r="K36" s="470"/>
      <c r="L36" s="470"/>
      <c r="M36" s="470"/>
      <c r="N36" s="470"/>
    </row>
    <row r="37" spans="1:14">
      <c r="A37" s="5">
        <f t="shared" si="0"/>
        <v>31</v>
      </c>
      <c r="B37" s="467"/>
      <c r="C37" s="467"/>
      <c r="D37" s="467"/>
      <c r="E37" s="469"/>
      <c r="F37" s="470"/>
      <c r="G37" s="470"/>
      <c r="H37" s="470"/>
      <c r="I37" s="470"/>
      <c r="J37" s="470"/>
      <c r="K37" s="470"/>
      <c r="L37" s="470"/>
      <c r="M37" s="470"/>
      <c r="N37" s="470"/>
    </row>
    <row r="38" spans="1:14">
      <c r="A38" s="5">
        <f t="shared" si="0"/>
        <v>32</v>
      </c>
      <c r="B38" s="467"/>
      <c r="C38" s="467"/>
      <c r="D38" s="468"/>
      <c r="E38" s="469"/>
      <c r="F38" s="470"/>
      <c r="G38" s="470"/>
      <c r="H38" s="470"/>
      <c r="I38" s="470"/>
      <c r="J38" s="470"/>
      <c r="K38" s="470"/>
      <c r="L38" s="470"/>
      <c r="M38" s="470"/>
      <c r="N38" s="470"/>
    </row>
    <row r="39" spans="1:14">
      <c r="A39" s="5">
        <f t="shared" si="0"/>
        <v>33</v>
      </c>
      <c r="B39" s="467"/>
      <c r="C39" s="467"/>
      <c r="D39" s="468"/>
      <c r="E39" s="469"/>
      <c r="F39" s="470"/>
      <c r="G39" s="470"/>
      <c r="H39" s="470"/>
      <c r="I39" s="470"/>
      <c r="J39" s="470"/>
      <c r="K39" s="470"/>
      <c r="L39" s="470"/>
      <c r="M39" s="470"/>
      <c r="N39" s="470"/>
    </row>
    <row r="40" spans="1:14">
      <c r="A40" s="5">
        <f t="shared" si="0"/>
        <v>34</v>
      </c>
      <c r="B40" s="467"/>
      <c r="C40" s="467"/>
      <c r="D40" s="468"/>
      <c r="E40" s="469"/>
      <c r="F40" s="470"/>
      <c r="G40" s="470"/>
      <c r="H40" s="470"/>
      <c r="I40" s="470"/>
      <c r="J40" s="470"/>
      <c r="K40" s="470"/>
      <c r="L40" s="470"/>
      <c r="M40" s="470"/>
      <c r="N40" s="470"/>
    </row>
    <row r="41" spans="1:14">
      <c r="A41" s="5">
        <f t="shared" si="0"/>
        <v>35</v>
      </c>
      <c r="B41" s="467"/>
      <c r="C41" s="467"/>
      <c r="D41" s="468"/>
      <c r="E41" s="469"/>
      <c r="F41" s="470"/>
      <c r="G41" s="470"/>
      <c r="H41" s="470"/>
      <c r="I41" s="470"/>
      <c r="J41" s="470"/>
      <c r="K41" s="470"/>
      <c r="L41" s="470"/>
      <c r="M41" s="470"/>
      <c r="N41" s="470"/>
    </row>
    <row r="42" spans="1:14">
      <c r="A42" s="5">
        <f t="shared" si="0"/>
        <v>36</v>
      </c>
      <c r="B42" s="467"/>
      <c r="C42" s="467"/>
      <c r="D42" s="467"/>
      <c r="E42" s="469"/>
      <c r="F42" s="470"/>
      <c r="G42" s="470"/>
      <c r="H42" s="470"/>
      <c r="I42" s="470"/>
      <c r="J42" s="470"/>
      <c r="K42" s="470"/>
      <c r="L42" s="470"/>
      <c r="M42" s="470"/>
      <c r="N42" s="470"/>
    </row>
    <row r="43" spans="1:14">
      <c r="A43" s="5">
        <f t="shared" si="0"/>
        <v>37</v>
      </c>
      <c r="B43" s="467"/>
      <c r="C43" s="467"/>
      <c r="D43" s="467"/>
      <c r="E43" s="469"/>
      <c r="F43" s="470"/>
      <c r="G43" s="470"/>
      <c r="H43" s="470"/>
      <c r="I43" s="470"/>
      <c r="J43" s="470"/>
      <c r="K43" s="470"/>
      <c r="L43" s="470"/>
      <c r="M43" s="470"/>
      <c r="N43" s="470"/>
    </row>
    <row r="44" spans="1:14">
      <c r="A44" s="5">
        <f t="shared" si="0"/>
        <v>38</v>
      </c>
      <c r="B44" s="472"/>
      <c r="C44" s="472"/>
      <c r="D44" s="472"/>
      <c r="E44" s="472"/>
      <c r="F44" s="473"/>
      <c r="G44" s="473"/>
      <c r="H44" s="473"/>
      <c r="I44" s="473"/>
      <c r="J44" s="473"/>
      <c r="K44" s="473"/>
      <c r="L44" s="473"/>
      <c r="M44" s="473"/>
      <c r="N44" s="473"/>
    </row>
    <row r="45" spans="1:14">
      <c r="A45" s="5">
        <f t="shared" si="0"/>
        <v>39</v>
      </c>
      <c r="B45" s="463"/>
      <c r="C45" s="463" t="s">
        <v>9</v>
      </c>
      <c r="D45" s="463"/>
      <c r="E45" s="474"/>
      <c r="F45" s="474">
        <f t="shared" ref="F45:N45" si="2">SUM(F24:F44)</f>
        <v>15219</v>
      </c>
      <c r="G45" s="474">
        <f t="shared" si="2"/>
        <v>259</v>
      </c>
      <c r="H45" s="474">
        <f t="shared" si="2"/>
        <v>0</v>
      </c>
      <c r="I45" s="474">
        <f t="shared" si="2"/>
        <v>1123902</v>
      </c>
      <c r="J45" s="474">
        <f t="shared" si="2"/>
        <v>0</v>
      </c>
      <c r="K45" s="474">
        <f t="shared" si="2"/>
        <v>0</v>
      </c>
      <c r="L45" s="474">
        <f t="shared" si="2"/>
        <v>0</v>
      </c>
      <c r="M45" s="474">
        <f t="shared" si="2"/>
        <v>0</v>
      </c>
      <c r="N45" s="474">
        <f t="shared" si="2"/>
        <v>1139380</v>
      </c>
    </row>
    <row r="46" spans="1:14">
      <c r="A46" s="5">
        <f t="shared" si="0"/>
        <v>40</v>
      </c>
      <c r="E46" s="213"/>
      <c r="F46" s="475"/>
      <c r="G46" s="475"/>
      <c r="H46" s="475"/>
      <c r="I46" s="475"/>
      <c r="J46" s="475"/>
      <c r="K46" s="475"/>
      <c r="L46" s="475"/>
      <c r="M46" s="475"/>
      <c r="N46" s="475"/>
    </row>
    <row r="47" spans="1:14">
      <c r="A47" s="5">
        <f t="shared" si="0"/>
        <v>41</v>
      </c>
      <c r="B47" s="476" t="s">
        <v>199</v>
      </c>
      <c r="E47" s="477"/>
      <c r="F47" s="475"/>
      <c r="G47" s="475"/>
      <c r="H47" s="475"/>
      <c r="I47" s="475"/>
      <c r="J47" s="475"/>
      <c r="K47" s="475"/>
      <c r="L47" s="475"/>
      <c r="M47" s="475"/>
      <c r="N47" s="475"/>
    </row>
    <row r="48" spans="1:14" s="425" customFormat="1" ht="15" customHeight="1">
      <c r="A48" s="5">
        <f t="shared" si="0"/>
        <v>42</v>
      </c>
      <c r="B48" s="2" t="s">
        <v>196</v>
      </c>
      <c r="C48" s="2"/>
      <c r="D48" s="2"/>
      <c r="E48" s="2"/>
      <c r="F48" s="475">
        <f t="shared" ref="F48:N51" si="3">SUMIF($B$24:$B$44,$B48,F$24:F$44)</f>
        <v>0</v>
      </c>
      <c r="G48" s="475">
        <f t="shared" si="3"/>
        <v>0</v>
      </c>
      <c r="H48" s="475">
        <f t="shared" si="3"/>
        <v>0</v>
      </c>
      <c r="I48" s="475">
        <f t="shared" si="3"/>
        <v>1119909</v>
      </c>
      <c r="J48" s="475">
        <f t="shared" si="3"/>
        <v>0</v>
      </c>
      <c r="K48" s="475">
        <f t="shared" si="3"/>
        <v>0</v>
      </c>
      <c r="L48" s="475">
        <f t="shared" si="3"/>
        <v>0</v>
      </c>
      <c r="M48" s="475">
        <f t="shared" si="3"/>
        <v>0</v>
      </c>
      <c r="N48" s="475">
        <f t="shared" si="3"/>
        <v>1119909</v>
      </c>
    </row>
    <row r="49" spans="1:14">
      <c r="A49" s="5">
        <f t="shared" si="0"/>
        <v>43</v>
      </c>
      <c r="B49" s="2" t="s">
        <v>197</v>
      </c>
      <c r="F49" s="475">
        <f t="shared" si="3"/>
        <v>0</v>
      </c>
      <c r="G49" s="475">
        <f t="shared" si="3"/>
        <v>259</v>
      </c>
      <c r="H49" s="475">
        <f t="shared" si="3"/>
        <v>0</v>
      </c>
      <c r="I49" s="475">
        <f t="shared" si="3"/>
        <v>9</v>
      </c>
      <c r="J49" s="475">
        <f t="shared" si="3"/>
        <v>0</v>
      </c>
      <c r="K49" s="475">
        <f t="shared" si="3"/>
        <v>0</v>
      </c>
      <c r="L49" s="475">
        <f t="shared" si="3"/>
        <v>0</v>
      </c>
      <c r="M49" s="475">
        <f t="shared" si="3"/>
        <v>0</v>
      </c>
      <c r="N49" s="475">
        <f t="shared" si="3"/>
        <v>268</v>
      </c>
    </row>
    <row r="50" spans="1:14">
      <c r="A50" s="5">
        <f t="shared" si="0"/>
        <v>44</v>
      </c>
      <c r="B50" s="2" t="s">
        <v>198</v>
      </c>
      <c r="F50" s="475">
        <f t="shared" si="3"/>
        <v>15219</v>
      </c>
      <c r="G50" s="475">
        <f t="shared" si="3"/>
        <v>0</v>
      </c>
      <c r="H50" s="475">
        <f t="shared" si="3"/>
        <v>0</v>
      </c>
      <c r="I50" s="475">
        <f t="shared" si="3"/>
        <v>3984</v>
      </c>
      <c r="J50" s="475">
        <f t="shared" si="3"/>
        <v>0</v>
      </c>
      <c r="K50" s="475">
        <f t="shared" si="3"/>
        <v>0</v>
      </c>
      <c r="L50" s="475">
        <f t="shared" si="3"/>
        <v>0</v>
      </c>
      <c r="M50" s="475">
        <f t="shared" si="3"/>
        <v>0</v>
      </c>
      <c r="N50" s="475">
        <f t="shared" si="3"/>
        <v>19203</v>
      </c>
    </row>
    <row r="51" spans="1:14">
      <c r="A51" s="5">
        <f t="shared" si="0"/>
        <v>45</v>
      </c>
      <c r="B51" s="2" t="s">
        <v>200</v>
      </c>
      <c r="F51" s="475">
        <f t="shared" si="3"/>
        <v>0</v>
      </c>
      <c r="G51" s="475">
        <f t="shared" si="3"/>
        <v>0</v>
      </c>
      <c r="H51" s="475">
        <f t="shared" si="3"/>
        <v>0</v>
      </c>
      <c r="I51" s="475">
        <f t="shared" si="3"/>
        <v>0</v>
      </c>
      <c r="J51" s="475">
        <f t="shared" si="3"/>
        <v>0</v>
      </c>
      <c r="K51" s="475">
        <f t="shared" si="3"/>
        <v>0</v>
      </c>
      <c r="L51" s="475">
        <f t="shared" si="3"/>
        <v>0</v>
      </c>
      <c r="M51" s="475">
        <f t="shared" si="3"/>
        <v>0</v>
      </c>
      <c r="N51" s="475">
        <f t="shared" si="3"/>
        <v>0</v>
      </c>
    </row>
    <row r="52" spans="1:14">
      <c r="A52" s="5">
        <f t="shared" si="0"/>
        <v>46</v>
      </c>
      <c r="B52" s="463" t="s">
        <v>9</v>
      </c>
      <c r="C52" s="463"/>
      <c r="D52" s="463"/>
      <c r="E52" s="463"/>
      <c r="F52" s="474">
        <f t="shared" ref="F52" si="4">SUM(F48:F51)</f>
        <v>15219</v>
      </c>
      <c r="G52" s="474">
        <f t="shared" ref="G52:M52" si="5">SUM(G48:G51)</f>
        <v>259</v>
      </c>
      <c r="H52" s="474">
        <f t="shared" si="5"/>
        <v>0</v>
      </c>
      <c r="I52" s="474">
        <f t="shared" si="5"/>
        <v>1123902</v>
      </c>
      <c r="J52" s="474">
        <f t="shared" si="5"/>
        <v>0</v>
      </c>
      <c r="K52" s="474">
        <f t="shared" si="5"/>
        <v>0</v>
      </c>
      <c r="L52" s="474">
        <f t="shared" si="5"/>
        <v>0</v>
      </c>
      <c r="M52" s="474">
        <f t="shared" si="5"/>
        <v>0</v>
      </c>
      <c r="N52" s="474">
        <f>SUM(N48:N51)</f>
        <v>1139380</v>
      </c>
    </row>
    <row r="53" spans="1:14">
      <c r="A53" s="5">
        <f t="shared" si="0"/>
        <v>47</v>
      </c>
      <c r="F53" s="475"/>
      <c r="G53" s="475"/>
      <c r="H53" s="475"/>
      <c r="I53" s="475"/>
      <c r="J53" s="475"/>
      <c r="K53" s="475"/>
      <c r="L53" s="475"/>
      <c r="M53" s="475"/>
      <c r="N53" s="475"/>
    </row>
    <row r="54" spans="1:14">
      <c r="A54" s="5">
        <f t="shared" si="0"/>
        <v>48</v>
      </c>
      <c r="B54" s="478" t="s">
        <v>554</v>
      </c>
    </row>
    <row r="55" spans="1:14">
      <c r="A55" s="5">
        <f t="shared" si="0"/>
        <v>49</v>
      </c>
      <c r="B55" s="2" t="s">
        <v>198</v>
      </c>
      <c r="C55" s="2" t="s">
        <v>201</v>
      </c>
    </row>
    <row r="56" spans="1:14">
      <c r="A56" s="5">
        <f t="shared" si="0"/>
        <v>50</v>
      </c>
      <c r="B56" s="2" t="s">
        <v>197</v>
      </c>
      <c r="C56" s="2" t="s">
        <v>202</v>
      </c>
    </row>
    <row r="57" spans="1:14">
      <c r="A57" s="5">
        <f t="shared" si="0"/>
        <v>51</v>
      </c>
      <c r="B57" s="2" t="s">
        <v>196</v>
      </c>
      <c r="C57" s="2" t="s">
        <v>203</v>
      </c>
    </row>
    <row r="58" spans="1:14">
      <c r="A58" s="5"/>
    </row>
    <row r="59" spans="1:14">
      <c r="A59" s="479" t="s">
        <v>174</v>
      </c>
    </row>
    <row r="60" spans="1:14" ht="12.75" customHeight="1">
      <c r="A60" s="27" t="s">
        <v>79</v>
      </c>
      <c r="B60" s="868" t="s">
        <v>90</v>
      </c>
      <c r="C60" s="868"/>
      <c r="D60" s="868"/>
      <c r="E60" s="868"/>
      <c r="F60" s="868"/>
      <c r="G60" s="868"/>
      <c r="H60" s="868"/>
      <c r="I60" s="868"/>
      <c r="J60" s="868"/>
      <c r="K60" s="868"/>
      <c r="L60" s="868"/>
      <c r="M60" s="868"/>
    </row>
    <row r="61" spans="1:14">
      <c r="A61" s="27" t="s">
        <v>80</v>
      </c>
      <c r="B61" s="2" t="s">
        <v>805</v>
      </c>
    </row>
  </sheetData>
  <mergeCells count="6">
    <mergeCell ref="A1:N1"/>
    <mergeCell ref="A2:N2"/>
    <mergeCell ref="A3:N3"/>
    <mergeCell ref="B60:M60"/>
    <mergeCell ref="H8:I8"/>
    <mergeCell ref="H7:I7"/>
  </mergeCells>
  <pageMargins left="0.5" right="0.25" top="1" bottom="1" header="0.5" footer="0.5"/>
  <pageSetup scale="3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D49"/>
  <sheetViews>
    <sheetView workbookViewId="0">
      <selection activeCell="A50" sqref="A50"/>
    </sheetView>
  </sheetViews>
  <sheetFormatPr defaultColWidth="7.08984375" defaultRowHeight="13.2"/>
  <cols>
    <col min="1" max="1" width="5.54296875" style="204" customWidth="1"/>
    <col min="2" max="2" width="35.54296875" style="204" customWidth="1"/>
    <col min="3" max="3" width="24.1796875" style="204" customWidth="1"/>
    <col min="4" max="4" width="11.08984375" style="215" customWidth="1"/>
    <col min="5" max="16384" width="7.08984375" style="204"/>
  </cols>
  <sheetData>
    <row r="1" spans="1:4" ht="14.25" customHeight="1">
      <c r="A1" s="887" t="s">
        <v>531</v>
      </c>
      <c r="B1" s="887"/>
      <c r="C1" s="887"/>
      <c r="D1" s="887"/>
    </row>
    <row r="2" spans="1:4">
      <c r="A2" s="887" t="s">
        <v>206</v>
      </c>
      <c r="B2" s="887"/>
      <c r="C2" s="887"/>
      <c r="D2" s="887"/>
    </row>
    <row r="3" spans="1:4">
      <c r="A3" s="888" t="str">
        <f>'Act Att-H'!C7</f>
        <v>Cheyenne Light, Fuel &amp; Power</v>
      </c>
      <c r="B3" s="887"/>
      <c r="C3" s="887"/>
      <c r="D3" s="887"/>
    </row>
    <row r="4" spans="1:4">
      <c r="D4" s="205" t="s">
        <v>672</v>
      </c>
    </row>
    <row r="5" spans="1:4">
      <c r="D5" s="204"/>
    </row>
    <row r="6" spans="1:4">
      <c r="A6" s="206" t="s">
        <v>4</v>
      </c>
      <c r="C6" s="207" t="s">
        <v>20</v>
      </c>
      <c r="D6" s="208"/>
    </row>
    <row r="7" spans="1:4">
      <c r="A7" s="209" t="s">
        <v>6</v>
      </c>
      <c r="B7" s="209" t="s">
        <v>477</v>
      </c>
      <c r="C7" s="210" t="s">
        <v>22</v>
      </c>
      <c r="D7" s="211" t="s">
        <v>23</v>
      </c>
    </row>
    <row r="8" spans="1:4" ht="13.35" customHeight="1">
      <c r="A8" s="206">
        <v>1</v>
      </c>
      <c r="B8" s="204" t="s">
        <v>207</v>
      </c>
      <c r="C8" s="204" t="s">
        <v>208</v>
      </c>
      <c r="D8" s="212">
        <v>31179</v>
      </c>
    </row>
    <row r="9" spans="1:4" ht="13.35" customHeight="1">
      <c r="A9" s="206">
        <v>2</v>
      </c>
      <c r="B9" s="204" t="s">
        <v>209</v>
      </c>
      <c r="C9" s="204" t="s">
        <v>210</v>
      </c>
      <c r="D9" s="212">
        <v>817223</v>
      </c>
    </row>
    <row r="10" spans="1:4" ht="13.35" customHeight="1">
      <c r="A10" s="206">
        <v>3</v>
      </c>
      <c r="B10" s="204" t="s">
        <v>211</v>
      </c>
      <c r="C10" s="204" t="s">
        <v>212</v>
      </c>
      <c r="D10" s="212">
        <v>45787</v>
      </c>
    </row>
    <row r="11" spans="1:4" ht="13.35" customHeight="1">
      <c r="A11" s="206">
        <v>4</v>
      </c>
      <c r="B11" s="204" t="s">
        <v>1080</v>
      </c>
      <c r="C11" s="204" t="s">
        <v>475</v>
      </c>
      <c r="D11" s="212">
        <v>155.44999999999999</v>
      </c>
    </row>
    <row r="12" spans="1:4" ht="13.35" customHeight="1">
      <c r="A12" s="206" t="s">
        <v>1051</v>
      </c>
      <c r="B12" s="204" t="s">
        <v>1065</v>
      </c>
      <c r="C12" s="204" t="s">
        <v>909</v>
      </c>
      <c r="D12" s="212">
        <v>0</v>
      </c>
    </row>
    <row r="13" spans="1:4" ht="13.35" customHeight="1">
      <c r="A13" s="206" t="s">
        <v>1052</v>
      </c>
      <c r="B13" s="204" t="s">
        <v>1066</v>
      </c>
      <c r="C13" s="204" t="s">
        <v>909</v>
      </c>
      <c r="D13" s="212">
        <v>0</v>
      </c>
    </row>
    <row r="14" spans="1:4" ht="13.35" customHeight="1" thickBot="1">
      <c r="A14" s="206">
        <v>5</v>
      </c>
      <c r="B14" s="204" t="s">
        <v>263</v>
      </c>
      <c r="C14" s="204" t="s">
        <v>1079</v>
      </c>
      <c r="D14" s="214">
        <f>SUM(D8:D10,D12:D13)-D11</f>
        <v>894033.55</v>
      </c>
    </row>
    <row r="15" spans="1:4" ht="13.35" customHeight="1" thickTop="1">
      <c r="A15" s="206">
        <v>6</v>
      </c>
    </row>
    <row r="16" spans="1:4" ht="13.35" customHeight="1">
      <c r="A16" s="206">
        <v>7</v>
      </c>
    </row>
    <row r="17" spans="1:4" ht="13.35" customHeight="1">
      <c r="A17" s="206">
        <v>8</v>
      </c>
      <c r="B17" s="216" t="s">
        <v>213</v>
      </c>
      <c r="D17" s="217"/>
    </row>
    <row r="18" spans="1:4" ht="13.2" customHeight="1">
      <c r="A18" s="206">
        <v>9</v>
      </c>
      <c r="D18" s="217"/>
    </row>
    <row r="19" spans="1:4" ht="13.35" customHeight="1">
      <c r="A19" s="206">
        <v>10</v>
      </c>
      <c r="B19" s="204" t="s">
        <v>823</v>
      </c>
      <c r="C19" s="204" t="s">
        <v>824</v>
      </c>
      <c r="D19" s="212">
        <v>0</v>
      </c>
    </row>
    <row r="20" spans="1:4" ht="13.35" customHeight="1">
      <c r="A20" s="206">
        <v>11</v>
      </c>
      <c r="B20" s="204" t="s">
        <v>908</v>
      </c>
      <c r="C20" s="204" t="s">
        <v>1172</v>
      </c>
      <c r="D20" s="212">
        <v>0</v>
      </c>
    </row>
    <row r="21" spans="1:4" ht="13.35" customHeight="1">
      <c r="A21" s="206">
        <v>12</v>
      </c>
      <c r="D21" s="213"/>
    </row>
    <row r="22" spans="1:4" ht="13.35" customHeight="1">
      <c r="A22" s="206">
        <v>13</v>
      </c>
      <c r="D22" s="218"/>
    </row>
    <row r="23" spans="1:4" ht="13.35" customHeight="1">
      <c r="A23" s="206">
        <v>14</v>
      </c>
      <c r="B23" s="204" t="s">
        <v>9</v>
      </c>
      <c r="C23" s="216"/>
      <c r="D23" s="219">
        <f>SUM(D19:D22)</f>
        <v>0</v>
      </c>
    </row>
    <row r="24" spans="1:4" ht="13.35" customHeight="1">
      <c r="A24" s="206">
        <v>15</v>
      </c>
      <c r="D24" s="213"/>
    </row>
    <row r="25" spans="1:4" ht="13.35" customHeight="1" thickBot="1">
      <c r="A25" s="206">
        <v>16</v>
      </c>
      <c r="B25" s="204" t="s">
        <v>264</v>
      </c>
      <c r="D25" s="214">
        <f>+D23</f>
        <v>0</v>
      </c>
    </row>
    <row r="26" spans="1:4" ht="13.35" customHeight="1" thickTop="1">
      <c r="A26" s="206">
        <v>17</v>
      </c>
      <c r="D26" s="220"/>
    </row>
    <row r="27" spans="1:4" ht="13.35" customHeight="1">
      <c r="A27" s="206">
        <v>18</v>
      </c>
      <c r="D27" s="220"/>
    </row>
    <row r="28" spans="1:4" ht="13.35" customHeight="1">
      <c r="A28" s="206">
        <v>19</v>
      </c>
      <c r="B28" s="216" t="s">
        <v>1081</v>
      </c>
      <c r="D28" s="220"/>
    </row>
    <row r="29" spans="1:4" ht="13.2" customHeight="1">
      <c r="A29" s="206">
        <v>20</v>
      </c>
      <c r="B29" s="204" t="s">
        <v>214</v>
      </c>
      <c r="C29" s="204" t="s">
        <v>476</v>
      </c>
      <c r="D29" s="212"/>
    </row>
    <row r="30" spans="1:4" ht="13.35" customHeight="1">
      <c r="A30" s="206">
        <v>21</v>
      </c>
      <c r="B30" s="204" t="s">
        <v>215</v>
      </c>
      <c r="C30" s="204" t="s">
        <v>476</v>
      </c>
      <c r="D30" s="212">
        <v>554897</v>
      </c>
    </row>
    <row r="31" spans="1:4" ht="13.35" customHeight="1" thickBot="1">
      <c r="A31" s="206">
        <v>22</v>
      </c>
      <c r="B31" s="204" t="s">
        <v>1081</v>
      </c>
      <c r="C31" s="204" t="s">
        <v>1006</v>
      </c>
      <c r="D31" s="214">
        <f>SUM(D29:D30)</f>
        <v>554897</v>
      </c>
    </row>
    <row r="32" spans="1:4" ht="13.35" customHeight="1" thickTop="1">
      <c r="A32" s="206"/>
      <c r="D32" s="220"/>
    </row>
    <row r="33" spans="1:4" ht="13.35" customHeight="1">
      <c r="A33" s="381" t="s">
        <v>174</v>
      </c>
      <c r="B33" s="221"/>
      <c r="D33" s="220"/>
    </row>
    <row r="34" spans="1:4" ht="25.5" customHeight="1">
      <c r="A34" s="421" t="s">
        <v>79</v>
      </c>
      <c r="B34" s="886" t="s">
        <v>674</v>
      </c>
      <c r="C34" s="886"/>
      <c r="D34" s="886"/>
    </row>
    <row r="35" spans="1:4" ht="33" customHeight="1">
      <c r="A35" s="421" t="s">
        <v>80</v>
      </c>
      <c r="B35" s="886" t="s">
        <v>923</v>
      </c>
      <c r="C35" s="886"/>
      <c r="D35" s="886"/>
    </row>
    <row r="36" spans="1:4" ht="17.25" customHeight="1">
      <c r="A36" s="421" t="s">
        <v>81</v>
      </c>
      <c r="B36" s="886" t="s">
        <v>822</v>
      </c>
      <c r="C36" s="886"/>
      <c r="D36" s="886"/>
    </row>
    <row r="37" spans="1:4" ht="25.5" customHeight="1">
      <c r="A37" s="421" t="s">
        <v>82</v>
      </c>
      <c r="B37" s="886" t="s">
        <v>1082</v>
      </c>
      <c r="C37" s="886"/>
      <c r="D37" s="886"/>
    </row>
    <row r="38" spans="1:4">
      <c r="A38" s="206"/>
    </row>
    <row r="39" spans="1:4">
      <c r="A39" s="206"/>
    </row>
    <row r="40" spans="1:4">
      <c r="A40" s="206"/>
    </row>
    <row r="41" spans="1:4">
      <c r="A41" s="206"/>
    </row>
    <row r="42" spans="1:4">
      <c r="A42" s="206"/>
    </row>
    <row r="43" spans="1:4">
      <c r="A43" s="206"/>
    </row>
    <row r="44" spans="1:4">
      <c r="A44" s="206"/>
    </row>
    <row r="45" spans="1:4">
      <c r="A45" s="206"/>
    </row>
    <row r="46" spans="1:4">
      <c r="A46" s="206"/>
    </row>
    <row r="47" spans="1:4">
      <c r="A47" s="206"/>
    </row>
    <row r="49" ht="25.5" customHeight="1"/>
  </sheetData>
  <mergeCells count="7">
    <mergeCell ref="B37:D37"/>
    <mergeCell ref="B36:D36"/>
    <mergeCell ref="B35:D35"/>
    <mergeCell ref="A1:D1"/>
    <mergeCell ref="A2:D2"/>
    <mergeCell ref="A3:D3"/>
    <mergeCell ref="B34:D34"/>
  </mergeCells>
  <pageMargins left="0.75" right="0.75" top="1" bottom="1"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F81"/>
  <sheetViews>
    <sheetView zoomScaleNormal="100" workbookViewId="0">
      <selection activeCell="A50" sqref="A50"/>
    </sheetView>
  </sheetViews>
  <sheetFormatPr defaultRowHeight="13.2"/>
  <cols>
    <col min="1" max="1" width="6.08984375" style="2" customWidth="1"/>
    <col min="2" max="2" width="36.453125" style="2" bestFit="1" customWidth="1"/>
    <col min="3" max="3" width="12.08984375" style="2" bestFit="1" customWidth="1"/>
    <col min="4" max="4" width="12.1796875" style="2" bestFit="1" customWidth="1"/>
    <col min="5" max="5" width="12.08984375" style="2" bestFit="1" customWidth="1"/>
    <col min="6" max="6" width="15.54296875" style="2" bestFit="1" customWidth="1"/>
    <col min="7" max="243" width="8.81640625" style="2"/>
    <col min="244" max="244" width="6.08984375" style="2" customWidth="1"/>
    <col min="245" max="247" width="11.81640625" style="2" customWidth="1"/>
    <col min="248" max="249" width="9.81640625" style="2" customWidth="1"/>
    <col min="250" max="250" width="15.08984375" style="2" bestFit="1" customWidth="1"/>
    <col min="251" max="499" width="8.81640625" style="2"/>
    <col min="500" max="500" width="6.08984375" style="2" customWidth="1"/>
    <col min="501" max="503" width="11.81640625" style="2" customWidth="1"/>
    <col min="504" max="505" width="9.81640625" style="2" customWidth="1"/>
    <col min="506" max="506" width="15.08984375" style="2" bestFit="1" customWidth="1"/>
    <col min="507" max="755" width="8.81640625" style="2"/>
    <col min="756" max="756" width="6.08984375" style="2" customWidth="1"/>
    <col min="757" max="759" width="11.81640625" style="2" customWidth="1"/>
    <col min="760" max="761" width="9.81640625" style="2" customWidth="1"/>
    <col min="762" max="762" width="15.08984375" style="2" bestFit="1" customWidth="1"/>
    <col min="763" max="1011" width="8.81640625" style="2"/>
    <col min="1012" max="1012" width="6.08984375" style="2" customWidth="1"/>
    <col min="1013" max="1015" width="11.81640625" style="2" customWidth="1"/>
    <col min="1016" max="1017" width="9.81640625" style="2" customWidth="1"/>
    <col min="1018" max="1018" width="15.08984375" style="2" bestFit="1" customWidth="1"/>
    <col min="1019" max="1267" width="8.81640625" style="2"/>
    <col min="1268" max="1268" width="6.08984375" style="2" customWidth="1"/>
    <col min="1269" max="1271" width="11.81640625" style="2" customWidth="1"/>
    <col min="1272" max="1273" width="9.81640625" style="2" customWidth="1"/>
    <col min="1274" max="1274" width="15.08984375" style="2" bestFit="1" customWidth="1"/>
    <col min="1275" max="1523" width="8.81640625" style="2"/>
    <col min="1524" max="1524" width="6.08984375" style="2" customWidth="1"/>
    <col min="1525" max="1527" width="11.81640625" style="2" customWidth="1"/>
    <col min="1528" max="1529" width="9.81640625" style="2" customWidth="1"/>
    <col min="1530" max="1530" width="15.08984375" style="2" bestFit="1" customWidth="1"/>
    <col min="1531" max="1779" width="8.81640625" style="2"/>
    <col min="1780" max="1780" width="6.08984375" style="2" customWidth="1"/>
    <col min="1781" max="1783" width="11.81640625" style="2" customWidth="1"/>
    <col min="1784" max="1785" width="9.81640625" style="2" customWidth="1"/>
    <col min="1786" max="1786" width="15.08984375" style="2" bestFit="1" customWidth="1"/>
    <col min="1787" max="2035" width="8.81640625" style="2"/>
    <col min="2036" max="2036" width="6.08984375" style="2" customWidth="1"/>
    <col min="2037" max="2039" width="11.81640625" style="2" customWidth="1"/>
    <col min="2040" max="2041" width="9.81640625" style="2" customWidth="1"/>
    <col min="2042" max="2042" width="15.08984375" style="2" bestFit="1" customWidth="1"/>
    <col min="2043" max="2291" width="8.81640625" style="2"/>
    <col min="2292" max="2292" width="6.08984375" style="2" customWidth="1"/>
    <col min="2293" max="2295" width="11.81640625" style="2" customWidth="1"/>
    <col min="2296" max="2297" width="9.81640625" style="2" customWidth="1"/>
    <col min="2298" max="2298" width="15.08984375" style="2" bestFit="1" customWidth="1"/>
    <col min="2299" max="2547" width="8.81640625" style="2"/>
    <col min="2548" max="2548" width="6.08984375" style="2" customWidth="1"/>
    <col min="2549" max="2551" width="11.81640625" style="2" customWidth="1"/>
    <col min="2552" max="2553" width="9.81640625" style="2" customWidth="1"/>
    <col min="2554" max="2554" width="15.08984375" style="2" bestFit="1" customWidth="1"/>
    <col min="2555" max="2803" width="8.81640625" style="2"/>
    <col min="2804" max="2804" width="6.08984375" style="2" customWidth="1"/>
    <col min="2805" max="2807" width="11.81640625" style="2" customWidth="1"/>
    <col min="2808" max="2809" width="9.81640625" style="2" customWidth="1"/>
    <col min="2810" max="2810" width="15.08984375" style="2" bestFit="1" customWidth="1"/>
    <col min="2811" max="3059" width="8.81640625" style="2"/>
    <col min="3060" max="3060" width="6.08984375" style="2" customWidth="1"/>
    <col min="3061" max="3063" width="11.81640625" style="2" customWidth="1"/>
    <col min="3064" max="3065" width="9.81640625" style="2" customWidth="1"/>
    <col min="3066" max="3066" width="15.08984375" style="2" bestFit="1" customWidth="1"/>
    <col min="3067" max="3315" width="8.81640625" style="2"/>
    <col min="3316" max="3316" width="6.08984375" style="2" customWidth="1"/>
    <col min="3317" max="3319" width="11.81640625" style="2" customWidth="1"/>
    <col min="3320" max="3321" width="9.81640625" style="2" customWidth="1"/>
    <col min="3322" max="3322" width="15.08984375" style="2" bestFit="1" customWidth="1"/>
    <col min="3323" max="3571" width="8.81640625" style="2"/>
    <col min="3572" max="3572" width="6.08984375" style="2" customWidth="1"/>
    <col min="3573" max="3575" width="11.81640625" style="2" customWidth="1"/>
    <col min="3576" max="3577" width="9.81640625" style="2" customWidth="1"/>
    <col min="3578" max="3578" width="15.08984375" style="2" bestFit="1" customWidth="1"/>
    <col min="3579" max="3827" width="8.81640625" style="2"/>
    <col min="3828" max="3828" width="6.08984375" style="2" customWidth="1"/>
    <col min="3829" max="3831" width="11.81640625" style="2" customWidth="1"/>
    <col min="3832" max="3833" width="9.81640625" style="2" customWidth="1"/>
    <col min="3834" max="3834" width="15.08984375" style="2" bestFit="1" customWidth="1"/>
    <col min="3835" max="4083" width="8.81640625" style="2"/>
    <col min="4084" max="4084" width="6.08984375" style="2" customWidth="1"/>
    <col min="4085" max="4087" width="11.81640625" style="2" customWidth="1"/>
    <col min="4088" max="4089" width="9.81640625" style="2" customWidth="1"/>
    <col min="4090" max="4090" width="15.08984375" style="2" bestFit="1" customWidth="1"/>
    <col min="4091" max="4339" width="8.81640625" style="2"/>
    <col min="4340" max="4340" width="6.08984375" style="2" customWidth="1"/>
    <col min="4341" max="4343" width="11.81640625" style="2" customWidth="1"/>
    <col min="4344" max="4345" width="9.81640625" style="2" customWidth="1"/>
    <col min="4346" max="4346" width="15.08984375" style="2" bestFit="1" customWidth="1"/>
    <col min="4347" max="4595" width="8.81640625" style="2"/>
    <col min="4596" max="4596" width="6.08984375" style="2" customWidth="1"/>
    <col min="4597" max="4599" width="11.81640625" style="2" customWidth="1"/>
    <col min="4600" max="4601" width="9.81640625" style="2" customWidth="1"/>
    <col min="4602" max="4602" width="15.08984375" style="2" bestFit="1" customWidth="1"/>
    <col min="4603" max="4851" width="8.81640625" style="2"/>
    <col min="4852" max="4852" width="6.08984375" style="2" customWidth="1"/>
    <col min="4853" max="4855" width="11.81640625" style="2" customWidth="1"/>
    <col min="4856" max="4857" width="9.81640625" style="2" customWidth="1"/>
    <col min="4858" max="4858" width="15.08984375" style="2" bestFit="1" customWidth="1"/>
    <col min="4859" max="5107" width="8.81640625" style="2"/>
    <col min="5108" max="5108" width="6.08984375" style="2" customWidth="1"/>
    <col min="5109" max="5111" width="11.81640625" style="2" customWidth="1"/>
    <col min="5112" max="5113" width="9.81640625" style="2" customWidth="1"/>
    <col min="5114" max="5114" width="15.08984375" style="2" bestFit="1" customWidth="1"/>
    <col min="5115" max="5363" width="8.81640625" style="2"/>
    <col min="5364" max="5364" width="6.08984375" style="2" customWidth="1"/>
    <col min="5365" max="5367" width="11.81640625" style="2" customWidth="1"/>
    <col min="5368" max="5369" width="9.81640625" style="2" customWidth="1"/>
    <col min="5370" max="5370" width="15.08984375" style="2" bestFit="1" customWidth="1"/>
    <col min="5371" max="5619" width="8.81640625" style="2"/>
    <col min="5620" max="5620" width="6.08984375" style="2" customWidth="1"/>
    <col min="5621" max="5623" width="11.81640625" style="2" customWidth="1"/>
    <col min="5624" max="5625" width="9.81640625" style="2" customWidth="1"/>
    <col min="5626" max="5626" width="15.08984375" style="2" bestFit="1" customWidth="1"/>
    <col min="5627" max="5875" width="8.81640625" style="2"/>
    <col min="5876" max="5876" width="6.08984375" style="2" customWidth="1"/>
    <col min="5877" max="5879" width="11.81640625" style="2" customWidth="1"/>
    <col min="5880" max="5881" width="9.81640625" style="2" customWidth="1"/>
    <col min="5882" max="5882" width="15.08984375" style="2" bestFit="1" customWidth="1"/>
    <col min="5883" max="6131" width="8.81640625" style="2"/>
    <col min="6132" max="6132" width="6.08984375" style="2" customWidth="1"/>
    <col min="6133" max="6135" width="11.81640625" style="2" customWidth="1"/>
    <col min="6136" max="6137" width="9.81640625" style="2" customWidth="1"/>
    <col min="6138" max="6138" width="15.08984375" style="2" bestFit="1" customWidth="1"/>
    <col min="6139" max="6387" width="8.81640625" style="2"/>
    <col min="6388" max="6388" width="6.08984375" style="2" customWidth="1"/>
    <col min="6389" max="6391" width="11.81640625" style="2" customWidth="1"/>
    <col min="6392" max="6393" width="9.81640625" style="2" customWidth="1"/>
    <col min="6394" max="6394" width="15.08984375" style="2" bestFit="1" customWidth="1"/>
    <col min="6395" max="6643" width="8.81640625" style="2"/>
    <col min="6644" max="6644" width="6.08984375" style="2" customWidth="1"/>
    <col min="6645" max="6647" width="11.81640625" style="2" customWidth="1"/>
    <col min="6648" max="6649" width="9.81640625" style="2" customWidth="1"/>
    <col min="6650" max="6650" width="15.08984375" style="2" bestFit="1" customWidth="1"/>
    <col min="6651" max="6899" width="8.81640625" style="2"/>
    <col min="6900" max="6900" width="6.08984375" style="2" customWidth="1"/>
    <col min="6901" max="6903" width="11.81640625" style="2" customWidth="1"/>
    <col min="6904" max="6905" width="9.81640625" style="2" customWidth="1"/>
    <col min="6906" max="6906" width="15.08984375" style="2" bestFit="1" customWidth="1"/>
    <col min="6907" max="7155" width="8.81640625" style="2"/>
    <col min="7156" max="7156" width="6.08984375" style="2" customWidth="1"/>
    <col min="7157" max="7159" width="11.81640625" style="2" customWidth="1"/>
    <col min="7160" max="7161" width="9.81640625" style="2" customWidth="1"/>
    <col min="7162" max="7162" width="15.08984375" style="2" bestFit="1" customWidth="1"/>
    <col min="7163" max="7411" width="8.81640625" style="2"/>
    <col min="7412" max="7412" width="6.08984375" style="2" customWidth="1"/>
    <col min="7413" max="7415" width="11.81640625" style="2" customWidth="1"/>
    <col min="7416" max="7417" width="9.81640625" style="2" customWidth="1"/>
    <col min="7418" max="7418" width="15.08984375" style="2" bestFit="1" customWidth="1"/>
    <col min="7419" max="7667" width="8.81640625" style="2"/>
    <col min="7668" max="7668" width="6.08984375" style="2" customWidth="1"/>
    <col min="7669" max="7671" width="11.81640625" style="2" customWidth="1"/>
    <col min="7672" max="7673" width="9.81640625" style="2" customWidth="1"/>
    <col min="7674" max="7674" width="15.08984375" style="2" bestFit="1" customWidth="1"/>
    <col min="7675" max="7923" width="8.81640625" style="2"/>
    <col min="7924" max="7924" width="6.08984375" style="2" customWidth="1"/>
    <col min="7925" max="7927" width="11.81640625" style="2" customWidth="1"/>
    <col min="7928" max="7929" width="9.81640625" style="2" customWidth="1"/>
    <col min="7930" max="7930" width="15.08984375" style="2" bestFit="1" customWidth="1"/>
    <col min="7931" max="8179" width="8.81640625" style="2"/>
    <col min="8180" max="8180" width="6.08984375" style="2" customWidth="1"/>
    <col min="8181" max="8183" width="11.81640625" style="2" customWidth="1"/>
    <col min="8184" max="8185" width="9.81640625" style="2" customWidth="1"/>
    <col min="8186" max="8186" width="15.08984375" style="2" bestFit="1" customWidth="1"/>
    <col min="8187" max="8435" width="8.81640625" style="2"/>
    <col min="8436" max="8436" width="6.08984375" style="2" customWidth="1"/>
    <col min="8437" max="8439" width="11.81640625" style="2" customWidth="1"/>
    <col min="8440" max="8441" width="9.81640625" style="2" customWidth="1"/>
    <col min="8442" max="8442" width="15.08984375" style="2" bestFit="1" customWidth="1"/>
    <col min="8443" max="8691" width="8.81640625" style="2"/>
    <col min="8692" max="8692" width="6.08984375" style="2" customWidth="1"/>
    <col min="8693" max="8695" width="11.81640625" style="2" customWidth="1"/>
    <col min="8696" max="8697" width="9.81640625" style="2" customWidth="1"/>
    <col min="8698" max="8698" width="15.08984375" style="2" bestFit="1" customWidth="1"/>
    <col min="8699" max="8947" width="8.81640625" style="2"/>
    <col min="8948" max="8948" width="6.08984375" style="2" customWidth="1"/>
    <col min="8949" max="8951" width="11.81640625" style="2" customWidth="1"/>
    <col min="8952" max="8953" width="9.81640625" style="2" customWidth="1"/>
    <col min="8954" max="8954" width="15.08984375" style="2" bestFit="1" customWidth="1"/>
    <col min="8955" max="9203" width="8.81640625" style="2"/>
    <col min="9204" max="9204" width="6.08984375" style="2" customWidth="1"/>
    <col min="9205" max="9207" width="11.81640625" style="2" customWidth="1"/>
    <col min="9208" max="9209" width="9.81640625" style="2" customWidth="1"/>
    <col min="9210" max="9210" width="15.08984375" style="2" bestFit="1" customWidth="1"/>
    <col min="9211" max="9459" width="8.81640625" style="2"/>
    <col min="9460" max="9460" width="6.08984375" style="2" customWidth="1"/>
    <col min="9461" max="9463" width="11.81640625" style="2" customWidth="1"/>
    <col min="9464" max="9465" width="9.81640625" style="2" customWidth="1"/>
    <col min="9466" max="9466" width="15.08984375" style="2" bestFit="1" customWidth="1"/>
    <col min="9467" max="9715" width="8.81640625" style="2"/>
    <col min="9716" max="9716" width="6.08984375" style="2" customWidth="1"/>
    <col min="9717" max="9719" width="11.81640625" style="2" customWidth="1"/>
    <col min="9720" max="9721" width="9.81640625" style="2" customWidth="1"/>
    <col min="9722" max="9722" width="15.08984375" style="2" bestFit="1" customWidth="1"/>
    <col min="9723" max="9971" width="8.81640625" style="2"/>
    <col min="9972" max="9972" width="6.08984375" style="2" customWidth="1"/>
    <col min="9973" max="9975" width="11.81640625" style="2" customWidth="1"/>
    <col min="9976" max="9977" width="9.81640625" style="2" customWidth="1"/>
    <col min="9978" max="9978" width="15.08984375" style="2" bestFit="1" customWidth="1"/>
    <col min="9979" max="10227" width="8.81640625" style="2"/>
    <col min="10228" max="10228" width="6.08984375" style="2" customWidth="1"/>
    <col min="10229" max="10231" width="11.81640625" style="2" customWidth="1"/>
    <col min="10232" max="10233" width="9.81640625" style="2" customWidth="1"/>
    <col min="10234" max="10234" width="15.08984375" style="2" bestFit="1" customWidth="1"/>
    <col min="10235" max="10483" width="8.81640625" style="2"/>
    <col min="10484" max="10484" width="6.08984375" style="2" customWidth="1"/>
    <col min="10485" max="10487" width="11.81640625" style="2" customWidth="1"/>
    <col min="10488" max="10489" width="9.81640625" style="2" customWidth="1"/>
    <col min="10490" max="10490" width="15.08984375" style="2" bestFit="1" customWidth="1"/>
    <col min="10491" max="10739" width="8.81640625" style="2"/>
    <col min="10740" max="10740" width="6.08984375" style="2" customWidth="1"/>
    <col min="10741" max="10743" width="11.81640625" style="2" customWidth="1"/>
    <col min="10744" max="10745" width="9.81640625" style="2" customWidth="1"/>
    <col min="10746" max="10746" width="15.08984375" style="2" bestFit="1" customWidth="1"/>
    <col min="10747" max="10995" width="8.81640625" style="2"/>
    <col min="10996" max="10996" width="6.08984375" style="2" customWidth="1"/>
    <col min="10997" max="10999" width="11.81640625" style="2" customWidth="1"/>
    <col min="11000" max="11001" width="9.81640625" style="2" customWidth="1"/>
    <col min="11002" max="11002" width="15.08984375" style="2" bestFit="1" customWidth="1"/>
    <col min="11003" max="11251" width="8.81640625" style="2"/>
    <col min="11252" max="11252" width="6.08984375" style="2" customWidth="1"/>
    <col min="11253" max="11255" width="11.81640625" style="2" customWidth="1"/>
    <col min="11256" max="11257" width="9.81640625" style="2" customWidth="1"/>
    <col min="11258" max="11258" width="15.08984375" style="2" bestFit="1" customWidth="1"/>
    <col min="11259" max="11507" width="8.81640625" style="2"/>
    <col min="11508" max="11508" width="6.08984375" style="2" customWidth="1"/>
    <col min="11509" max="11511" width="11.81640625" style="2" customWidth="1"/>
    <col min="11512" max="11513" width="9.81640625" style="2" customWidth="1"/>
    <col min="11514" max="11514" width="15.08984375" style="2" bestFit="1" customWidth="1"/>
    <col min="11515" max="11763" width="8.81640625" style="2"/>
    <col min="11764" max="11764" width="6.08984375" style="2" customWidth="1"/>
    <col min="11765" max="11767" width="11.81640625" style="2" customWidth="1"/>
    <col min="11768" max="11769" width="9.81640625" style="2" customWidth="1"/>
    <col min="11770" max="11770" width="15.08984375" style="2" bestFit="1" customWidth="1"/>
    <col min="11771" max="12019" width="8.81640625" style="2"/>
    <col min="12020" max="12020" width="6.08984375" style="2" customWidth="1"/>
    <col min="12021" max="12023" width="11.81640625" style="2" customWidth="1"/>
    <col min="12024" max="12025" width="9.81640625" style="2" customWidth="1"/>
    <col min="12026" max="12026" width="15.08984375" style="2" bestFit="1" customWidth="1"/>
    <col min="12027" max="12275" width="8.81640625" style="2"/>
    <col min="12276" max="12276" width="6.08984375" style="2" customWidth="1"/>
    <col min="12277" max="12279" width="11.81640625" style="2" customWidth="1"/>
    <col min="12280" max="12281" width="9.81640625" style="2" customWidth="1"/>
    <col min="12282" max="12282" width="15.08984375" style="2" bestFit="1" customWidth="1"/>
    <col min="12283" max="12531" width="8.81640625" style="2"/>
    <col min="12532" max="12532" width="6.08984375" style="2" customWidth="1"/>
    <col min="12533" max="12535" width="11.81640625" style="2" customWidth="1"/>
    <col min="12536" max="12537" width="9.81640625" style="2" customWidth="1"/>
    <col min="12538" max="12538" width="15.08984375" style="2" bestFit="1" customWidth="1"/>
    <col min="12539" max="12787" width="8.81640625" style="2"/>
    <col min="12788" max="12788" width="6.08984375" style="2" customWidth="1"/>
    <col min="12789" max="12791" width="11.81640625" style="2" customWidth="1"/>
    <col min="12792" max="12793" width="9.81640625" style="2" customWidth="1"/>
    <col min="12794" max="12794" width="15.08984375" style="2" bestFit="1" customWidth="1"/>
    <col min="12795" max="13043" width="8.81640625" style="2"/>
    <col min="13044" max="13044" width="6.08984375" style="2" customWidth="1"/>
    <col min="13045" max="13047" width="11.81640625" style="2" customWidth="1"/>
    <col min="13048" max="13049" width="9.81640625" style="2" customWidth="1"/>
    <col min="13050" max="13050" width="15.08984375" style="2" bestFit="1" customWidth="1"/>
    <col min="13051" max="13299" width="8.81640625" style="2"/>
    <col min="13300" max="13300" width="6.08984375" style="2" customWidth="1"/>
    <col min="13301" max="13303" width="11.81640625" style="2" customWidth="1"/>
    <col min="13304" max="13305" width="9.81640625" style="2" customWidth="1"/>
    <col min="13306" max="13306" width="15.08984375" style="2" bestFit="1" customWidth="1"/>
    <col min="13307" max="13555" width="8.81640625" style="2"/>
    <col min="13556" max="13556" width="6.08984375" style="2" customWidth="1"/>
    <col min="13557" max="13559" width="11.81640625" style="2" customWidth="1"/>
    <col min="13560" max="13561" width="9.81640625" style="2" customWidth="1"/>
    <col min="13562" max="13562" width="15.08984375" style="2" bestFit="1" customWidth="1"/>
    <col min="13563" max="13811" width="8.81640625" style="2"/>
    <col min="13812" max="13812" width="6.08984375" style="2" customWidth="1"/>
    <col min="13813" max="13815" width="11.81640625" style="2" customWidth="1"/>
    <col min="13816" max="13817" width="9.81640625" style="2" customWidth="1"/>
    <col min="13818" max="13818" width="15.08984375" style="2" bestFit="1" customWidth="1"/>
    <col min="13819" max="14067" width="8.81640625" style="2"/>
    <col min="14068" max="14068" width="6.08984375" style="2" customWidth="1"/>
    <col min="14069" max="14071" width="11.81640625" style="2" customWidth="1"/>
    <col min="14072" max="14073" width="9.81640625" style="2" customWidth="1"/>
    <col min="14074" max="14074" width="15.08984375" style="2" bestFit="1" customWidth="1"/>
    <col min="14075" max="14323" width="8.81640625" style="2"/>
    <col min="14324" max="14324" width="6.08984375" style="2" customWidth="1"/>
    <col min="14325" max="14327" width="11.81640625" style="2" customWidth="1"/>
    <col min="14328" max="14329" width="9.81640625" style="2" customWidth="1"/>
    <col min="14330" max="14330" width="15.08984375" style="2" bestFit="1" customWidth="1"/>
    <col min="14331" max="14579" width="8.81640625" style="2"/>
    <col min="14580" max="14580" width="6.08984375" style="2" customWidth="1"/>
    <col min="14581" max="14583" width="11.81640625" style="2" customWidth="1"/>
    <col min="14584" max="14585" width="9.81640625" style="2" customWidth="1"/>
    <col min="14586" max="14586" width="15.08984375" style="2" bestFit="1" customWidth="1"/>
    <col min="14587" max="14835" width="8.81640625" style="2"/>
    <col min="14836" max="14836" width="6.08984375" style="2" customWidth="1"/>
    <col min="14837" max="14839" width="11.81640625" style="2" customWidth="1"/>
    <col min="14840" max="14841" width="9.81640625" style="2" customWidth="1"/>
    <col min="14842" max="14842" width="15.08984375" style="2" bestFit="1" customWidth="1"/>
    <col min="14843" max="15091" width="8.81640625" style="2"/>
    <col min="15092" max="15092" width="6.08984375" style="2" customWidth="1"/>
    <col min="15093" max="15095" width="11.81640625" style="2" customWidth="1"/>
    <col min="15096" max="15097" width="9.81640625" style="2" customWidth="1"/>
    <col min="15098" max="15098" width="15.08984375" style="2" bestFit="1" customWidth="1"/>
    <col min="15099" max="15347" width="8.81640625" style="2"/>
    <col min="15348" max="15348" width="6.08984375" style="2" customWidth="1"/>
    <col min="15349" max="15351" width="11.81640625" style="2" customWidth="1"/>
    <col min="15352" max="15353" width="9.81640625" style="2" customWidth="1"/>
    <col min="15354" max="15354" width="15.08984375" style="2" bestFit="1" customWidth="1"/>
    <col min="15355" max="15603" width="8.81640625" style="2"/>
    <col min="15604" max="15604" width="6.08984375" style="2" customWidth="1"/>
    <col min="15605" max="15607" width="11.81640625" style="2" customWidth="1"/>
    <col min="15608" max="15609" width="9.81640625" style="2" customWidth="1"/>
    <col min="15610" max="15610" width="15.08984375" style="2" bestFit="1" customWidth="1"/>
    <col min="15611" max="15859" width="8.81640625" style="2"/>
    <col min="15860" max="15860" width="6.08984375" style="2" customWidth="1"/>
    <col min="15861" max="15863" width="11.81640625" style="2" customWidth="1"/>
    <col min="15864" max="15865" width="9.81640625" style="2" customWidth="1"/>
    <col min="15866" max="15866" width="15.08984375" style="2" bestFit="1" customWidth="1"/>
    <col min="15867" max="16115" width="8.81640625" style="2"/>
    <col min="16116" max="16116" width="6.08984375" style="2" customWidth="1"/>
    <col min="16117" max="16119" width="11.81640625" style="2" customWidth="1"/>
    <col min="16120" max="16121" width="9.81640625" style="2" customWidth="1"/>
    <col min="16122" max="16122" width="15.08984375" style="2" bestFit="1" customWidth="1"/>
    <col min="16123" max="16371" width="8.81640625" style="2"/>
    <col min="16372" max="16384" width="8.81640625" style="2" customWidth="1"/>
  </cols>
  <sheetData>
    <row r="1" spans="1:6">
      <c r="A1" s="887" t="s">
        <v>532</v>
      </c>
      <c r="B1" s="887"/>
      <c r="C1" s="887"/>
      <c r="D1" s="887"/>
      <c r="E1" s="887"/>
      <c r="F1" s="887"/>
    </row>
    <row r="2" spans="1:6">
      <c r="A2" s="887" t="s">
        <v>204</v>
      </c>
      <c r="B2" s="887"/>
      <c r="C2" s="887"/>
      <c r="D2" s="887"/>
      <c r="E2" s="887"/>
      <c r="F2" s="887"/>
    </row>
    <row r="3" spans="1:6">
      <c r="A3" s="888" t="str">
        <f>'Act Att-H'!C7</f>
        <v>Cheyenne Light, Fuel &amp; Power</v>
      </c>
      <c r="B3" s="888"/>
      <c r="C3" s="888"/>
      <c r="D3" s="888"/>
      <c r="E3" s="888"/>
      <c r="F3" s="888"/>
    </row>
    <row r="4" spans="1:6" s="216" customFormat="1"/>
    <row r="5" spans="1:6">
      <c r="A5" s="426"/>
      <c r="B5" s="426"/>
      <c r="C5" s="426"/>
      <c r="D5" s="426"/>
      <c r="E5" s="426"/>
      <c r="F5" s="426"/>
    </row>
    <row r="7" spans="1:6">
      <c r="A7" s="425"/>
      <c r="B7" s="425"/>
      <c r="C7" s="186"/>
      <c r="D7" s="186" t="s">
        <v>769</v>
      </c>
      <c r="E7" s="186" t="s">
        <v>770</v>
      </c>
    </row>
    <row r="8" spans="1:6">
      <c r="B8" s="425"/>
      <c r="C8" s="186"/>
      <c r="D8" s="186" t="s">
        <v>635</v>
      </c>
      <c r="E8" s="186" t="s">
        <v>699</v>
      </c>
      <c r="F8" s="223"/>
    </row>
    <row r="9" spans="1:6">
      <c r="A9" s="426" t="s">
        <v>4</v>
      </c>
      <c r="B9" s="186" t="s">
        <v>477</v>
      </c>
      <c r="C9" s="186" t="s">
        <v>768</v>
      </c>
      <c r="D9" s="732">
        <v>45261</v>
      </c>
      <c r="E9" s="732">
        <v>45627</v>
      </c>
      <c r="F9" s="186" t="s">
        <v>767</v>
      </c>
    </row>
    <row r="10" spans="1:6" ht="13.8" thickBot="1">
      <c r="A10" s="428" t="s">
        <v>6</v>
      </c>
      <c r="B10" s="427" t="s">
        <v>157</v>
      </c>
      <c r="C10" s="427" t="s">
        <v>158</v>
      </c>
      <c r="D10" s="427" t="s">
        <v>159</v>
      </c>
      <c r="E10" s="427" t="s">
        <v>160</v>
      </c>
      <c r="F10" s="427" t="s">
        <v>161</v>
      </c>
    </row>
    <row r="11" spans="1:6">
      <c r="A11" s="206">
        <v>1</v>
      </c>
    </row>
    <row r="12" spans="1:6" ht="15" customHeight="1">
      <c r="A12" s="206">
        <f t="shared" ref="A12:A15" si="0">+A11+1</f>
        <v>2</v>
      </c>
      <c r="B12" s="423" t="s">
        <v>133</v>
      </c>
      <c r="C12" s="207" t="s">
        <v>776</v>
      </c>
      <c r="D12" s="424">
        <v>0</v>
      </c>
      <c r="E12" s="424">
        <v>0</v>
      </c>
      <c r="F12" s="208">
        <f>(D12+E12)/2</f>
        <v>0</v>
      </c>
    </row>
    <row r="13" spans="1:6" ht="15" customHeight="1">
      <c r="A13" s="206">
        <f t="shared" si="0"/>
        <v>3</v>
      </c>
      <c r="B13" s="423" t="s">
        <v>134</v>
      </c>
      <c r="C13" s="207" t="s">
        <v>773</v>
      </c>
      <c r="D13" s="424">
        <v>-81087328</v>
      </c>
      <c r="E13" s="424">
        <v>-84866187</v>
      </c>
      <c r="F13" s="208">
        <f>(D13+E13)/2</f>
        <v>-82976757.5</v>
      </c>
    </row>
    <row r="14" spans="1:6" ht="15" customHeight="1">
      <c r="A14" s="206">
        <f t="shared" si="0"/>
        <v>4</v>
      </c>
      <c r="B14" s="423" t="s">
        <v>135</v>
      </c>
      <c r="C14" s="207" t="s">
        <v>774</v>
      </c>
      <c r="D14" s="424">
        <v>-5236489</v>
      </c>
      <c r="E14" s="424">
        <v>-7033965</v>
      </c>
      <c r="F14" s="208">
        <f>(D14+E14)/2</f>
        <v>-6135227</v>
      </c>
    </row>
    <row r="15" spans="1:6" ht="15" customHeight="1">
      <c r="A15" s="206">
        <f t="shared" si="0"/>
        <v>5</v>
      </c>
      <c r="B15" s="423" t="s">
        <v>136</v>
      </c>
      <c r="C15" s="207" t="s">
        <v>775</v>
      </c>
      <c r="D15" s="424">
        <v>28325027</v>
      </c>
      <c r="E15" s="424">
        <v>27635409</v>
      </c>
      <c r="F15" s="208">
        <f>(D15+E15)/2</f>
        <v>27980218</v>
      </c>
    </row>
    <row r="16" spans="1:6">
      <c r="A16" s="206">
        <v>6</v>
      </c>
    </row>
    <row r="17" spans="1:6">
      <c r="A17" s="206">
        <v>7</v>
      </c>
      <c r="B17" s="707" t="s">
        <v>1058</v>
      </c>
      <c r="C17" s="208"/>
      <c r="D17" s="59"/>
      <c r="E17" s="59"/>
      <c r="F17" s="59"/>
    </row>
    <row r="18" spans="1:6">
      <c r="A18" s="206">
        <v>8</v>
      </c>
      <c r="B18" s="652" t="s">
        <v>982</v>
      </c>
      <c r="C18" s="208"/>
      <c r="D18" s="59"/>
      <c r="E18" s="59"/>
      <c r="F18" s="59"/>
    </row>
    <row r="19" spans="1:6">
      <c r="A19" s="206">
        <f>A18+1</f>
        <v>9</v>
      </c>
      <c r="B19" s="423" t="s">
        <v>997</v>
      </c>
      <c r="C19" s="207" t="s">
        <v>985</v>
      </c>
      <c r="D19" s="424">
        <v>1511900</v>
      </c>
      <c r="E19" s="424">
        <v>2288392</v>
      </c>
      <c r="F19" s="208">
        <f t="shared" ref="F19:F21" si="1">(D19+E19)/2</f>
        <v>1900146</v>
      </c>
    </row>
    <row r="20" spans="1:6">
      <c r="A20" s="206">
        <f t="shared" ref="A20:A24" si="2">A19+1</f>
        <v>10</v>
      </c>
      <c r="B20" s="423" t="s">
        <v>1042</v>
      </c>
      <c r="C20" s="207" t="s">
        <v>986</v>
      </c>
      <c r="D20" s="424">
        <v>-557</v>
      </c>
      <c r="E20" s="424">
        <v>-542</v>
      </c>
      <c r="F20" s="208">
        <f t="shared" si="1"/>
        <v>-549.5</v>
      </c>
    </row>
    <row r="21" spans="1:6">
      <c r="A21" s="206">
        <f t="shared" si="2"/>
        <v>11</v>
      </c>
      <c r="B21" s="423" t="s">
        <v>1043</v>
      </c>
      <c r="C21" s="207">
        <v>278</v>
      </c>
      <c r="D21" s="424">
        <v>-851072</v>
      </c>
      <c r="E21" s="424">
        <v>-722286</v>
      </c>
      <c r="F21" s="208">
        <f t="shared" si="1"/>
        <v>-786679</v>
      </c>
    </row>
    <row r="22" spans="1:6">
      <c r="A22" s="206">
        <f t="shared" si="2"/>
        <v>12</v>
      </c>
      <c r="B22" s="423" t="s">
        <v>388</v>
      </c>
      <c r="C22" s="208"/>
      <c r="D22" s="59"/>
      <c r="E22" s="59"/>
      <c r="F22" s="59">
        <f>SUM(F19:F21)</f>
        <v>1112917.5</v>
      </c>
    </row>
    <row r="23" spans="1:6">
      <c r="A23" s="206">
        <f t="shared" si="2"/>
        <v>13</v>
      </c>
      <c r="B23" s="423" t="s">
        <v>987</v>
      </c>
      <c r="C23" s="208"/>
      <c r="D23" s="59"/>
      <c r="E23" s="59"/>
      <c r="F23" s="653">
        <f>'Act Att-H'!D243</f>
        <v>0.21</v>
      </c>
    </row>
    <row r="24" spans="1:6">
      <c r="A24" s="206">
        <f t="shared" si="2"/>
        <v>14</v>
      </c>
      <c r="B24" s="423" t="s">
        <v>996</v>
      </c>
      <c r="C24" s="208"/>
      <c r="D24" s="59"/>
      <c r="E24" s="59"/>
      <c r="F24" s="666">
        <f>F22*F23</f>
        <v>233712.67499999999</v>
      </c>
    </row>
    <row r="25" spans="1:6">
      <c r="A25" s="206"/>
      <c r="B25" s="423"/>
      <c r="C25" s="208"/>
      <c r="D25" s="59"/>
      <c r="E25" s="59"/>
      <c r="F25" s="59"/>
    </row>
    <row r="26" spans="1:6" ht="15" customHeight="1">
      <c r="A26" s="206"/>
      <c r="C26" s="222"/>
      <c r="D26" s="222"/>
    </row>
    <row r="27" spans="1:6">
      <c r="A27" s="206"/>
      <c r="B27" s="423"/>
      <c r="C27" s="208"/>
      <c r="D27" s="59"/>
      <c r="E27" s="59"/>
      <c r="F27" s="59"/>
    </row>
    <row r="28" spans="1:6">
      <c r="A28" s="381" t="s">
        <v>205</v>
      </c>
    </row>
    <row r="29" spans="1:6" ht="16.350000000000001" customHeight="1">
      <c r="A29" s="429" t="s">
        <v>79</v>
      </c>
      <c r="B29" s="890" t="s">
        <v>772</v>
      </c>
      <c r="C29" s="890"/>
      <c r="D29" s="890"/>
      <c r="E29" s="890"/>
      <c r="F29" s="890"/>
    </row>
    <row r="30" spans="1:6" ht="16.350000000000001" customHeight="1">
      <c r="A30" s="429" t="s">
        <v>80</v>
      </c>
      <c r="B30" s="890" t="s">
        <v>771</v>
      </c>
      <c r="C30" s="890"/>
      <c r="D30" s="890"/>
      <c r="E30" s="890"/>
      <c r="F30" s="890"/>
    </row>
    <row r="31" spans="1:6">
      <c r="A31" s="421" t="s">
        <v>81</v>
      </c>
      <c r="B31" s="862" t="s">
        <v>1194</v>
      </c>
      <c r="C31" s="862"/>
      <c r="D31" s="862"/>
      <c r="E31" s="862"/>
      <c r="F31" s="862"/>
    </row>
    <row r="32" spans="1:6">
      <c r="A32" s="421" t="s">
        <v>82</v>
      </c>
      <c r="B32" s="2" t="s">
        <v>1194</v>
      </c>
      <c r="C32" s="854"/>
      <c r="D32" s="854"/>
    </row>
    <row r="33" spans="1:6">
      <c r="A33" s="421" t="s">
        <v>83</v>
      </c>
      <c r="B33" s="870" t="s">
        <v>1057</v>
      </c>
      <c r="C33" s="870"/>
      <c r="D33" s="870"/>
      <c r="E33" s="870"/>
      <c r="F33" s="870"/>
    </row>
    <row r="34" spans="1:6">
      <c r="A34" s="206"/>
    </row>
    <row r="35" spans="1:6">
      <c r="A35" s="27"/>
      <c r="C35" s="222"/>
      <c r="D35" s="222"/>
    </row>
    <row r="36" spans="1:6">
      <c r="A36" s="206"/>
      <c r="C36" s="222"/>
      <c r="D36" s="222"/>
    </row>
    <row r="37" spans="1:6">
      <c r="A37" s="206"/>
      <c r="C37" s="222"/>
      <c r="D37" s="222"/>
    </row>
    <row r="38" spans="1:6">
      <c r="A38" s="206"/>
      <c r="C38" s="222"/>
      <c r="D38" s="222"/>
    </row>
    <row r="39" spans="1:6">
      <c r="A39" s="206"/>
      <c r="C39" s="222"/>
      <c r="D39" s="222"/>
    </row>
    <row r="40" spans="1:6">
      <c r="C40" s="222"/>
      <c r="D40" s="222"/>
    </row>
    <row r="44" spans="1:6" ht="15" customHeight="1"/>
    <row r="48" spans="1:6" ht="15" customHeight="1"/>
    <row r="56" ht="15" customHeight="1"/>
    <row r="59" ht="15" customHeight="1"/>
    <row r="69" spans="2:6" ht="12.75" customHeight="1">
      <c r="B69" s="862"/>
      <c r="C69" s="862"/>
      <c r="D69" s="862"/>
      <c r="E69" s="862"/>
      <c r="F69" s="862"/>
    </row>
    <row r="70" spans="2:6">
      <c r="B70" s="862"/>
      <c r="C70" s="862"/>
      <c r="D70" s="862"/>
      <c r="E70" s="862"/>
      <c r="F70" s="862"/>
    </row>
    <row r="71" spans="2:6">
      <c r="B71" s="862"/>
      <c r="C71" s="862"/>
      <c r="D71" s="862"/>
      <c r="E71" s="862"/>
      <c r="F71" s="862"/>
    </row>
    <row r="72" spans="2:6">
      <c r="B72" s="862"/>
      <c r="C72" s="862"/>
      <c r="D72" s="862"/>
      <c r="E72" s="862"/>
      <c r="F72" s="862"/>
    </row>
    <row r="73" spans="2:6">
      <c r="B73" s="862"/>
      <c r="C73" s="862"/>
      <c r="D73" s="862"/>
      <c r="E73" s="862"/>
      <c r="F73" s="862"/>
    </row>
    <row r="74" spans="2:6" ht="12.75" customHeight="1">
      <c r="B74" s="862"/>
      <c r="C74" s="862"/>
      <c r="D74" s="862"/>
      <c r="E74" s="862"/>
      <c r="F74" s="862"/>
    </row>
    <row r="75" spans="2:6" ht="12.75" customHeight="1">
      <c r="B75" s="862"/>
      <c r="C75" s="862"/>
      <c r="D75" s="862"/>
      <c r="E75" s="862"/>
      <c r="F75" s="862"/>
    </row>
    <row r="76" spans="2:6" ht="12.75" customHeight="1">
      <c r="B76" s="862"/>
      <c r="C76" s="862"/>
      <c r="D76" s="862"/>
      <c r="E76" s="862"/>
      <c r="F76" s="862"/>
    </row>
    <row r="77" spans="2:6">
      <c r="B77" s="889"/>
      <c r="C77" s="889"/>
      <c r="D77" s="889"/>
      <c r="E77" s="889"/>
      <c r="F77" s="889"/>
    </row>
    <row r="78" spans="2:6">
      <c r="B78" s="889"/>
      <c r="C78" s="889"/>
      <c r="D78" s="889"/>
      <c r="E78" s="889"/>
      <c r="F78" s="889"/>
    </row>
    <row r="79" spans="2:6">
      <c r="B79" s="889"/>
      <c r="C79" s="889"/>
      <c r="D79" s="889"/>
      <c r="E79" s="889"/>
      <c r="F79" s="889"/>
    </row>
    <row r="80" spans="2:6">
      <c r="B80" s="889"/>
      <c r="C80" s="889"/>
      <c r="D80" s="889"/>
      <c r="E80" s="889"/>
      <c r="F80" s="889"/>
    </row>
    <row r="81" spans="2:6">
      <c r="B81" s="889"/>
      <c r="C81" s="889"/>
      <c r="D81" s="889"/>
      <c r="E81" s="889"/>
      <c r="F81" s="889"/>
    </row>
  </sheetData>
  <mergeCells count="16">
    <mergeCell ref="B74:F74"/>
    <mergeCell ref="A1:F1"/>
    <mergeCell ref="A2:F2"/>
    <mergeCell ref="A3:F3"/>
    <mergeCell ref="B69:F73"/>
    <mergeCell ref="B29:F29"/>
    <mergeCell ref="B30:F30"/>
    <mergeCell ref="B31:F31"/>
    <mergeCell ref="B33:F33"/>
    <mergeCell ref="B81:F81"/>
    <mergeCell ref="B77:F77"/>
    <mergeCell ref="B75:F75"/>
    <mergeCell ref="B76:F76"/>
    <mergeCell ref="B78:F78"/>
    <mergeCell ref="B79:F79"/>
    <mergeCell ref="B80:F80"/>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1B97-5EAA-4BE0-9BBF-2E051D160FE2}">
  <sheetPr>
    <tabColor theme="6" tint="0.59999389629810485"/>
    <pageSetUpPr fitToPage="1"/>
  </sheetPr>
  <dimension ref="A1:R63"/>
  <sheetViews>
    <sheetView zoomScale="80" zoomScaleNormal="80" workbookViewId="0">
      <pane xSplit="3" ySplit="10" topLeftCell="D11" activePane="bottomRight" state="frozen"/>
      <selection activeCell="A50" sqref="A50"/>
      <selection pane="topRight" activeCell="A50" sqref="A50"/>
      <selection pane="bottomLeft" activeCell="A50" sqref="A50"/>
      <selection pane="bottomRight" activeCell="A50" sqref="A50"/>
    </sheetView>
  </sheetViews>
  <sheetFormatPr defaultColWidth="8.90625" defaultRowHeight="14.4"/>
  <cols>
    <col min="1" max="1" width="8.90625" style="739" hidden="1" customWidth="1"/>
    <col min="2" max="2" width="8.90625" style="739" customWidth="1"/>
    <col min="3" max="3" width="61.6328125" style="739" customWidth="1"/>
    <col min="4" max="4" width="12.81640625" style="739" bestFit="1" customWidth="1"/>
    <col min="5" max="5" width="9.6328125" style="739" customWidth="1"/>
    <col min="6" max="6" width="11.81640625" style="739" customWidth="1"/>
    <col min="7" max="7" width="15.08984375" style="739" bestFit="1" customWidth="1"/>
    <col min="8" max="8" width="11.81640625" style="739" customWidth="1"/>
    <col min="9" max="9" width="10.81640625" style="739" bestFit="1" customWidth="1"/>
    <col min="10" max="10" width="15.08984375" style="739" customWidth="1"/>
    <col min="11" max="12" width="8.90625" style="739"/>
    <col min="13" max="13" width="11.54296875" style="739" bestFit="1" customWidth="1"/>
    <col min="14" max="14" width="13.1796875" style="739" customWidth="1"/>
    <col min="15" max="15" width="12.08984375" style="739" customWidth="1"/>
    <col min="16" max="16" width="11.54296875" style="739" bestFit="1" customWidth="1"/>
    <col min="17" max="17" width="8.90625" style="739"/>
    <col min="18" max="18" width="17" style="739" customWidth="1"/>
    <col min="19" max="16384" width="8.90625" style="739"/>
  </cols>
  <sheetData>
    <row r="1" spans="2:18">
      <c r="H1" s="740" t="s">
        <v>1185</v>
      </c>
    </row>
    <row r="2" spans="2:18">
      <c r="B2" s="892" t="s">
        <v>1195</v>
      </c>
      <c r="C2" s="892"/>
      <c r="D2" s="892"/>
      <c r="E2" s="892"/>
      <c r="F2" s="892"/>
      <c r="G2" s="892"/>
      <c r="H2" s="892"/>
      <c r="I2" s="892"/>
      <c r="J2" s="892"/>
      <c r="K2" s="892"/>
      <c r="L2" s="892"/>
      <c r="M2" s="892"/>
      <c r="N2" s="892"/>
      <c r="O2" s="892"/>
      <c r="P2" s="892"/>
      <c r="Q2" s="892"/>
      <c r="R2" s="892"/>
    </row>
    <row r="3" spans="2:18">
      <c r="B3" s="892" t="s">
        <v>130</v>
      </c>
      <c r="C3" s="892"/>
      <c r="D3" s="892"/>
      <c r="E3" s="892"/>
      <c r="F3" s="892"/>
      <c r="G3" s="892"/>
      <c r="H3" s="892"/>
      <c r="I3" s="892"/>
      <c r="J3" s="892"/>
      <c r="K3" s="892"/>
      <c r="L3" s="892"/>
      <c r="M3" s="892"/>
      <c r="N3" s="892"/>
      <c r="O3" s="892"/>
      <c r="P3" s="892"/>
      <c r="Q3" s="892"/>
      <c r="R3" s="892"/>
    </row>
    <row r="4" spans="2:18">
      <c r="B4" s="892" t="s">
        <v>1196</v>
      </c>
      <c r="C4" s="892"/>
      <c r="D4" s="892"/>
      <c r="E4" s="892"/>
      <c r="F4" s="892"/>
      <c r="G4" s="892"/>
      <c r="H4" s="892"/>
      <c r="I4" s="892"/>
      <c r="J4" s="892"/>
      <c r="K4" s="892"/>
      <c r="L4" s="892"/>
      <c r="M4" s="892"/>
      <c r="N4" s="892"/>
      <c r="O4" s="892"/>
      <c r="P4" s="892"/>
      <c r="Q4" s="892"/>
      <c r="R4" s="892"/>
    </row>
    <row r="5" spans="2:18">
      <c r="B5" s="742"/>
      <c r="C5" s="742"/>
      <c r="D5" s="742"/>
      <c r="E5" s="742"/>
      <c r="F5" s="742"/>
      <c r="G5" s="742"/>
      <c r="H5" s="742"/>
      <c r="I5" s="742"/>
      <c r="J5" s="742"/>
      <c r="K5" s="742"/>
      <c r="L5" s="743"/>
      <c r="M5" s="741"/>
      <c r="N5" s="741"/>
      <c r="O5" s="741"/>
      <c r="P5" s="742"/>
      <c r="Q5" s="741"/>
      <c r="R5" s="741"/>
    </row>
    <row r="6" spans="2:18">
      <c r="B6" s="741"/>
      <c r="C6" s="741"/>
      <c r="D6" s="741"/>
      <c r="E6" s="741"/>
      <c r="F6" s="741"/>
      <c r="G6" s="744"/>
      <c r="H6" s="744"/>
      <c r="I6" s="744"/>
      <c r="J6" s="744"/>
      <c r="K6" s="741"/>
      <c r="L6" s="745"/>
      <c r="M6" s="744"/>
      <c r="N6" s="744"/>
      <c r="O6" s="744"/>
      <c r="P6" s="744"/>
      <c r="Q6" s="746"/>
      <c r="R6" s="746"/>
    </row>
    <row r="7" spans="2:18">
      <c r="B7" s="741"/>
      <c r="C7" s="747"/>
      <c r="D7" s="747"/>
      <c r="E7" s="747"/>
      <c r="F7" s="747"/>
      <c r="G7" s="748">
        <v>44896</v>
      </c>
      <c r="H7" s="749" t="s">
        <v>1347</v>
      </c>
      <c r="I7" s="749" t="s">
        <v>1347</v>
      </c>
      <c r="J7" s="748">
        <v>45261</v>
      </c>
      <c r="K7" s="750"/>
      <c r="L7" s="751"/>
      <c r="M7" s="752">
        <f>+G7</f>
        <v>44896</v>
      </c>
      <c r="N7" s="752" t="str">
        <f>+H7</f>
        <v>2023</v>
      </c>
      <c r="O7" s="753" t="str">
        <f>I7</f>
        <v>2023</v>
      </c>
      <c r="P7" s="752">
        <f>J7</f>
        <v>45261</v>
      </c>
      <c r="Q7" s="746"/>
      <c r="R7" s="746"/>
    </row>
    <row r="8" spans="2:18" ht="15" thickBot="1">
      <c r="B8" s="754" t="s">
        <v>6</v>
      </c>
      <c r="C8" s="755" t="s">
        <v>157</v>
      </c>
      <c r="D8" s="755" t="s">
        <v>1197</v>
      </c>
      <c r="E8" s="755" t="s">
        <v>1198</v>
      </c>
      <c r="F8" s="755" t="s">
        <v>1199</v>
      </c>
      <c r="G8" s="755" t="s">
        <v>158</v>
      </c>
      <c r="H8" s="755" t="s">
        <v>159</v>
      </c>
      <c r="I8" s="755" t="s">
        <v>160</v>
      </c>
      <c r="J8" s="755" t="s">
        <v>161</v>
      </c>
      <c r="K8" s="893" t="s">
        <v>162</v>
      </c>
      <c r="L8" s="893"/>
      <c r="M8" s="755" t="s">
        <v>163</v>
      </c>
      <c r="N8" s="755" t="s">
        <v>164</v>
      </c>
      <c r="O8" s="755" t="s">
        <v>194</v>
      </c>
      <c r="P8" s="755" t="s">
        <v>195</v>
      </c>
      <c r="Q8" s="755" t="s">
        <v>1200</v>
      </c>
      <c r="R8" s="755" t="s">
        <v>1201</v>
      </c>
    </row>
    <row r="9" spans="2:18">
      <c r="B9" s="744"/>
      <c r="C9" s="744"/>
      <c r="D9" s="744"/>
      <c r="E9" s="744"/>
      <c r="F9" s="744"/>
      <c r="G9" s="747"/>
      <c r="H9" s="747"/>
      <c r="I9" s="747"/>
      <c r="J9" s="747"/>
      <c r="K9" s="756"/>
      <c r="L9" s="757"/>
      <c r="M9" s="756"/>
      <c r="N9" s="756"/>
      <c r="O9" s="747"/>
      <c r="P9" s="756"/>
      <c r="Q9" s="747"/>
      <c r="R9" s="747"/>
    </row>
    <row r="10" spans="2:18" ht="54" customHeight="1">
      <c r="B10" s="758" t="s">
        <v>506</v>
      </c>
      <c r="C10" s="758" t="s">
        <v>1202</v>
      </c>
      <c r="D10" s="758" t="s">
        <v>1203</v>
      </c>
      <c r="E10" s="759" t="s">
        <v>1204</v>
      </c>
      <c r="F10" s="759" t="s">
        <v>1205</v>
      </c>
      <c r="G10" s="759" t="s">
        <v>1206</v>
      </c>
      <c r="H10" s="759" t="s">
        <v>1207</v>
      </c>
      <c r="I10" s="759" t="s">
        <v>1208</v>
      </c>
      <c r="J10" s="759" t="s">
        <v>1209</v>
      </c>
      <c r="K10" s="894" t="s">
        <v>1210</v>
      </c>
      <c r="L10" s="894"/>
      <c r="M10" s="759" t="s">
        <v>1211</v>
      </c>
      <c r="N10" s="759" t="s">
        <v>1212</v>
      </c>
      <c r="O10" s="759" t="s">
        <v>1213</v>
      </c>
      <c r="P10" s="759" t="s">
        <v>1214</v>
      </c>
      <c r="Q10" s="759" t="s">
        <v>1215</v>
      </c>
      <c r="R10" s="759" t="s">
        <v>1216</v>
      </c>
    </row>
    <row r="11" spans="2:18">
      <c r="B11" s="756"/>
      <c r="C11" s="756"/>
      <c r="D11" s="756"/>
      <c r="E11" s="756"/>
      <c r="F11" s="756"/>
      <c r="G11" s="760"/>
      <c r="H11" s="760"/>
      <c r="I11" s="760"/>
      <c r="J11" s="760"/>
      <c r="K11" s="747"/>
      <c r="L11" s="747"/>
      <c r="M11" s="760"/>
      <c r="N11" s="760"/>
      <c r="O11" s="760"/>
      <c r="P11" s="760"/>
      <c r="Q11" s="760"/>
      <c r="R11" s="760"/>
    </row>
    <row r="12" spans="2:18">
      <c r="B12" s="761">
        <v>1</v>
      </c>
      <c r="C12" s="895" t="s">
        <v>1217</v>
      </c>
      <c r="D12" s="896"/>
      <c r="E12" s="896"/>
      <c r="F12" s="896"/>
      <c r="G12" s="896"/>
      <c r="H12" s="896"/>
      <c r="I12" s="896"/>
      <c r="J12" s="896"/>
      <c r="K12" s="896"/>
      <c r="L12" s="896"/>
      <c r="M12" s="896"/>
      <c r="N12" s="896"/>
      <c r="O12" s="896"/>
      <c r="P12" s="896"/>
      <c r="Q12" s="896"/>
      <c r="R12" s="896"/>
    </row>
    <row r="13" spans="2:18">
      <c r="B13" s="761">
        <f>B12+1</f>
        <v>2</v>
      </c>
      <c r="C13" s="762" t="s">
        <v>1218</v>
      </c>
      <c r="D13" s="762" t="s">
        <v>1219</v>
      </c>
      <c r="E13" s="763" t="s">
        <v>1220</v>
      </c>
      <c r="F13" s="763">
        <v>232</v>
      </c>
      <c r="G13" s="764">
        <v>210785</v>
      </c>
      <c r="H13" s="764">
        <v>9354.4303797468347</v>
      </c>
      <c r="I13" s="764">
        <v>2813574.2896202533</v>
      </c>
      <c r="J13" s="764">
        <v>3033713.72</v>
      </c>
      <c r="K13" s="765" t="s">
        <v>1221</v>
      </c>
      <c r="L13" s="766">
        <v>7.9579999999999998E-2</v>
      </c>
      <c r="M13" s="767">
        <f t="shared" ref="M13:P14" si="0">G13*$L13</f>
        <v>16774.2703</v>
      </c>
      <c r="N13" s="767">
        <f t="shared" si="0"/>
        <v>744.4255696202531</v>
      </c>
      <c r="O13" s="767">
        <f t="shared" si="0"/>
        <v>223904.24196797976</v>
      </c>
      <c r="P13" s="767">
        <f t="shared" si="0"/>
        <v>241422.93783760001</v>
      </c>
      <c r="Q13" s="765" t="s">
        <v>1222</v>
      </c>
      <c r="R13" s="768" t="s">
        <v>1129</v>
      </c>
    </row>
    <row r="14" spans="2:18">
      <c r="B14" s="761">
        <f>B13+1</f>
        <v>3</v>
      </c>
      <c r="C14" s="769" t="s">
        <v>355</v>
      </c>
      <c r="D14" s="770"/>
      <c r="E14" s="769"/>
      <c r="F14" s="769"/>
      <c r="G14" s="764"/>
      <c r="H14" s="764"/>
      <c r="I14" s="764"/>
      <c r="J14" s="764"/>
      <c r="K14" s="771"/>
      <c r="L14" s="772"/>
      <c r="M14" s="767">
        <f t="shared" si="0"/>
        <v>0</v>
      </c>
      <c r="N14" s="767">
        <f t="shared" si="0"/>
        <v>0</v>
      </c>
      <c r="O14" s="767">
        <f t="shared" si="0"/>
        <v>0</v>
      </c>
      <c r="P14" s="767">
        <f t="shared" si="0"/>
        <v>0</v>
      </c>
      <c r="Q14" s="771"/>
      <c r="R14" s="771"/>
    </row>
    <row r="15" spans="2:18">
      <c r="B15" s="761">
        <v>50</v>
      </c>
      <c r="C15" s="773" t="s">
        <v>1223</v>
      </c>
      <c r="D15" s="773"/>
      <c r="E15" s="773"/>
      <c r="F15" s="773"/>
      <c r="G15" s="774">
        <f>SUM(G13:G14)</f>
        <v>210785</v>
      </c>
      <c r="H15" s="774">
        <f>SUM(H13:H14)</f>
        <v>9354.4303797468347</v>
      </c>
      <c r="I15" s="774">
        <f>SUM(I13:I14)</f>
        <v>2813574.2896202533</v>
      </c>
      <c r="J15" s="774">
        <f>SUM(J13:J14)</f>
        <v>3033713.72</v>
      </c>
      <c r="K15" s="756"/>
      <c r="L15" s="757"/>
      <c r="M15" s="774">
        <f>SUM(M13:M14)</f>
        <v>16774.2703</v>
      </c>
      <c r="N15" s="774">
        <f>SUM(N13:N14)</f>
        <v>744.4255696202531</v>
      </c>
      <c r="O15" s="774">
        <f>SUM(O13:O14)</f>
        <v>223904.24196797976</v>
      </c>
      <c r="P15" s="774">
        <f>SUM(P13:P14)</f>
        <v>241422.93783760001</v>
      </c>
      <c r="Q15" s="775"/>
      <c r="R15" s="775"/>
    </row>
    <row r="16" spans="2:18">
      <c r="B16" s="761"/>
      <c r="C16" s="773"/>
      <c r="D16" s="773"/>
      <c r="E16" s="773"/>
      <c r="F16" s="773"/>
      <c r="G16" s="776"/>
      <c r="H16" s="776"/>
      <c r="I16" s="776"/>
      <c r="J16" s="776"/>
      <c r="K16" s="756"/>
      <c r="L16" s="757"/>
      <c r="M16" s="776"/>
      <c r="N16" s="776"/>
      <c r="O16" s="776"/>
      <c r="P16" s="776"/>
      <c r="Q16" s="775"/>
      <c r="R16" s="775"/>
    </row>
    <row r="17" spans="2:18">
      <c r="B17" s="761">
        <v>51</v>
      </c>
      <c r="C17" s="762" t="s">
        <v>1224</v>
      </c>
      <c r="D17" s="762" t="s">
        <v>1219</v>
      </c>
      <c r="E17" s="763">
        <v>283</v>
      </c>
      <c r="F17" s="763"/>
      <c r="G17" s="764">
        <v>-44264.85</v>
      </c>
      <c r="H17" s="764">
        <v>-1964.4303797468351</v>
      </c>
      <c r="I17" s="853">
        <v>-590850.60082025314</v>
      </c>
      <c r="J17" s="764">
        <v>-637079.88119999995</v>
      </c>
      <c r="K17" s="765" t="s">
        <v>1221</v>
      </c>
      <c r="L17" s="766">
        <v>7.9579999999999998E-2</v>
      </c>
      <c r="M17" s="767">
        <f t="shared" ref="M17:P18" si="1">G17*$L17</f>
        <v>-3522.596763</v>
      </c>
      <c r="N17" s="767">
        <f t="shared" si="1"/>
        <v>-156.32936962025315</v>
      </c>
      <c r="O17" s="767">
        <f t="shared" si="1"/>
        <v>-47019.890813275742</v>
      </c>
      <c r="P17" s="767">
        <f t="shared" si="1"/>
        <v>-50698.816945895996</v>
      </c>
      <c r="Q17" s="765"/>
      <c r="R17" s="777"/>
    </row>
    <row r="18" spans="2:18">
      <c r="B18" s="761">
        <v>52</v>
      </c>
      <c r="C18" s="769" t="s">
        <v>355</v>
      </c>
      <c r="D18" s="770"/>
      <c r="E18" s="769"/>
      <c r="F18" s="778"/>
      <c r="G18" s="779"/>
      <c r="H18" s="780"/>
      <c r="I18" s="780"/>
      <c r="J18" s="780"/>
      <c r="K18" s="780"/>
      <c r="L18" s="771"/>
      <c r="M18" s="781">
        <f t="shared" si="1"/>
        <v>0</v>
      </c>
      <c r="N18" s="781">
        <f t="shared" si="1"/>
        <v>0</v>
      </c>
      <c r="O18" s="781">
        <f t="shared" si="1"/>
        <v>0</v>
      </c>
      <c r="P18" s="781">
        <f t="shared" si="1"/>
        <v>0</v>
      </c>
      <c r="Q18" s="782"/>
      <c r="R18" s="782"/>
    </row>
    <row r="19" spans="2:18">
      <c r="B19" s="761">
        <v>150</v>
      </c>
      <c r="C19" s="773" t="s">
        <v>1225</v>
      </c>
      <c r="D19" s="773"/>
      <c r="E19" s="773"/>
      <c r="F19" s="773"/>
      <c r="G19" s="776">
        <f>SUM(G17:G18)</f>
        <v>-44264.85</v>
      </c>
      <c r="H19" s="776">
        <f>SUM(H17:H18)</f>
        <v>-1964.4303797468351</v>
      </c>
      <c r="I19" s="776">
        <f>SUM(I17:I18)</f>
        <v>-590850.60082025314</v>
      </c>
      <c r="J19" s="776">
        <f>SUM(J17:J18)</f>
        <v>-637079.88119999995</v>
      </c>
      <c r="K19" s="756"/>
      <c r="L19" s="757"/>
      <c r="M19" s="776">
        <f>SUM(M17:M18)</f>
        <v>-3522.596763</v>
      </c>
      <c r="N19" s="776">
        <f>SUM(N17:N18)</f>
        <v>-156.32936962025315</v>
      </c>
      <c r="O19" s="776">
        <f>SUM(O17:O18)</f>
        <v>-47019.890813275742</v>
      </c>
      <c r="P19" s="776">
        <f>SUM(P17:P18)</f>
        <v>-50698.816945895996</v>
      </c>
      <c r="Q19" s="775"/>
      <c r="R19" s="775"/>
    </row>
    <row r="20" spans="2:18">
      <c r="B20" s="761">
        <v>151</v>
      </c>
      <c r="C20" s="773"/>
      <c r="D20" s="773"/>
      <c r="E20" s="773"/>
      <c r="F20" s="773"/>
      <c r="G20" s="776"/>
      <c r="H20" s="776"/>
      <c r="I20" s="776"/>
      <c r="J20" s="776"/>
      <c r="K20" s="756"/>
      <c r="L20" s="757"/>
      <c r="M20" s="776"/>
      <c r="N20" s="776"/>
      <c r="O20" s="776"/>
      <c r="P20" s="776"/>
      <c r="Q20" s="775"/>
      <c r="R20" s="775"/>
    </row>
    <row r="21" spans="2:18">
      <c r="B21" s="761">
        <v>152</v>
      </c>
      <c r="C21" s="773" t="s">
        <v>1226</v>
      </c>
      <c r="D21" s="773"/>
      <c r="E21" s="773"/>
      <c r="F21" s="773"/>
      <c r="G21" s="776">
        <f>G15+G19</f>
        <v>166520.15</v>
      </c>
      <c r="H21" s="776">
        <f>H15+H19</f>
        <v>7390</v>
      </c>
      <c r="I21" s="776">
        <f>I15+I19</f>
        <v>2222723.6888000001</v>
      </c>
      <c r="J21" s="776">
        <f>J15+J19</f>
        <v>2396633.8388</v>
      </c>
      <c r="K21" s="756"/>
      <c r="L21" s="757"/>
      <c r="M21" s="776">
        <f>M15+M19</f>
        <v>13251.673537000001</v>
      </c>
      <c r="N21" s="776">
        <f>N15+N19</f>
        <v>588.09619999999995</v>
      </c>
      <c r="O21" s="776">
        <f>O15+O19</f>
        <v>176884.35115470403</v>
      </c>
      <c r="P21" s="776">
        <f>P15+P19</f>
        <v>190724.12089170402</v>
      </c>
      <c r="Q21" s="775"/>
      <c r="R21" s="775"/>
    </row>
    <row r="22" spans="2:18">
      <c r="B22" s="761"/>
      <c r="C22" s="773"/>
      <c r="D22" s="773"/>
      <c r="E22" s="773"/>
      <c r="F22" s="773"/>
      <c r="G22" s="776"/>
      <c r="H22" s="776"/>
      <c r="I22" s="776"/>
      <c r="J22" s="776"/>
      <c r="K22" s="756"/>
      <c r="L22" s="757"/>
      <c r="M22" s="776"/>
      <c r="N22" s="776"/>
      <c r="O22" s="776"/>
      <c r="P22" s="776"/>
      <c r="Q22" s="775"/>
      <c r="R22" s="775"/>
    </row>
    <row r="23" spans="2:18">
      <c r="B23" s="761">
        <v>200</v>
      </c>
      <c r="C23" s="895" t="s">
        <v>1227</v>
      </c>
      <c r="D23" s="896"/>
      <c r="E23" s="896"/>
      <c r="F23" s="896"/>
      <c r="G23" s="896"/>
      <c r="H23" s="896"/>
      <c r="I23" s="896"/>
      <c r="J23" s="896"/>
      <c r="K23" s="896"/>
      <c r="L23" s="896"/>
      <c r="M23" s="896"/>
      <c r="N23" s="896"/>
      <c r="O23" s="896"/>
      <c r="P23" s="896"/>
      <c r="Q23" s="896"/>
      <c r="R23" s="896"/>
    </row>
    <row r="24" spans="2:18">
      <c r="B24" s="761">
        <f t="shared" ref="B24:B28" si="2">B23+1</f>
        <v>201</v>
      </c>
      <c r="C24" s="762" t="s">
        <v>1134</v>
      </c>
      <c r="D24" s="762" t="s">
        <v>1219</v>
      </c>
      <c r="E24" s="763" t="s">
        <v>1228</v>
      </c>
      <c r="F24" s="763">
        <v>278</v>
      </c>
      <c r="G24" s="764">
        <v>-36073515.280000001</v>
      </c>
      <c r="H24" s="764">
        <v>548336.70886075939</v>
      </c>
      <c r="I24" s="764">
        <v>-896942.4288607433</v>
      </c>
      <c r="J24" s="764">
        <v>-36422120.999999985</v>
      </c>
      <c r="K24" s="765" t="s">
        <v>1221</v>
      </c>
      <c r="L24" s="766">
        <v>7.9579999999999998E-2</v>
      </c>
      <c r="M24" s="767">
        <f t="shared" ref="M24:P28" si="3">G24*$L24</f>
        <v>-2870730.3459824002</v>
      </c>
      <c r="N24" s="767">
        <f t="shared" si="3"/>
        <v>43636.635291139231</v>
      </c>
      <c r="O24" s="767">
        <f t="shared" si="3"/>
        <v>-71378.678488737947</v>
      </c>
      <c r="P24" s="767">
        <f t="shared" si="3"/>
        <v>-2898472.3891799985</v>
      </c>
      <c r="Q24" s="765" t="s">
        <v>1222</v>
      </c>
      <c r="R24" s="777" t="s">
        <v>1229</v>
      </c>
    </row>
    <row r="25" spans="2:18">
      <c r="B25" s="761">
        <f t="shared" si="2"/>
        <v>202</v>
      </c>
      <c r="C25" s="762" t="s">
        <v>1135</v>
      </c>
      <c r="D25" s="762" t="s">
        <v>1219</v>
      </c>
      <c r="E25" s="763" t="s">
        <v>1228</v>
      </c>
      <c r="F25" s="763">
        <v>278</v>
      </c>
      <c r="G25" s="764">
        <v>0</v>
      </c>
      <c r="H25" s="764">
        <v>0</v>
      </c>
      <c r="I25" s="764">
        <v>0</v>
      </c>
      <c r="J25" s="764">
        <v>0</v>
      </c>
      <c r="K25" s="777" t="s">
        <v>1221</v>
      </c>
      <c r="L25" s="766">
        <v>7.9579999999999998E-2</v>
      </c>
      <c r="M25" s="767">
        <f t="shared" si="3"/>
        <v>0</v>
      </c>
      <c r="N25" s="767">
        <f t="shared" si="3"/>
        <v>0</v>
      </c>
      <c r="O25" s="767">
        <f t="shared" si="3"/>
        <v>0</v>
      </c>
      <c r="P25" s="767">
        <f t="shared" si="3"/>
        <v>0</v>
      </c>
      <c r="Q25" s="777" t="s">
        <v>1222</v>
      </c>
      <c r="R25" s="768" t="s">
        <v>1129</v>
      </c>
    </row>
    <row r="26" spans="2:18">
      <c r="B26" s="761">
        <f t="shared" si="2"/>
        <v>203</v>
      </c>
      <c r="C26" s="762" t="s">
        <v>1230</v>
      </c>
      <c r="D26" s="762" t="s">
        <v>1219</v>
      </c>
      <c r="E26" s="763">
        <v>182.3</v>
      </c>
      <c r="F26" s="763">
        <v>232</v>
      </c>
      <c r="G26" s="764">
        <v>1167022</v>
      </c>
      <c r="H26" s="764">
        <v>1911163.2911392404</v>
      </c>
      <c r="I26" s="764">
        <v>-2209917.2911392404</v>
      </c>
      <c r="J26" s="764">
        <v>868268</v>
      </c>
      <c r="K26" s="777" t="s">
        <v>1221</v>
      </c>
      <c r="L26" s="766">
        <v>7.9579999999999998E-2</v>
      </c>
      <c r="M26" s="767">
        <f t="shared" si="3"/>
        <v>92871.610759999996</v>
      </c>
      <c r="N26" s="767">
        <f t="shared" si="3"/>
        <v>152090.37470886073</v>
      </c>
      <c r="O26" s="767">
        <f t="shared" si="3"/>
        <v>-175865.21802886075</v>
      </c>
      <c r="P26" s="767">
        <f t="shared" si="3"/>
        <v>69096.767439999996</v>
      </c>
      <c r="Q26" s="765" t="s">
        <v>1222</v>
      </c>
      <c r="R26" s="777" t="s">
        <v>1229</v>
      </c>
    </row>
    <row r="27" spans="2:18">
      <c r="B27" s="761">
        <f t="shared" si="2"/>
        <v>204</v>
      </c>
      <c r="C27" s="762" t="s">
        <v>1231</v>
      </c>
      <c r="D27" s="762" t="s">
        <v>1232</v>
      </c>
      <c r="E27" s="763" t="s">
        <v>1228</v>
      </c>
      <c r="F27" s="763">
        <v>278</v>
      </c>
      <c r="G27" s="764">
        <v>-6578.9999999997826</v>
      </c>
      <c r="H27" s="764">
        <v>38</v>
      </c>
      <c r="I27" s="764">
        <v>3.637978807091713E-12</v>
      </c>
      <c r="J27" s="764">
        <v>-6540.999999999779</v>
      </c>
      <c r="K27" s="765" t="s">
        <v>1221</v>
      </c>
      <c r="L27" s="766">
        <v>7.9579999999999998E-2</v>
      </c>
      <c r="M27" s="767">
        <f t="shared" si="3"/>
        <v>-523.55681999998274</v>
      </c>
      <c r="N27" s="767">
        <f t="shared" si="3"/>
        <v>3.0240399999999998</v>
      </c>
      <c r="O27" s="767">
        <f t="shared" si="3"/>
        <v>2.8951035346835851E-13</v>
      </c>
      <c r="P27" s="767">
        <f t="shared" si="3"/>
        <v>-520.53277999998238</v>
      </c>
      <c r="Q27" s="765" t="s">
        <v>1222</v>
      </c>
      <c r="R27" s="768" t="s">
        <v>1128</v>
      </c>
    </row>
    <row r="28" spans="2:18">
      <c r="B28" s="761">
        <f t="shared" si="2"/>
        <v>205</v>
      </c>
      <c r="C28" s="769" t="s">
        <v>355</v>
      </c>
      <c r="D28" s="770"/>
      <c r="E28" s="769"/>
      <c r="F28" s="769"/>
      <c r="G28" s="764"/>
      <c r="H28" s="764"/>
      <c r="I28" s="764"/>
      <c r="J28" s="764"/>
      <c r="K28" s="771"/>
      <c r="L28" s="772"/>
      <c r="M28" s="767">
        <f t="shared" si="3"/>
        <v>0</v>
      </c>
      <c r="N28" s="767">
        <f t="shared" si="3"/>
        <v>0</v>
      </c>
      <c r="O28" s="767">
        <f t="shared" si="3"/>
        <v>0</v>
      </c>
      <c r="P28" s="767">
        <f t="shared" si="3"/>
        <v>0</v>
      </c>
      <c r="Q28" s="782"/>
      <c r="R28" s="782"/>
    </row>
    <row r="29" spans="2:18">
      <c r="B29" s="761">
        <v>299</v>
      </c>
      <c r="C29" s="773" t="s">
        <v>1233</v>
      </c>
      <c r="D29" s="773"/>
      <c r="E29" s="773"/>
      <c r="F29" s="773"/>
      <c r="G29" s="774">
        <f>SUM(G24:G28)</f>
        <v>-34913072.280000001</v>
      </c>
      <c r="H29" s="774">
        <f>SUM(H24:H28)</f>
        <v>2459538</v>
      </c>
      <c r="I29" s="774">
        <f>SUM(I24:I28)</f>
        <v>-3106859.7199999839</v>
      </c>
      <c r="J29" s="774">
        <f>SUM(J24:J28)</f>
        <v>-35560393.999999985</v>
      </c>
      <c r="K29" s="756"/>
      <c r="L29" s="757"/>
      <c r="M29" s="774">
        <f>SUM(M24:M28)</f>
        <v>-2778382.2920424002</v>
      </c>
      <c r="N29" s="774">
        <f>SUM(N24:N28)</f>
        <v>195730.03403999994</v>
      </c>
      <c r="O29" s="774">
        <f>SUM(O24:O28)</f>
        <v>-247243.89651759871</v>
      </c>
      <c r="P29" s="774">
        <f>SUM(P24:P28)</f>
        <v>-2829896.1545199985</v>
      </c>
      <c r="Q29" s="775"/>
      <c r="R29" s="775"/>
    </row>
    <row r="30" spans="2:18">
      <c r="B30" s="761"/>
      <c r="C30" s="773"/>
      <c r="D30" s="773"/>
      <c r="E30" s="773"/>
      <c r="F30" s="773"/>
      <c r="G30" s="776"/>
      <c r="H30" s="776"/>
      <c r="I30" s="776"/>
      <c r="J30" s="776"/>
      <c r="K30" s="756"/>
      <c r="L30" s="757"/>
      <c r="M30" s="776"/>
      <c r="N30" s="776"/>
      <c r="O30" s="776"/>
      <c r="P30" s="776"/>
      <c r="Q30" s="775"/>
      <c r="R30" s="775"/>
    </row>
    <row r="31" spans="2:18">
      <c r="B31" s="761">
        <v>300</v>
      </c>
      <c r="C31" s="762" t="s">
        <v>1234</v>
      </c>
      <c r="D31" s="762" t="s">
        <v>1219</v>
      </c>
      <c r="E31" s="763">
        <v>190</v>
      </c>
      <c r="F31" s="763"/>
      <c r="G31" s="764">
        <f>-SUM(G24,G25,G27)*0.21</f>
        <v>7576819.7988</v>
      </c>
      <c r="H31" s="764">
        <f>-SUM(H24,H25,H27)*0.21</f>
        <v>-115158.68886075947</v>
      </c>
      <c r="I31" s="764">
        <f>-SUM(I24,I25,I27)*0.21</f>
        <v>188357.91006075608</v>
      </c>
      <c r="J31" s="764">
        <f t="shared" ref="J31:J32" si="4">SUM(G31:I31)</f>
        <v>7650019.0199999968</v>
      </c>
      <c r="K31" s="765" t="s">
        <v>1221</v>
      </c>
      <c r="L31" s="766">
        <v>7.9579999999999998E-2</v>
      </c>
      <c r="M31" s="767">
        <f t="shared" ref="M31:P33" si="5">G31*$L31</f>
        <v>602963.31958850403</v>
      </c>
      <c r="N31" s="767">
        <f t="shared" si="5"/>
        <v>-9164.3284595392379</v>
      </c>
      <c r="O31" s="767">
        <f t="shared" si="5"/>
        <v>14989.522482634969</v>
      </c>
      <c r="P31" s="767">
        <f t="shared" si="5"/>
        <v>608788.51361159969</v>
      </c>
      <c r="Q31" s="775"/>
      <c r="R31" s="775"/>
    </row>
    <row r="32" spans="2:18">
      <c r="B32" s="761">
        <f>B31+1</f>
        <v>301</v>
      </c>
      <c r="C32" s="762" t="s">
        <v>1235</v>
      </c>
      <c r="D32" s="762" t="s">
        <v>1219</v>
      </c>
      <c r="E32" s="763">
        <v>283</v>
      </c>
      <c r="F32" s="763"/>
      <c r="G32" s="764">
        <f>-G26*0.21</f>
        <v>-245074.62</v>
      </c>
      <c r="H32" s="764">
        <f>-H26*0.21</f>
        <v>-401344.29113924049</v>
      </c>
      <c r="I32" s="764">
        <f>-I26*0.21</f>
        <v>464082.63113924046</v>
      </c>
      <c r="J32" s="764">
        <f t="shared" si="4"/>
        <v>-182336.28000000003</v>
      </c>
      <c r="K32" s="765" t="s">
        <v>1221</v>
      </c>
      <c r="L32" s="766">
        <v>7.9579999999999998E-2</v>
      </c>
      <c r="M32" s="767">
        <f t="shared" si="5"/>
        <v>-19503.038259599998</v>
      </c>
      <c r="N32" s="767">
        <f t="shared" si="5"/>
        <v>-31938.978688860756</v>
      </c>
      <c r="O32" s="767">
        <f t="shared" si="5"/>
        <v>36931.695786060758</v>
      </c>
      <c r="P32" s="767">
        <f t="shared" si="5"/>
        <v>-14510.321162400001</v>
      </c>
      <c r="Q32" s="775"/>
      <c r="R32" s="775"/>
    </row>
    <row r="33" spans="2:18">
      <c r="B33" s="761">
        <f>B32+1</f>
        <v>302</v>
      </c>
      <c r="C33" s="769" t="s">
        <v>355</v>
      </c>
      <c r="D33" s="769"/>
      <c r="E33" s="769"/>
      <c r="F33" s="778"/>
      <c r="G33" s="779"/>
      <c r="H33" s="780"/>
      <c r="I33" s="780"/>
      <c r="J33" s="780"/>
      <c r="K33" s="780"/>
      <c r="L33" s="771"/>
      <c r="M33" s="781">
        <f t="shared" si="5"/>
        <v>0</v>
      </c>
      <c r="N33" s="781">
        <f t="shared" si="5"/>
        <v>0</v>
      </c>
      <c r="O33" s="781">
        <f t="shared" si="5"/>
        <v>0</v>
      </c>
      <c r="P33" s="781">
        <f t="shared" si="5"/>
        <v>0</v>
      </c>
      <c r="Q33" s="782"/>
      <c r="R33" s="782"/>
    </row>
    <row r="34" spans="2:18">
      <c r="B34" s="761">
        <v>350</v>
      </c>
      <c r="C34" s="773" t="s">
        <v>1236</v>
      </c>
      <c r="D34" s="773"/>
      <c r="G34" s="776">
        <f>SUM(G31:G33)</f>
        <v>7331745.1787999999</v>
      </c>
      <c r="H34" s="776">
        <f>SUM(H31:H33)</f>
        <v>-516502.98</v>
      </c>
      <c r="I34" s="776">
        <f>SUM(I31:I33)</f>
        <v>652440.5411999966</v>
      </c>
      <c r="J34" s="776">
        <f>SUM(J31:J33)</f>
        <v>7467682.7399999965</v>
      </c>
      <c r="K34" s="756"/>
      <c r="L34" s="757"/>
      <c r="M34" s="776">
        <f>SUM(M31:M33)</f>
        <v>583460.28132890398</v>
      </c>
      <c r="N34" s="776">
        <f>SUM(N31:N33)</f>
        <v>-41103.307148399996</v>
      </c>
      <c r="O34" s="776">
        <f>SUM(O31:O33)</f>
        <v>51921.218268695724</v>
      </c>
      <c r="P34" s="776">
        <f>SUM(P31:P33)</f>
        <v>594278.19244919973</v>
      </c>
      <c r="Q34" s="775"/>
      <c r="R34" s="775"/>
    </row>
    <row r="35" spans="2:18">
      <c r="B35" s="761">
        <f>B34+1</f>
        <v>351</v>
      </c>
      <c r="C35" s="773"/>
      <c r="D35" s="773"/>
      <c r="G35" s="776"/>
      <c r="H35" s="776"/>
      <c r="I35" s="776"/>
      <c r="J35" s="776"/>
      <c r="K35" s="756"/>
      <c r="L35" s="757"/>
      <c r="M35" s="776"/>
      <c r="N35" s="776"/>
      <c r="O35" s="776"/>
      <c r="P35" s="776"/>
      <c r="Q35" s="775"/>
      <c r="R35" s="775"/>
    </row>
    <row r="36" spans="2:18">
      <c r="B36" s="761">
        <f>B35+1</f>
        <v>352</v>
      </c>
      <c r="C36" s="773" t="s">
        <v>1237</v>
      </c>
      <c r="D36" s="773"/>
      <c r="E36" s="773"/>
      <c r="F36" s="773"/>
      <c r="G36" s="776">
        <f>G29+G34</f>
        <v>-27581327.101199999</v>
      </c>
      <c r="H36" s="776">
        <f>H29+H34</f>
        <v>1943035.02</v>
      </c>
      <c r="I36" s="776">
        <f>I29+I34</f>
        <v>-2454419.1787999873</v>
      </c>
      <c r="J36" s="776">
        <f>J29+J34</f>
        <v>-28092711.25999999</v>
      </c>
      <c r="K36" s="756"/>
      <c r="L36" s="757"/>
      <c r="M36" s="776">
        <f>M29+M34</f>
        <v>-2194922.0107134962</v>
      </c>
      <c r="N36" s="776">
        <f>N29+N34</f>
        <v>154626.72689159994</v>
      </c>
      <c r="O36" s="776">
        <f>O29+O34</f>
        <v>-195322.67824890299</v>
      </c>
      <c r="P36" s="776">
        <f>P29+P34</f>
        <v>-2235617.9620707985</v>
      </c>
      <c r="Q36" s="775"/>
      <c r="R36" s="775"/>
    </row>
    <row r="37" spans="2:18">
      <c r="B37" s="761"/>
      <c r="C37" s="773"/>
      <c r="D37" s="773"/>
      <c r="E37" s="773"/>
      <c r="F37" s="773"/>
      <c r="G37" s="776"/>
      <c r="H37" s="776"/>
      <c r="I37" s="776"/>
      <c r="J37" s="776"/>
      <c r="K37" s="756"/>
      <c r="L37" s="757"/>
      <c r="M37" s="776"/>
      <c r="N37" s="776"/>
      <c r="O37" s="776"/>
      <c r="P37" s="776"/>
      <c r="Q37" s="775"/>
      <c r="R37" s="775"/>
    </row>
    <row r="38" spans="2:18">
      <c r="B38" s="761">
        <v>353</v>
      </c>
      <c r="C38" s="895" t="s">
        <v>1238</v>
      </c>
      <c r="D38" s="896"/>
      <c r="E38" s="896"/>
      <c r="F38" s="896"/>
      <c r="G38" s="896"/>
      <c r="H38" s="896"/>
      <c r="I38" s="896"/>
      <c r="J38" s="896"/>
      <c r="K38" s="896"/>
      <c r="L38" s="896"/>
      <c r="M38" s="896"/>
      <c r="N38" s="896"/>
      <c r="O38" s="896"/>
      <c r="P38" s="896"/>
      <c r="Q38" s="896"/>
      <c r="R38" s="896"/>
    </row>
    <row r="39" spans="2:18">
      <c r="B39" s="761">
        <f t="shared" ref="B39:B44" si="6">B38+1</f>
        <v>354</v>
      </c>
      <c r="C39" s="773"/>
      <c r="D39" s="773"/>
      <c r="E39" s="762"/>
      <c r="F39" s="773"/>
      <c r="G39" s="776"/>
      <c r="H39" s="776"/>
      <c r="I39" s="776"/>
      <c r="J39" s="776"/>
      <c r="K39" s="756"/>
      <c r="L39" s="757"/>
      <c r="M39" s="776"/>
      <c r="N39" s="776"/>
      <c r="O39" s="776"/>
      <c r="P39" s="776"/>
      <c r="Q39" s="775"/>
      <c r="R39" s="775"/>
    </row>
    <row r="40" spans="2:18">
      <c r="B40" s="761">
        <f t="shared" si="6"/>
        <v>355</v>
      </c>
      <c r="C40" s="783" t="s">
        <v>1239</v>
      </c>
      <c r="D40" s="773"/>
      <c r="E40" s="773"/>
      <c r="F40" s="773"/>
      <c r="G40" s="776">
        <f>+G15+G29</f>
        <v>-34702287.280000001</v>
      </c>
      <c r="H40" s="776">
        <f>+H15+H29</f>
        <v>2468892.4303797469</v>
      </c>
      <c r="I40" s="776">
        <f>+I15+I29</f>
        <v>-293285.43037973065</v>
      </c>
      <c r="J40" s="776">
        <f>+J15+J29</f>
        <v>-32526680.279999986</v>
      </c>
      <c r="K40" s="784"/>
      <c r="L40" s="776"/>
      <c r="M40" s="776">
        <f>+M15+M29</f>
        <v>-2761608.0217424002</v>
      </c>
      <c r="N40" s="776">
        <f>+N15+N29</f>
        <v>196474.45960962019</v>
      </c>
      <c r="O40" s="776">
        <f>+O15+O29</f>
        <v>-23339.65454961895</v>
      </c>
      <c r="P40" s="776">
        <f>+P15+P29</f>
        <v>-2588473.2166823987</v>
      </c>
      <c r="Q40" s="775"/>
      <c r="R40" s="775"/>
    </row>
    <row r="41" spans="2:18">
      <c r="B41" s="761">
        <f t="shared" si="6"/>
        <v>356</v>
      </c>
      <c r="C41" s="773" t="s">
        <v>1240</v>
      </c>
      <c r="D41" s="773"/>
      <c r="E41" s="773"/>
      <c r="F41" s="773"/>
      <c r="G41" s="785">
        <f>G19+G34</f>
        <v>7287480.3288000003</v>
      </c>
      <c r="H41" s="785">
        <f>H19+H34</f>
        <v>-518467.41037974681</v>
      </c>
      <c r="I41" s="785">
        <f>I19+I34</f>
        <v>61589.940379743464</v>
      </c>
      <c r="J41" s="785">
        <f>J19+J34</f>
        <v>6830602.8587999968</v>
      </c>
      <c r="K41" s="786"/>
      <c r="L41" s="785"/>
      <c r="M41" s="785">
        <f>M19+M34</f>
        <v>579937.68456590397</v>
      </c>
      <c r="N41" s="785">
        <f>N19+N34</f>
        <v>-41259.636518020248</v>
      </c>
      <c r="O41" s="785">
        <f>O19+O34</f>
        <v>4901.3274554199816</v>
      </c>
      <c r="P41" s="785">
        <f>P19+P34</f>
        <v>543579.37550330372</v>
      </c>
      <c r="Q41" s="775"/>
      <c r="R41" s="775"/>
    </row>
    <row r="42" spans="2:18">
      <c r="B42" s="761">
        <f t="shared" si="6"/>
        <v>357</v>
      </c>
      <c r="C42" s="773" t="s">
        <v>1241</v>
      </c>
      <c r="D42" s="773"/>
      <c r="E42" s="773"/>
      <c r="F42" s="773"/>
      <c r="G42" s="776">
        <f>SUM(G40:G41)</f>
        <v>-27414806.951200001</v>
      </c>
      <c r="H42" s="776">
        <f>SUM(H40:H41)</f>
        <v>1950425.02</v>
      </c>
      <c r="I42" s="776">
        <f>SUM(I40:I41)</f>
        <v>-231695.48999998719</v>
      </c>
      <c r="J42" s="776">
        <f>SUM(J40:J41)</f>
        <v>-25696077.421199989</v>
      </c>
      <c r="K42" s="784"/>
      <c r="L42" s="776"/>
      <c r="M42" s="776">
        <f>SUM(M40:M41)</f>
        <v>-2181670.3371764962</v>
      </c>
      <c r="N42" s="776">
        <f>SUM(N40:N41)</f>
        <v>155214.82309159994</v>
      </c>
      <c r="O42" s="776">
        <f>SUM(O40:O41)</f>
        <v>-18438.327094198969</v>
      </c>
      <c r="P42" s="776">
        <f>SUM(P40:P41)</f>
        <v>-2044893.841179095</v>
      </c>
      <c r="Q42" s="775"/>
      <c r="R42" s="775"/>
    </row>
    <row r="43" spans="2:18">
      <c r="B43" s="761">
        <f t="shared" si="6"/>
        <v>358</v>
      </c>
      <c r="C43" s="773" t="s">
        <v>1242</v>
      </c>
      <c r="D43" s="773"/>
      <c r="E43" s="773"/>
      <c r="F43" s="773"/>
      <c r="G43" s="776"/>
      <c r="H43" s="776"/>
      <c r="I43" s="776"/>
      <c r="J43" s="776">
        <f>(J40+G40)/2</f>
        <v>-33614483.779999994</v>
      </c>
      <c r="K43" s="784"/>
      <c r="L43" s="776"/>
      <c r="M43" s="776"/>
      <c r="N43" s="776"/>
      <c r="O43" s="776"/>
      <c r="P43" s="776">
        <f>(P40+M40)/2</f>
        <v>-2675040.6192123992</v>
      </c>
      <c r="R43" s="775"/>
    </row>
    <row r="44" spans="2:18" ht="15.6">
      <c r="B44" s="761">
        <f t="shared" si="6"/>
        <v>359</v>
      </c>
      <c r="C44" s="773" t="s">
        <v>1243</v>
      </c>
      <c r="D44" s="773"/>
      <c r="E44" s="773"/>
      <c r="F44" s="773"/>
      <c r="G44" s="776"/>
      <c r="H44" s="776"/>
      <c r="I44" s="776"/>
      <c r="J44" s="787"/>
      <c r="K44" s="784"/>
      <c r="L44" s="776"/>
      <c r="M44" s="776"/>
      <c r="N44" s="776"/>
      <c r="O44" s="776"/>
      <c r="P44" s="788">
        <f>P42/J42</f>
        <v>7.9579999999999998E-2</v>
      </c>
      <c r="R44" s="775"/>
    </row>
    <row r="45" spans="2:18">
      <c r="B45" s="761"/>
      <c r="C45" s="773"/>
      <c r="D45" s="773"/>
      <c r="E45" s="773"/>
      <c r="F45" s="773"/>
      <c r="G45" s="776"/>
      <c r="H45" s="776"/>
      <c r="I45" s="776"/>
      <c r="J45" s="776"/>
      <c r="K45" s="784"/>
      <c r="L45" s="776"/>
      <c r="M45" s="776"/>
      <c r="N45" s="776"/>
      <c r="O45" s="776"/>
      <c r="Q45" s="775"/>
      <c r="R45" s="775"/>
    </row>
    <row r="46" spans="2:18">
      <c r="B46" s="789" t="s">
        <v>205</v>
      </c>
    </row>
    <row r="47" spans="2:18" ht="91.5" customHeight="1">
      <c r="B47" s="790" t="s">
        <v>79</v>
      </c>
      <c r="C47" s="891" t="s">
        <v>1244</v>
      </c>
      <c r="D47" s="891"/>
      <c r="E47" s="891"/>
      <c r="F47" s="891"/>
      <c r="G47" s="891"/>
      <c r="H47" s="891"/>
      <c r="I47" s="891"/>
      <c r="J47" s="891"/>
      <c r="K47" s="891"/>
      <c r="L47" s="891"/>
      <c r="M47" s="891"/>
      <c r="N47" s="891"/>
      <c r="O47" s="891"/>
      <c r="P47" s="891"/>
      <c r="Q47" s="791"/>
      <c r="R47" s="791"/>
    </row>
    <row r="48" spans="2:18" ht="21" customHeight="1">
      <c r="B48" s="790" t="s">
        <v>1245</v>
      </c>
      <c r="C48" s="891" t="s">
        <v>1246</v>
      </c>
      <c r="D48" s="891"/>
      <c r="E48" s="891"/>
      <c r="F48" s="891"/>
      <c r="G48" s="891"/>
      <c r="H48" s="891"/>
      <c r="I48" s="891"/>
      <c r="J48" s="891"/>
      <c r="K48" s="891"/>
      <c r="L48" s="891"/>
      <c r="M48" s="891"/>
      <c r="N48" s="891"/>
      <c r="O48" s="891"/>
      <c r="P48" s="891"/>
      <c r="Q48" s="791"/>
      <c r="R48" s="791"/>
    </row>
    <row r="49" spans="2:18" ht="22.35" customHeight="1">
      <c r="B49" s="790" t="s">
        <v>80</v>
      </c>
      <c r="C49" s="891" t="s">
        <v>1247</v>
      </c>
      <c r="D49" s="891"/>
      <c r="E49" s="891"/>
      <c r="F49" s="891"/>
      <c r="G49" s="891"/>
      <c r="H49" s="891"/>
      <c r="I49" s="891"/>
      <c r="J49" s="891"/>
      <c r="K49" s="891"/>
      <c r="L49" s="891"/>
      <c r="M49" s="891"/>
      <c r="N49" s="891"/>
      <c r="O49" s="891"/>
      <c r="P49" s="891"/>
      <c r="Q49" s="792"/>
      <c r="R49" s="792"/>
    </row>
    <row r="50" spans="2:18" ht="36.6" customHeight="1">
      <c r="B50" s="790" t="s">
        <v>81</v>
      </c>
      <c r="C50" s="891" t="s">
        <v>1248</v>
      </c>
      <c r="D50" s="891"/>
      <c r="E50" s="891"/>
      <c r="F50" s="891"/>
      <c r="G50" s="891"/>
      <c r="H50" s="891"/>
      <c r="I50" s="891"/>
      <c r="J50" s="891"/>
      <c r="K50" s="891"/>
      <c r="L50" s="891"/>
      <c r="M50" s="891"/>
      <c r="N50" s="891"/>
      <c r="O50" s="891"/>
      <c r="P50" s="891"/>
      <c r="Q50" s="792"/>
      <c r="R50" s="792"/>
    </row>
    <row r="51" spans="2:18" ht="21" customHeight="1">
      <c r="B51" s="790" t="s">
        <v>82</v>
      </c>
      <c r="C51" s="891" t="s">
        <v>1249</v>
      </c>
      <c r="D51" s="891"/>
      <c r="E51" s="891"/>
      <c r="F51" s="891"/>
      <c r="G51" s="891"/>
      <c r="H51" s="891"/>
      <c r="I51" s="891"/>
      <c r="J51" s="891"/>
      <c r="K51" s="891"/>
      <c r="L51" s="891"/>
      <c r="M51" s="891"/>
      <c r="N51" s="891"/>
      <c r="O51" s="891"/>
      <c r="P51" s="891"/>
    </row>
    <row r="52" spans="2:18" ht="17.399999999999999" customHeight="1">
      <c r="B52" s="790" t="s">
        <v>83</v>
      </c>
      <c r="C52" s="897" t="s">
        <v>1250</v>
      </c>
      <c r="D52" s="897"/>
      <c r="E52" s="897"/>
      <c r="F52" s="897"/>
      <c r="G52" s="897"/>
      <c r="H52" s="897"/>
      <c r="I52" s="897"/>
      <c r="J52" s="897"/>
      <c r="K52" s="897"/>
      <c r="L52" s="897"/>
      <c r="M52" s="897"/>
      <c r="N52" s="897"/>
      <c r="O52" s="897"/>
      <c r="P52" s="897"/>
    </row>
    <row r="53" spans="2:18" ht="54.9" customHeight="1">
      <c r="B53" s="790" t="s">
        <v>84</v>
      </c>
      <c r="C53" s="891" t="s">
        <v>1251</v>
      </c>
      <c r="D53" s="891"/>
      <c r="E53" s="891"/>
      <c r="F53" s="891"/>
      <c r="G53" s="891"/>
      <c r="H53" s="891"/>
      <c r="I53" s="891"/>
      <c r="J53" s="891"/>
      <c r="K53" s="891"/>
      <c r="L53" s="891"/>
      <c r="M53" s="891"/>
      <c r="N53" s="891"/>
      <c r="O53" s="891"/>
      <c r="P53" s="891"/>
    </row>
    <row r="54" spans="2:18" ht="32.4" customHeight="1">
      <c r="B54" s="790" t="s">
        <v>85</v>
      </c>
      <c r="C54" s="891" t="s">
        <v>1252</v>
      </c>
      <c r="D54" s="891"/>
      <c r="E54" s="891"/>
      <c r="F54" s="891"/>
      <c r="G54" s="891"/>
      <c r="H54" s="891"/>
      <c r="I54" s="891"/>
      <c r="J54" s="891"/>
      <c r="K54" s="891"/>
      <c r="L54" s="891"/>
      <c r="M54" s="891"/>
      <c r="N54" s="891"/>
      <c r="O54" s="891"/>
      <c r="P54" s="891"/>
    </row>
    <row r="55" spans="2:18" ht="32.4" customHeight="1">
      <c r="B55" s="790" t="s">
        <v>448</v>
      </c>
      <c r="C55" s="891" t="s">
        <v>1253</v>
      </c>
      <c r="D55" s="891"/>
      <c r="E55" s="891"/>
      <c r="F55" s="891"/>
      <c r="G55" s="891"/>
      <c r="H55" s="891"/>
      <c r="I55" s="891"/>
      <c r="J55" s="891"/>
      <c r="K55" s="891"/>
      <c r="L55" s="891"/>
      <c r="M55" s="891"/>
      <c r="N55" s="891"/>
      <c r="O55" s="891"/>
      <c r="P55" s="891"/>
    </row>
    <row r="56" spans="2:18" ht="46.2" customHeight="1">
      <c r="B56" s="790" t="s">
        <v>86</v>
      </c>
      <c r="C56" s="897" t="s">
        <v>1254</v>
      </c>
      <c r="D56" s="897"/>
      <c r="E56" s="897"/>
      <c r="F56" s="897"/>
      <c r="G56" s="897"/>
      <c r="H56" s="897"/>
      <c r="I56" s="897"/>
      <c r="J56" s="897"/>
      <c r="K56" s="897"/>
      <c r="L56" s="897"/>
      <c r="M56" s="897"/>
      <c r="N56" s="897"/>
      <c r="O56" s="897"/>
      <c r="P56" s="897"/>
    </row>
    <row r="57" spans="2:18" ht="44.25" customHeight="1">
      <c r="B57" s="790" t="s">
        <v>87</v>
      </c>
      <c r="C57" s="891" t="s">
        <v>1255</v>
      </c>
      <c r="D57" s="891"/>
      <c r="E57" s="891"/>
      <c r="F57" s="891"/>
      <c r="G57" s="891"/>
      <c r="H57" s="891"/>
      <c r="I57" s="891"/>
      <c r="J57" s="891"/>
      <c r="K57" s="891"/>
      <c r="L57" s="891"/>
      <c r="M57" s="891"/>
      <c r="N57" s="891"/>
      <c r="O57" s="891"/>
      <c r="P57" s="891"/>
    </row>
    <row r="58" spans="2:18" ht="15.6">
      <c r="B58" s="787"/>
      <c r="C58" s="793"/>
    </row>
    <row r="59" spans="2:18">
      <c r="C59" s="793"/>
    </row>
    <row r="60" spans="2:18">
      <c r="C60" s="793"/>
    </row>
    <row r="61" spans="2:18">
      <c r="C61" s="793"/>
    </row>
    <row r="62" spans="2:18">
      <c r="C62" s="793"/>
    </row>
    <row r="63" spans="2:18">
      <c r="C63" s="793"/>
    </row>
  </sheetData>
  <mergeCells count="19">
    <mergeCell ref="C57:P57"/>
    <mergeCell ref="C51:P51"/>
    <mergeCell ref="C52:P52"/>
    <mergeCell ref="C53:P53"/>
    <mergeCell ref="C54:P54"/>
    <mergeCell ref="C55:P55"/>
    <mergeCell ref="C56:P56"/>
    <mergeCell ref="C50:P50"/>
    <mergeCell ref="B2:R2"/>
    <mergeCell ref="B3:R3"/>
    <mergeCell ref="B4:R4"/>
    <mergeCell ref="K8:L8"/>
    <mergeCell ref="K10:L10"/>
    <mergeCell ref="C12:R12"/>
    <mergeCell ref="C23:R23"/>
    <mergeCell ref="C38:R38"/>
    <mergeCell ref="C47:P47"/>
    <mergeCell ref="C48:P48"/>
    <mergeCell ref="C49:P49"/>
  </mergeCells>
  <pageMargins left="0.25" right="0.25" top="0.5" bottom="0.25" header="0.3" footer="0.3"/>
  <pageSetup scale="44"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25C9A-F975-44DF-84D7-78921A4A304D}">
  <sheetPr>
    <tabColor theme="6" tint="0.59999389629810485"/>
    <pageSetUpPr fitToPage="1"/>
  </sheetPr>
  <dimension ref="A1:K61"/>
  <sheetViews>
    <sheetView zoomScaleNormal="100" workbookViewId="0">
      <selection activeCell="A50" sqref="A50"/>
    </sheetView>
  </sheetViews>
  <sheetFormatPr defaultColWidth="7.08984375" defaultRowHeight="13.2"/>
  <cols>
    <col min="1" max="1" width="4.81640625" style="795" customWidth="1"/>
    <col min="2" max="2" width="26.453125" style="794" customWidth="1"/>
    <col min="3" max="3" width="6.90625" style="794" bestFit="1" customWidth="1"/>
    <col min="4" max="4" width="8.90625" style="794" customWidth="1"/>
    <col min="5" max="5" width="9.7265625" style="794" bestFit="1" customWidth="1"/>
    <col min="6" max="7" width="8.6328125" style="794" customWidth="1"/>
    <col min="8" max="8" width="10.1796875" style="852" customWidth="1"/>
    <col min="9" max="9" width="11.81640625" style="794" customWidth="1"/>
    <col min="10" max="10" width="11" style="794" bestFit="1" customWidth="1"/>
    <col min="11" max="11" width="11.6328125" style="794" bestFit="1" customWidth="1"/>
    <col min="12" max="16384" width="7.08984375" style="794"/>
  </cols>
  <sheetData>
    <row r="1" spans="1:11" ht="15" customHeight="1">
      <c r="A1" s="900" t="s">
        <v>1186</v>
      </c>
      <c r="B1" s="900"/>
      <c r="C1" s="900"/>
      <c r="D1" s="900"/>
      <c r="E1" s="900"/>
      <c r="F1" s="900"/>
      <c r="G1" s="900"/>
      <c r="H1" s="900"/>
      <c r="I1" s="900"/>
    </row>
    <row r="2" spans="1:11" ht="15" customHeight="1">
      <c r="A2" s="901" t="s">
        <v>1256</v>
      </c>
      <c r="B2" s="901"/>
      <c r="C2" s="901"/>
      <c r="D2" s="901"/>
      <c r="E2" s="901"/>
      <c r="F2" s="901"/>
      <c r="G2" s="901"/>
      <c r="H2" s="901"/>
      <c r="I2" s="901"/>
    </row>
    <row r="3" spans="1:11" ht="15" customHeight="1">
      <c r="A3" s="902" t="s">
        <v>130</v>
      </c>
      <c r="B3" s="902"/>
      <c r="C3" s="902"/>
      <c r="D3" s="902"/>
      <c r="E3" s="902"/>
      <c r="F3" s="902"/>
      <c r="G3" s="902"/>
      <c r="H3" s="902"/>
      <c r="I3" s="902"/>
    </row>
    <row r="4" spans="1:11" ht="15" customHeight="1">
      <c r="A4" s="892" t="s">
        <v>1257</v>
      </c>
      <c r="B4" s="892"/>
      <c r="C4" s="892"/>
      <c r="D4" s="892"/>
      <c r="E4" s="892"/>
      <c r="F4" s="892"/>
      <c r="G4" s="892"/>
      <c r="H4" s="892"/>
      <c r="I4" s="892"/>
    </row>
    <row r="5" spans="1:11" ht="12.75" customHeight="1">
      <c r="B5" s="796"/>
      <c r="C5" s="796"/>
      <c r="D5" s="796"/>
      <c r="E5" s="796"/>
      <c r="F5" s="796"/>
      <c r="G5" s="796"/>
      <c r="H5" s="797" t="s">
        <v>1258</v>
      </c>
      <c r="I5" s="798" t="s">
        <v>1259</v>
      </c>
    </row>
    <row r="6" spans="1:11" ht="12.75" customHeight="1">
      <c r="B6" s="796"/>
      <c r="C6" s="796"/>
      <c r="D6" s="796"/>
      <c r="E6" s="796"/>
      <c r="F6" s="796"/>
      <c r="G6" s="796"/>
      <c r="H6" s="797" t="s">
        <v>1260</v>
      </c>
      <c r="I6" s="799" t="s">
        <v>1222</v>
      </c>
    </row>
    <row r="7" spans="1:11" ht="12.75" customHeight="1">
      <c r="A7" s="800"/>
      <c r="B7" s="801"/>
      <c r="C7" s="802"/>
      <c r="D7" s="802"/>
      <c r="E7" s="802"/>
      <c r="F7" s="802"/>
      <c r="G7" s="802"/>
      <c r="H7" s="797" t="s">
        <v>1261</v>
      </c>
      <c r="I7" s="803">
        <v>0.21</v>
      </c>
    </row>
    <row r="8" spans="1:11" ht="12.75" customHeight="1">
      <c r="A8" s="800"/>
      <c r="B8" s="801"/>
      <c r="C8" s="802"/>
      <c r="D8" s="802"/>
      <c r="E8" s="802"/>
      <c r="F8" s="802"/>
      <c r="G8" s="802"/>
      <c r="H8" s="797" t="s">
        <v>1262</v>
      </c>
      <c r="I8" s="804">
        <v>1.2658227799999999</v>
      </c>
    </row>
    <row r="9" spans="1:11" ht="12.75" customHeight="1">
      <c r="A9" s="800"/>
      <c r="B9" s="801"/>
      <c r="C9" s="802"/>
      <c r="D9" s="802"/>
      <c r="E9" s="802"/>
      <c r="F9" s="802"/>
      <c r="G9" s="802"/>
      <c r="H9" s="797" t="s">
        <v>1263</v>
      </c>
      <c r="I9" s="804" t="s">
        <v>1219</v>
      </c>
    </row>
    <row r="10" spans="1:11" ht="18.600000000000001" customHeight="1" thickBot="1">
      <c r="B10" s="805" t="s">
        <v>1264</v>
      </c>
      <c r="C10" s="805" t="s">
        <v>1265</v>
      </c>
      <c r="D10" s="805" t="s">
        <v>1266</v>
      </c>
      <c r="E10" s="805" t="s">
        <v>1267</v>
      </c>
      <c r="F10" s="805" t="s">
        <v>1268</v>
      </c>
      <c r="G10" s="805" t="s">
        <v>1269</v>
      </c>
      <c r="H10" s="805" t="s">
        <v>1270</v>
      </c>
      <c r="I10" s="805" t="s">
        <v>1271</v>
      </c>
    </row>
    <row r="11" spans="1:11" ht="15.6" customHeight="1" thickBot="1">
      <c r="A11" s="800"/>
      <c r="B11" s="801"/>
      <c r="C11" s="806"/>
      <c r="D11" s="903" t="s">
        <v>1272</v>
      </c>
      <c r="E11" s="904"/>
      <c r="F11" s="904"/>
      <c r="G11" s="904"/>
      <c r="H11" s="904"/>
      <c r="I11" s="905"/>
    </row>
    <row r="12" spans="1:11" ht="39" customHeight="1" thickBot="1">
      <c r="A12" s="800"/>
      <c r="B12" s="801"/>
      <c r="C12" s="808"/>
      <c r="D12" s="807" t="s">
        <v>909</v>
      </c>
      <c r="E12" s="807" t="s">
        <v>909</v>
      </c>
      <c r="F12" s="807" t="s">
        <v>1273</v>
      </c>
      <c r="G12" s="807" t="s">
        <v>1274</v>
      </c>
      <c r="H12" s="809" t="s">
        <v>1275</v>
      </c>
      <c r="I12" s="810" t="s">
        <v>1276</v>
      </c>
      <c r="J12" s="811"/>
    </row>
    <row r="13" spans="1:11" s="814" customFormat="1" ht="93" thickBot="1">
      <c r="A13" s="805" t="s">
        <v>1277</v>
      </c>
      <c r="B13" s="806"/>
      <c r="C13" s="807" t="s">
        <v>221</v>
      </c>
      <c r="D13" s="807" t="s">
        <v>1278</v>
      </c>
      <c r="E13" s="812" t="s">
        <v>1279</v>
      </c>
      <c r="F13" s="812" t="s">
        <v>1280</v>
      </c>
      <c r="G13" s="812" t="s">
        <v>1281</v>
      </c>
      <c r="H13" s="813" t="s">
        <v>1282</v>
      </c>
      <c r="I13" s="813" t="s">
        <v>1283</v>
      </c>
    </row>
    <row r="14" spans="1:11" ht="12.9" customHeight="1">
      <c r="A14" s="815">
        <v>1</v>
      </c>
      <c r="B14" s="816" t="s">
        <v>1284</v>
      </c>
      <c r="C14" s="817"/>
      <c r="D14" s="801"/>
      <c r="E14" s="801"/>
      <c r="F14" s="801"/>
      <c r="G14" s="801"/>
      <c r="H14" s="794"/>
    </row>
    <row r="15" spans="1:11">
      <c r="A15" s="815">
        <v>2</v>
      </c>
      <c r="B15" s="796" t="s">
        <v>1285</v>
      </c>
      <c r="C15" s="764">
        <v>282</v>
      </c>
      <c r="D15" s="818">
        <v>-222347338.27000001</v>
      </c>
      <c r="E15" s="818">
        <v>-77821568.394500002</v>
      </c>
      <c r="F15" s="819">
        <f>+D15*$I$7</f>
        <v>-46692941.036700003</v>
      </c>
      <c r="G15" s="819">
        <f>+E15-F15</f>
        <v>-31128627.357799999</v>
      </c>
      <c r="H15" s="820">
        <f>+G15*$I$8</f>
        <v>-39403325.619634449</v>
      </c>
      <c r="I15" s="821">
        <f>+G15-H15</f>
        <v>8274698.2618344501</v>
      </c>
      <c r="K15" s="822"/>
    </row>
    <row r="16" spans="1:11" ht="12.9" customHeight="1">
      <c r="A16" s="815">
        <v>3</v>
      </c>
      <c r="B16" s="796" t="s">
        <v>1286</v>
      </c>
      <c r="C16" s="764">
        <v>282</v>
      </c>
      <c r="D16" s="823">
        <v>20051759.219999999</v>
      </c>
      <c r="E16" s="818">
        <v>7018115.726999999</v>
      </c>
      <c r="F16" s="819">
        <f>+D16*$I$7</f>
        <v>4210869.4361999994</v>
      </c>
      <c r="G16" s="824">
        <f>+E16-F16</f>
        <v>2807246.2907999996</v>
      </c>
      <c r="H16" s="820">
        <f>+G16*$I$8</f>
        <v>3553476.3039651439</v>
      </c>
      <c r="I16" s="821">
        <f>+G16-H16</f>
        <v>-746230.01316514425</v>
      </c>
      <c r="K16" s="825"/>
    </row>
    <row r="17" spans="1:11">
      <c r="A17" s="815">
        <v>4</v>
      </c>
      <c r="B17" s="796" t="s">
        <v>1287</v>
      </c>
      <c r="C17" s="764">
        <v>190</v>
      </c>
      <c r="D17" s="818">
        <v>26165964.516428571</v>
      </c>
      <c r="E17" s="818">
        <v>9158087.5807499997</v>
      </c>
      <c r="F17" s="819">
        <f>+D17*$I$7</f>
        <v>5494852.5484499997</v>
      </c>
      <c r="G17" s="819">
        <f>+E17-F17</f>
        <v>3663235.0323000001</v>
      </c>
      <c r="H17" s="820">
        <f>+G17*$I$8</f>
        <v>4637006.3523793761</v>
      </c>
      <c r="I17" s="821">
        <f>+G17-H17</f>
        <v>-973771.32007937599</v>
      </c>
      <c r="K17" s="826"/>
    </row>
    <row r="18" spans="1:11">
      <c r="A18" s="815">
        <v>5</v>
      </c>
      <c r="B18" s="764" t="s">
        <v>355</v>
      </c>
      <c r="C18" s="764"/>
      <c r="D18" s="827"/>
      <c r="E18" s="827"/>
      <c r="F18" s="828">
        <f>+D18*$I$7</f>
        <v>0</v>
      </c>
      <c r="G18" s="828">
        <f>+E18-F18</f>
        <v>0</v>
      </c>
      <c r="H18" s="829">
        <f>+G18*$I$8</f>
        <v>0</v>
      </c>
      <c r="I18" s="830">
        <f>+G18-H18</f>
        <v>0</v>
      </c>
      <c r="K18" s="826"/>
    </row>
    <row r="19" spans="1:11">
      <c r="A19" s="815">
        <v>99</v>
      </c>
      <c r="B19" s="806"/>
      <c r="C19" s="806"/>
      <c r="D19" s="819">
        <f t="shared" ref="D19:I19" si="0">SUM(D15:D18)</f>
        <v>-176129614.53357145</v>
      </c>
      <c r="E19" s="819">
        <f t="shared" si="0"/>
        <v>-61645365.086750001</v>
      </c>
      <c r="F19" s="819">
        <f t="shared" si="0"/>
        <v>-36987219.052050002</v>
      </c>
      <c r="G19" s="819">
        <f t="shared" si="0"/>
        <v>-24658146.034700003</v>
      </c>
      <c r="H19" s="819">
        <f t="shared" si="0"/>
        <v>-31212842.963289931</v>
      </c>
      <c r="I19" s="819">
        <f t="shared" si="0"/>
        <v>6554696.9285899298</v>
      </c>
    </row>
    <row r="20" spans="1:11">
      <c r="A20" s="815"/>
      <c r="B20" s="831"/>
      <c r="C20" s="806"/>
      <c r="D20" s="819"/>
      <c r="E20" s="819"/>
      <c r="F20" s="819"/>
      <c r="G20" s="819"/>
      <c r="H20" s="819"/>
      <c r="I20" s="819"/>
    </row>
    <row r="21" spans="1:11" ht="12.9" customHeight="1">
      <c r="A21" s="815">
        <v>100</v>
      </c>
      <c r="B21" s="816" t="s">
        <v>1288</v>
      </c>
      <c r="C21" s="806"/>
      <c r="D21" s="832"/>
      <c r="E21" s="832"/>
      <c r="F21" s="832"/>
      <c r="G21" s="832"/>
      <c r="H21" s="820"/>
    </row>
    <row r="22" spans="1:11" ht="12.9" customHeight="1">
      <c r="A22" s="815">
        <v>101</v>
      </c>
      <c r="B22" s="796" t="s">
        <v>1289</v>
      </c>
      <c r="C22" s="764">
        <v>282</v>
      </c>
      <c r="D22" s="818">
        <v>-23142595.25</v>
      </c>
      <c r="E22" s="818">
        <v>-8099908.3374999994</v>
      </c>
      <c r="F22" s="819">
        <f t="shared" ref="F22:F29" si="1">+D22*$I$7</f>
        <v>-4859945.0024999995</v>
      </c>
      <c r="G22" s="819">
        <f t="shared" ref="G22:G29" si="2">+E22-F22</f>
        <v>-3239963.335</v>
      </c>
      <c r="H22" s="820">
        <f t="shared" ref="H22:H29" si="3">+G22*$I$8</f>
        <v>-4101219.395807771</v>
      </c>
      <c r="I22" s="821">
        <f t="shared" ref="I22:I29" si="4">+G22-H22</f>
        <v>861256.06080777105</v>
      </c>
    </row>
    <row r="23" spans="1:11">
      <c r="A23" s="815">
        <v>102</v>
      </c>
      <c r="B23" s="796" t="s">
        <v>1290</v>
      </c>
      <c r="C23" s="764">
        <v>282</v>
      </c>
      <c r="D23" s="818">
        <v>2007885.21</v>
      </c>
      <c r="E23" s="818">
        <v>702759.82349999994</v>
      </c>
      <c r="F23" s="819">
        <f t="shared" si="1"/>
        <v>421655.89409999998</v>
      </c>
      <c r="G23" s="819">
        <f t="shared" si="2"/>
        <v>281103.92939999996</v>
      </c>
      <c r="H23" s="820">
        <f t="shared" si="3"/>
        <v>355827.75738203165</v>
      </c>
      <c r="I23" s="821">
        <f t="shared" si="4"/>
        <v>-74723.827982031682</v>
      </c>
    </row>
    <row r="24" spans="1:11" ht="12.9" customHeight="1">
      <c r="A24" s="815">
        <v>103</v>
      </c>
      <c r="B24" s="796" t="s">
        <v>1291</v>
      </c>
      <c r="C24" s="764">
        <v>282</v>
      </c>
      <c r="D24" s="818">
        <v>-14366280.329999998</v>
      </c>
      <c r="E24" s="818">
        <v>-5028198.1154999994</v>
      </c>
      <c r="F24" s="819">
        <f t="shared" si="1"/>
        <v>-3016918.8692999994</v>
      </c>
      <c r="G24" s="819">
        <f t="shared" si="2"/>
        <v>-2011279.2461999999</v>
      </c>
      <c r="H24" s="820">
        <f t="shared" si="3"/>
        <v>-2545923.0867811884</v>
      </c>
      <c r="I24" s="821">
        <f t="shared" si="4"/>
        <v>534643.84058118844</v>
      </c>
    </row>
    <row r="25" spans="1:11" ht="12.9" customHeight="1">
      <c r="A25" s="815">
        <v>106</v>
      </c>
      <c r="B25" s="833" t="s">
        <v>1292</v>
      </c>
      <c r="C25" s="764">
        <v>282</v>
      </c>
      <c r="D25" s="823">
        <v>-849925.18</v>
      </c>
      <c r="E25" s="818">
        <v>-297473.81300000002</v>
      </c>
      <c r="F25" s="819">
        <f t="shared" si="1"/>
        <v>-178484.28779999999</v>
      </c>
      <c r="G25" s="824">
        <f t="shared" si="2"/>
        <v>-118989.52520000003</v>
      </c>
      <c r="H25" s="820">
        <f t="shared" si="3"/>
        <v>-150619.65157954409</v>
      </c>
      <c r="I25" s="821">
        <f t="shared" si="4"/>
        <v>31630.126379544061</v>
      </c>
      <c r="K25" s="739"/>
    </row>
    <row r="26" spans="1:11" ht="12.9" customHeight="1">
      <c r="A26" s="815">
        <f>A25+1</f>
        <v>107</v>
      </c>
      <c r="B26" s="796" t="s">
        <v>1293</v>
      </c>
      <c r="C26" s="764">
        <v>282</v>
      </c>
      <c r="D26" s="823">
        <v>-25261128.960000001</v>
      </c>
      <c r="E26" s="818">
        <v>-8841395.1359999999</v>
      </c>
      <c r="F26" s="819">
        <f t="shared" si="1"/>
        <v>-5304837.0816000002</v>
      </c>
      <c r="G26" s="824">
        <f t="shared" si="2"/>
        <v>-3536558.0543999998</v>
      </c>
      <c r="H26" s="820">
        <f t="shared" si="3"/>
        <v>-4476655.7480519991</v>
      </c>
      <c r="I26" s="821">
        <f t="shared" si="4"/>
        <v>940097.69365199935</v>
      </c>
      <c r="K26" s="739"/>
    </row>
    <row r="27" spans="1:11" ht="12.9" customHeight="1">
      <c r="A27" s="815">
        <f>A26+1</f>
        <v>108</v>
      </c>
      <c r="B27" s="796" t="s">
        <v>1294</v>
      </c>
      <c r="C27" s="764">
        <v>282</v>
      </c>
      <c r="D27" s="823">
        <v>-1988704.7599999998</v>
      </c>
      <c r="E27" s="818">
        <v>-696046.66599999985</v>
      </c>
      <c r="F27" s="819">
        <f t="shared" si="1"/>
        <v>-417627.99959999992</v>
      </c>
      <c r="G27" s="824">
        <f t="shared" si="2"/>
        <v>-278418.66639999993</v>
      </c>
      <c r="H27" s="820">
        <f t="shared" si="3"/>
        <v>-352428.69030634046</v>
      </c>
      <c r="I27" s="821">
        <f t="shared" si="4"/>
        <v>74010.023906340532</v>
      </c>
      <c r="K27" s="739"/>
    </row>
    <row r="28" spans="1:11" ht="12.9" customHeight="1">
      <c r="A28" s="815">
        <f>A27+1</f>
        <v>109</v>
      </c>
      <c r="B28" s="796" t="s">
        <v>1295</v>
      </c>
      <c r="C28" s="764">
        <v>282</v>
      </c>
      <c r="D28" s="823">
        <v>2164641.12</v>
      </c>
      <c r="E28" s="818">
        <v>757624.39199999999</v>
      </c>
      <c r="F28" s="819">
        <f t="shared" si="1"/>
        <v>454574.63520000002</v>
      </c>
      <c r="G28" s="824">
        <f t="shared" si="2"/>
        <v>303049.75679999997</v>
      </c>
      <c r="H28" s="820">
        <f t="shared" si="3"/>
        <v>383607.28563089983</v>
      </c>
      <c r="I28" s="821">
        <f t="shared" si="4"/>
        <v>-80557.528830899857</v>
      </c>
      <c r="K28" s="739"/>
    </row>
    <row r="29" spans="1:11" ht="12.9" customHeight="1">
      <c r="A29" s="815">
        <f>A28+1</f>
        <v>110</v>
      </c>
      <c r="B29" s="764" t="s">
        <v>355</v>
      </c>
      <c r="C29" s="764"/>
      <c r="D29" s="834"/>
      <c r="E29" s="834"/>
      <c r="F29" s="828">
        <f t="shared" si="1"/>
        <v>0</v>
      </c>
      <c r="G29" s="828">
        <f t="shared" si="2"/>
        <v>0</v>
      </c>
      <c r="H29" s="829">
        <f t="shared" si="3"/>
        <v>0</v>
      </c>
      <c r="I29" s="830">
        <f t="shared" si="4"/>
        <v>0</v>
      </c>
      <c r="K29" s="739"/>
    </row>
    <row r="30" spans="1:11" ht="14.4">
      <c r="A30" s="815">
        <v>199</v>
      </c>
      <c r="B30" s="801"/>
      <c r="C30" s="801"/>
      <c r="D30" s="824">
        <f t="shared" ref="D30:I30" si="5">SUM(D22:D29)</f>
        <v>-61436108.149999999</v>
      </c>
      <c r="E30" s="824">
        <f t="shared" si="5"/>
        <v>-21502637.852499995</v>
      </c>
      <c r="F30" s="824">
        <f t="shared" si="5"/>
        <v>-12901582.7115</v>
      </c>
      <c r="G30" s="824">
        <f t="shared" si="5"/>
        <v>-8601055.1410000008</v>
      </c>
      <c r="H30" s="824">
        <f t="shared" si="5"/>
        <v>-10887411.529513912</v>
      </c>
      <c r="I30" s="824">
        <f t="shared" si="5"/>
        <v>2286356.388513912</v>
      </c>
      <c r="K30" s="739"/>
    </row>
    <row r="31" spans="1:11" ht="14.4">
      <c r="D31" s="835"/>
      <c r="E31" s="835"/>
      <c r="F31" s="835"/>
      <c r="G31" s="835"/>
      <c r="H31" s="835"/>
      <c r="K31" s="739"/>
    </row>
    <row r="32" spans="1:11" ht="13.5" customHeight="1" thickBot="1">
      <c r="A32" s="815">
        <v>200</v>
      </c>
      <c r="B32" s="797" t="s">
        <v>1296</v>
      </c>
      <c r="C32" s="797"/>
      <c r="D32" s="836">
        <f t="shared" ref="D32:I32" si="6">+D19+D30</f>
        <v>-237565722.68357146</v>
      </c>
      <c r="E32" s="836">
        <f t="shared" si="6"/>
        <v>-83148002.939249992</v>
      </c>
      <c r="F32" s="836">
        <f t="shared" si="6"/>
        <v>-49888801.763549998</v>
      </c>
      <c r="G32" s="836">
        <f t="shared" si="6"/>
        <v>-33259201.175700001</v>
      </c>
      <c r="H32" s="836">
        <f t="shared" si="6"/>
        <v>-42100254.492803842</v>
      </c>
      <c r="I32" s="836">
        <f t="shared" si="6"/>
        <v>8841053.3171038423</v>
      </c>
      <c r="K32" s="739"/>
    </row>
    <row r="33" spans="1:11" ht="13.8" thickTop="1">
      <c r="A33" s="815"/>
      <c r="B33" s="837"/>
      <c r="C33" s="837"/>
      <c r="D33" s="824"/>
      <c r="E33" s="824"/>
      <c r="F33" s="824"/>
      <c r="G33" s="824"/>
      <c r="H33" s="824"/>
      <c r="I33" s="824"/>
    </row>
    <row r="34" spans="1:11" ht="12.9" customHeight="1">
      <c r="A34" s="838">
        <v>300</v>
      </c>
      <c r="B34" s="839" t="s">
        <v>1297</v>
      </c>
      <c r="C34" s="840"/>
      <c r="D34" s="841"/>
      <c r="E34" s="841"/>
      <c r="F34" s="841"/>
      <c r="G34" s="841"/>
      <c r="H34" s="820"/>
    </row>
    <row r="35" spans="1:11" ht="12.9" customHeight="1">
      <c r="A35" s="815">
        <v>301</v>
      </c>
      <c r="B35" s="796" t="s">
        <v>1298</v>
      </c>
      <c r="C35" s="764">
        <v>190</v>
      </c>
      <c r="D35" s="818">
        <v>658553.18999999994</v>
      </c>
      <c r="E35" s="818">
        <v>230493.61649999997</v>
      </c>
      <c r="F35" s="819">
        <f t="shared" ref="F35:F49" si="7">+D35*$I$7</f>
        <v>138296.16989999998</v>
      </c>
      <c r="G35" s="819">
        <f t="shared" ref="G35:G49" si="8">+E35-F35</f>
        <v>92197.446599999996</v>
      </c>
      <c r="H35" s="820">
        <f t="shared" ref="H35:H49" si="9">+G35*$I$8</f>
        <v>116705.62816411354</v>
      </c>
      <c r="I35" s="821">
        <f t="shared" ref="I35:I49" si="10">+G35-H35</f>
        <v>-24508.181564113547</v>
      </c>
      <c r="J35" s="739"/>
      <c r="K35" s="739"/>
    </row>
    <row r="36" spans="1:11" ht="12.9" customHeight="1">
      <c r="A36" s="815">
        <v>302</v>
      </c>
      <c r="B36" s="796" t="s">
        <v>1299</v>
      </c>
      <c r="C36" s="764">
        <v>190</v>
      </c>
      <c r="D36" s="818">
        <v>2269561.42</v>
      </c>
      <c r="E36" s="818">
        <v>794346.49699999997</v>
      </c>
      <c r="F36" s="819">
        <f t="shared" si="7"/>
        <v>476607.89819999994</v>
      </c>
      <c r="G36" s="819">
        <f t="shared" si="8"/>
        <v>317738.59880000004</v>
      </c>
      <c r="H36" s="820">
        <f t="shared" si="9"/>
        <v>402200.75644632068</v>
      </c>
      <c r="I36" s="821">
        <f t="shared" si="10"/>
        <v>-84462.157646320644</v>
      </c>
      <c r="J36" s="739"/>
      <c r="K36" s="739"/>
    </row>
    <row r="37" spans="1:11" ht="14.4">
      <c r="A37" s="815">
        <v>303</v>
      </c>
      <c r="B37" s="796" t="s">
        <v>1300</v>
      </c>
      <c r="C37" s="764">
        <v>190</v>
      </c>
      <c r="D37" s="818">
        <v>568446.98</v>
      </c>
      <c r="E37" s="818">
        <v>198956.44299999997</v>
      </c>
      <c r="F37" s="819">
        <f t="shared" si="7"/>
        <v>119373.86579999999</v>
      </c>
      <c r="G37" s="819">
        <f t="shared" si="8"/>
        <v>79582.577199999985</v>
      </c>
      <c r="H37" s="820">
        <f t="shared" si="9"/>
        <v>100737.4391108686</v>
      </c>
      <c r="I37" s="821">
        <f t="shared" si="10"/>
        <v>-21154.861910868611</v>
      </c>
      <c r="J37" s="739"/>
      <c r="K37" s="739"/>
    </row>
    <row r="38" spans="1:11" ht="12.9" customHeight="1">
      <c r="A38" s="815">
        <v>304</v>
      </c>
      <c r="B38" s="796" t="s">
        <v>1301</v>
      </c>
      <c r="C38" s="764">
        <v>190</v>
      </c>
      <c r="D38" s="818">
        <v>0</v>
      </c>
      <c r="E38" s="818">
        <v>0</v>
      </c>
      <c r="F38" s="819">
        <f t="shared" si="7"/>
        <v>0</v>
      </c>
      <c r="G38" s="819">
        <f t="shared" si="8"/>
        <v>0</v>
      </c>
      <c r="H38" s="820">
        <f t="shared" si="9"/>
        <v>0</v>
      </c>
      <c r="I38" s="821">
        <f t="shared" si="10"/>
        <v>0</v>
      </c>
      <c r="J38" s="739"/>
      <c r="K38" s="739"/>
    </row>
    <row r="39" spans="1:11" ht="12.9" customHeight="1">
      <c r="A39" s="815">
        <v>305</v>
      </c>
      <c r="B39" s="796" t="s">
        <v>1302</v>
      </c>
      <c r="C39" s="764">
        <v>190</v>
      </c>
      <c r="D39" s="818">
        <v>0</v>
      </c>
      <c r="E39" s="818">
        <v>0</v>
      </c>
      <c r="F39" s="819">
        <f t="shared" si="7"/>
        <v>0</v>
      </c>
      <c r="G39" s="819">
        <f t="shared" si="8"/>
        <v>0</v>
      </c>
      <c r="H39" s="842">
        <f t="shared" si="9"/>
        <v>0</v>
      </c>
      <c r="I39" s="821">
        <f t="shared" si="10"/>
        <v>0</v>
      </c>
      <c r="J39" s="739"/>
      <c r="K39" s="739"/>
    </row>
    <row r="40" spans="1:11" ht="12.9" customHeight="1">
      <c r="A40" s="815">
        <v>306</v>
      </c>
      <c r="B40" s="796" t="s">
        <v>1303</v>
      </c>
      <c r="C40" s="764">
        <v>190</v>
      </c>
      <c r="D40" s="818">
        <v>248936.05</v>
      </c>
      <c r="E40" s="818">
        <v>87127.617499999993</v>
      </c>
      <c r="F40" s="819">
        <f t="shared" si="7"/>
        <v>52276.570499999994</v>
      </c>
      <c r="G40" s="819">
        <f t="shared" si="8"/>
        <v>34851.046999999999</v>
      </c>
      <c r="H40" s="842">
        <f t="shared" si="9"/>
        <v>44115.249199450656</v>
      </c>
      <c r="I40" s="821">
        <f t="shared" si="10"/>
        <v>-9264.2021994506576</v>
      </c>
      <c r="J40" s="739"/>
      <c r="K40" s="739"/>
    </row>
    <row r="41" spans="1:11" ht="12.9" customHeight="1">
      <c r="A41" s="815">
        <v>307</v>
      </c>
      <c r="B41" s="796" t="s">
        <v>1304</v>
      </c>
      <c r="C41" s="764">
        <v>190</v>
      </c>
      <c r="D41" s="818">
        <v>0</v>
      </c>
      <c r="E41" s="818">
        <v>0</v>
      </c>
      <c r="F41" s="819">
        <f t="shared" si="7"/>
        <v>0</v>
      </c>
      <c r="G41" s="819">
        <f t="shared" si="8"/>
        <v>0</v>
      </c>
      <c r="H41" s="842">
        <f t="shared" si="9"/>
        <v>0</v>
      </c>
      <c r="I41" s="821">
        <f t="shared" si="10"/>
        <v>0</v>
      </c>
      <c r="J41" s="739"/>
      <c r="K41" s="739"/>
    </row>
    <row r="42" spans="1:11" ht="12.9" customHeight="1">
      <c r="A42" s="815">
        <v>308</v>
      </c>
      <c r="B42" s="796" t="s">
        <v>1305</v>
      </c>
      <c r="C42" s="764">
        <v>190</v>
      </c>
      <c r="D42" s="818">
        <v>56426.13</v>
      </c>
      <c r="E42" s="818">
        <v>19749.145499999999</v>
      </c>
      <c r="F42" s="819">
        <f t="shared" si="7"/>
        <v>11849.487299999999</v>
      </c>
      <c r="G42" s="819">
        <f t="shared" si="8"/>
        <v>7899.6581999999999</v>
      </c>
      <c r="H42" s="842">
        <f t="shared" si="9"/>
        <v>9999.5673037737961</v>
      </c>
      <c r="I42" s="821">
        <f t="shared" si="10"/>
        <v>-2099.9091037737962</v>
      </c>
      <c r="J42" s="739"/>
      <c r="K42" s="739"/>
    </row>
    <row r="43" spans="1:11" ht="12.9" customHeight="1">
      <c r="A43" s="815">
        <v>309</v>
      </c>
      <c r="B43" s="796" t="s">
        <v>1306</v>
      </c>
      <c r="C43" s="764">
        <v>190</v>
      </c>
      <c r="D43" s="818">
        <v>4085404.73</v>
      </c>
      <c r="E43" s="818">
        <v>1429891.6554999999</v>
      </c>
      <c r="F43" s="819">
        <f t="shared" si="7"/>
        <v>857934.99329999997</v>
      </c>
      <c r="G43" s="819">
        <f t="shared" si="8"/>
        <v>571956.6621999999</v>
      </c>
      <c r="H43" s="842">
        <f t="shared" si="9"/>
        <v>723995.77218552481</v>
      </c>
      <c r="I43" s="821">
        <f t="shared" si="10"/>
        <v>-152039.1099855249</v>
      </c>
      <c r="J43" s="843"/>
      <c r="K43" s="843"/>
    </row>
    <row r="44" spans="1:11" ht="12.9" customHeight="1">
      <c r="A44" s="815">
        <v>310</v>
      </c>
      <c r="B44" s="796" t="s">
        <v>1307</v>
      </c>
      <c r="C44" s="764">
        <v>190</v>
      </c>
      <c r="D44" s="818">
        <v>-1485991.55</v>
      </c>
      <c r="E44" s="818">
        <v>-520097.04249999998</v>
      </c>
      <c r="F44" s="819">
        <f t="shared" si="7"/>
        <v>-312058.2255</v>
      </c>
      <c r="G44" s="819">
        <f t="shared" si="8"/>
        <v>-208038.81699999998</v>
      </c>
      <c r="H44" s="842">
        <f t="shared" si="9"/>
        <v>-263340.27368285123</v>
      </c>
      <c r="I44" s="821">
        <f t="shared" si="10"/>
        <v>55301.456682851247</v>
      </c>
      <c r="J44" s="739"/>
      <c r="K44" s="739"/>
    </row>
    <row r="45" spans="1:11" ht="12.9" customHeight="1">
      <c r="A45" s="815">
        <v>311</v>
      </c>
      <c r="B45" s="796" t="s">
        <v>1308</v>
      </c>
      <c r="C45" s="764">
        <v>190</v>
      </c>
      <c r="D45" s="818">
        <v>398567.01</v>
      </c>
      <c r="E45" s="818">
        <v>139498.4535</v>
      </c>
      <c r="F45" s="819">
        <f t="shared" si="7"/>
        <v>83699.072100000005</v>
      </c>
      <c r="G45" s="819">
        <f t="shared" si="8"/>
        <v>55799.381399999998</v>
      </c>
      <c r="H45" s="842">
        <f t="shared" si="9"/>
        <v>70632.128086028286</v>
      </c>
      <c r="I45" s="821">
        <f t="shared" si="10"/>
        <v>-14832.746686028288</v>
      </c>
      <c r="J45" s="739"/>
      <c r="K45" s="739"/>
    </row>
    <row r="46" spans="1:11" ht="12.9" customHeight="1">
      <c r="A46" s="815">
        <v>312</v>
      </c>
      <c r="B46" s="796" t="s">
        <v>1309</v>
      </c>
      <c r="C46" s="764">
        <v>283</v>
      </c>
      <c r="D46" s="818">
        <v>-111468.71</v>
      </c>
      <c r="E46" s="818">
        <v>-39014.048499999997</v>
      </c>
      <c r="F46" s="819">
        <f t="shared" si="7"/>
        <v>-23408.429100000001</v>
      </c>
      <c r="G46" s="819">
        <f t="shared" si="8"/>
        <v>-15605.619399999996</v>
      </c>
      <c r="H46" s="842">
        <f t="shared" si="9"/>
        <v>-19753.948532529925</v>
      </c>
      <c r="I46" s="821">
        <f t="shared" si="10"/>
        <v>4148.3291325299288</v>
      </c>
      <c r="J46" s="739"/>
      <c r="K46" s="739"/>
    </row>
    <row r="47" spans="1:11" ht="12.9" customHeight="1">
      <c r="A47" s="815">
        <v>313</v>
      </c>
      <c r="B47" s="796" t="s">
        <v>1310</v>
      </c>
      <c r="C47" s="764">
        <v>283</v>
      </c>
      <c r="D47" s="818">
        <v>-190585.59999999998</v>
      </c>
      <c r="E47" s="818">
        <v>-66704.959999999992</v>
      </c>
      <c r="F47" s="819">
        <f t="shared" si="7"/>
        <v>-40022.975999999995</v>
      </c>
      <c r="G47" s="819">
        <f t="shared" si="8"/>
        <v>-26681.983999999997</v>
      </c>
      <c r="H47" s="842">
        <f t="shared" si="9"/>
        <v>-33774.663162795514</v>
      </c>
      <c r="I47" s="821">
        <f t="shared" si="10"/>
        <v>7092.6791627955172</v>
      </c>
      <c r="J47" s="739"/>
      <c r="K47" s="739"/>
    </row>
    <row r="48" spans="1:11" ht="14.4">
      <c r="A48" s="815">
        <v>314</v>
      </c>
      <c r="B48" s="796" t="s">
        <v>1311</v>
      </c>
      <c r="C48" s="764">
        <v>283</v>
      </c>
      <c r="D48" s="818">
        <v>-550693.09000000008</v>
      </c>
      <c r="E48" s="818">
        <v>-192742.58150000003</v>
      </c>
      <c r="F48" s="819">
        <f t="shared" si="7"/>
        <v>-115645.54890000001</v>
      </c>
      <c r="G48" s="819">
        <f t="shared" si="8"/>
        <v>-77097.03260000002</v>
      </c>
      <c r="H48" s="842">
        <f t="shared" si="9"/>
        <v>-97591.180135482646</v>
      </c>
      <c r="I48" s="821">
        <f t="shared" si="10"/>
        <v>20494.147535482625</v>
      </c>
      <c r="J48" s="739"/>
      <c r="K48" s="739"/>
    </row>
    <row r="49" spans="1:11" ht="14.4">
      <c r="A49" s="815">
        <v>315</v>
      </c>
      <c r="B49" s="764" t="s">
        <v>355</v>
      </c>
      <c r="C49" s="764"/>
      <c r="D49" s="764"/>
      <c r="E49" s="764"/>
      <c r="F49" s="819">
        <f t="shared" si="7"/>
        <v>0</v>
      </c>
      <c r="G49" s="828">
        <f t="shared" si="8"/>
        <v>0</v>
      </c>
      <c r="H49" s="820">
        <f t="shared" si="9"/>
        <v>0</v>
      </c>
      <c r="I49" s="821">
        <f t="shared" si="10"/>
        <v>0</v>
      </c>
      <c r="J49" s="739"/>
      <c r="K49" s="739"/>
    </row>
    <row r="50" spans="1:11" ht="12.9" customHeight="1">
      <c r="A50" s="815">
        <v>400</v>
      </c>
      <c r="B50" s="797" t="s">
        <v>1312</v>
      </c>
      <c r="C50" s="797"/>
      <c r="D50" s="844">
        <f t="shared" ref="D50:I50" si="11">SUM(D35:D49)</f>
        <v>5947156.5600000005</v>
      </c>
      <c r="E50" s="844">
        <f t="shared" si="11"/>
        <v>2081504.7959999994</v>
      </c>
      <c r="F50" s="844">
        <f t="shared" si="11"/>
        <v>1248902.8775999998</v>
      </c>
      <c r="G50" s="845">
        <f t="shared" si="11"/>
        <v>832601.91839999962</v>
      </c>
      <c r="H50" s="846">
        <f t="shared" si="11"/>
        <v>1053926.4749824209</v>
      </c>
      <c r="I50" s="844">
        <f t="shared" si="11"/>
        <v>-221324.55658242112</v>
      </c>
      <c r="K50" s="739"/>
    </row>
    <row r="51" spans="1:11">
      <c r="A51" s="800"/>
      <c r="B51" s="801"/>
      <c r="C51" s="801"/>
      <c r="D51" s="847"/>
      <c r="E51" s="844">
        <f>+E31+E49</f>
        <v>0</v>
      </c>
      <c r="F51" s="847"/>
      <c r="G51" s="847"/>
      <c r="H51" s="820"/>
    </row>
    <row r="52" spans="1:11" ht="12.9" customHeight="1">
      <c r="A52" s="815">
        <v>400</v>
      </c>
      <c r="B52" s="797" t="s">
        <v>1313</v>
      </c>
      <c r="C52" s="797"/>
      <c r="D52" s="844">
        <f>+D32+D50</f>
        <v>-231618566.12357146</v>
      </c>
      <c r="E52" s="844">
        <f>+E32+E50</f>
        <v>-81066498.143249989</v>
      </c>
      <c r="F52" s="844">
        <f>+F32+F50</f>
        <v>-48639898.885949999</v>
      </c>
      <c r="G52" s="844">
        <f>+G32+G50</f>
        <v>-32426599.257300001</v>
      </c>
      <c r="H52" s="844">
        <f>+H32+H50</f>
        <v>-41046328.017821424</v>
      </c>
      <c r="I52" s="844">
        <f>+I32+I50</f>
        <v>8619728.7605214212</v>
      </c>
    </row>
    <row r="53" spans="1:11">
      <c r="D53" s="820"/>
      <c r="H53" s="821"/>
    </row>
    <row r="54" spans="1:11">
      <c r="D54" s="821"/>
      <c r="H54" s="821"/>
    </row>
    <row r="55" spans="1:11" ht="14.4">
      <c r="A55" s="789" t="s">
        <v>205</v>
      </c>
      <c r="B55" s="848"/>
      <c r="C55" s="848"/>
      <c r="D55" s="848"/>
      <c r="E55" s="848"/>
      <c r="F55" s="848"/>
      <c r="G55" s="848"/>
      <c r="H55" s="849"/>
      <c r="I55" s="848"/>
      <c r="J55" s="739"/>
      <c r="K55" s="739"/>
    </row>
    <row r="56" spans="1:11" ht="38.1" customHeight="1">
      <c r="A56" s="850" t="s">
        <v>79</v>
      </c>
      <c r="B56" s="899" t="s">
        <v>1314</v>
      </c>
      <c r="C56" s="899"/>
      <c r="D56" s="899"/>
      <c r="E56" s="899"/>
      <c r="F56" s="899"/>
      <c r="G56" s="899"/>
      <c r="H56" s="899"/>
      <c r="I56" s="899"/>
      <c r="J56" s="898"/>
      <c r="K56" s="898"/>
    </row>
    <row r="57" spans="1:11" ht="44.4" customHeight="1">
      <c r="A57" s="850" t="s">
        <v>80</v>
      </c>
      <c r="B57" s="899" t="s">
        <v>1315</v>
      </c>
      <c r="C57" s="899"/>
      <c r="D57" s="899"/>
      <c r="E57" s="899"/>
      <c r="F57" s="899"/>
      <c r="G57" s="899"/>
      <c r="H57" s="899"/>
      <c r="I57" s="899"/>
      <c r="J57" s="898"/>
      <c r="K57" s="898"/>
    </row>
    <row r="59" spans="1:11">
      <c r="H59" s="851"/>
    </row>
    <row r="60" spans="1:11">
      <c r="H60" s="843"/>
    </row>
    <row r="61" spans="1:11">
      <c r="H61" s="843"/>
    </row>
  </sheetData>
  <mergeCells count="9">
    <mergeCell ref="J56:K56"/>
    <mergeCell ref="B57:I57"/>
    <mergeCell ref="J57:K57"/>
    <mergeCell ref="A1:I1"/>
    <mergeCell ref="A2:I2"/>
    <mergeCell ref="A3:I3"/>
    <mergeCell ref="A4:I4"/>
    <mergeCell ref="D11:I11"/>
    <mergeCell ref="B56:I56"/>
  </mergeCells>
  <printOptions horizontalCentered="1"/>
  <pageMargins left="0.25" right="0.25" top="0.5" bottom="0.5" header="0.3" footer="0.3"/>
  <pageSetup scale="77"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I119"/>
  <sheetViews>
    <sheetView zoomScaleNormal="100" workbookViewId="0">
      <selection activeCell="A50" sqref="A50"/>
    </sheetView>
  </sheetViews>
  <sheetFormatPr defaultColWidth="8.81640625" defaultRowHeight="13.2"/>
  <cols>
    <col min="1" max="1" width="5.81640625" style="1" customWidth="1"/>
    <col min="2" max="2" width="26.54296875" style="2" customWidth="1"/>
    <col min="3" max="9" width="15.08984375" style="2" customWidth="1"/>
    <col min="10" max="16384" width="8.81640625" style="2"/>
  </cols>
  <sheetData>
    <row r="1" spans="1:9">
      <c r="C1" s="3"/>
      <c r="E1" s="445" t="s">
        <v>533</v>
      </c>
      <c r="F1" s="3"/>
      <c r="H1" s="3"/>
      <c r="I1" s="3"/>
    </row>
    <row r="2" spans="1:9">
      <c r="A2" s="5"/>
      <c r="C2" s="3"/>
      <c r="D2" s="3"/>
      <c r="E2" s="13" t="s">
        <v>362</v>
      </c>
      <c r="F2" s="3"/>
      <c r="H2" s="3"/>
      <c r="I2" s="3"/>
    </row>
    <row r="3" spans="1:9">
      <c r="A3" s="5"/>
      <c r="C3" s="3"/>
      <c r="D3" s="3"/>
      <c r="E3" s="446" t="str">
        <f>'Act Att-H'!C7</f>
        <v>Cheyenne Light, Fuel &amp; Power</v>
      </c>
      <c r="F3" s="3"/>
      <c r="H3" s="3"/>
      <c r="I3" s="188" t="s">
        <v>968</v>
      </c>
    </row>
    <row r="4" spans="1:9">
      <c r="A4" s="5"/>
      <c r="C4" s="3"/>
      <c r="D4" s="3"/>
      <c r="E4" s="3"/>
      <c r="F4" s="3"/>
      <c r="G4" s="3"/>
      <c r="H4" s="3"/>
      <c r="I4" s="3"/>
    </row>
    <row r="5" spans="1:9" ht="15" customHeight="1">
      <c r="A5" s="5"/>
      <c r="B5" s="7"/>
      <c r="C5" s="906" t="s">
        <v>926</v>
      </c>
      <c r="D5" s="907"/>
      <c r="E5" s="907"/>
      <c r="F5" s="907"/>
      <c r="G5" s="908"/>
      <c r="H5" s="8" t="s">
        <v>318</v>
      </c>
      <c r="I5" s="8" t="s">
        <v>319</v>
      </c>
    </row>
    <row r="6" spans="1:9">
      <c r="A6" s="5"/>
      <c r="B6" s="7"/>
    </row>
    <row r="7" spans="1:9" s="12" customFormat="1" ht="42" customHeight="1">
      <c r="A7" s="9" t="s">
        <v>320</v>
      </c>
      <c r="B7" s="10" t="s">
        <v>268</v>
      </c>
      <c r="C7" s="10" t="s">
        <v>321</v>
      </c>
      <c r="D7" s="10" t="s">
        <v>21</v>
      </c>
      <c r="E7" s="10" t="s">
        <v>322</v>
      </c>
      <c r="F7" s="10" t="s">
        <v>323</v>
      </c>
      <c r="G7" s="11" t="s">
        <v>324</v>
      </c>
      <c r="H7" s="10" t="s">
        <v>325</v>
      </c>
      <c r="I7" s="10" t="s">
        <v>326</v>
      </c>
    </row>
    <row r="8" spans="1:9" s="16" customFormat="1">
      <c r="A8" s="5"/>
      <c r="B8" s="13" t="s">
        <v>157</v>
      </c>
      <c r="C8" s="13" t="s">
        <v>158</v>
      </c>
      <c r="D8" s="13" t="s">
        <v>159</v>
      </c>
      <c r="E8" s="10" t="s">
        <v>160</v>
      </c>
      <c r="F8" s="10" t="s">
        <v>161</v>
      </c>
      <c r="G8" s="10" t="s">
        <v>162</v>
      </c>
      <c r="H8" s="10" t="s">
        <v>163</v>
      </c>
      <c r="I8" s="14" t="s">
        <v>164</v>
      </c>
    </row>
    <row r="9" spans="1:9" s="16" customFormat="1" ht="29.25" customHeight="1">
      <c r="A9" s="5"/>
      <c r="B9" s="17" t="s">
        <v>328</v>
      </c>
      <c r="C9" s="13" t="s">
        <v>111</v>
      </c>
      <c r="D9" s="13" t="s">
        <v>108</v>
      </c>
      <c r="E9" s="13" t="s">
        <v>109</v>
      </c>
      <c r="F9" s="10" t="s">
        <v>112</v>
      </c>
      <c r="G9" s="13" t="s">
        <v>1316</v>
      </c>
      <c r="H9" s="13" t="s">
        <v>329</v>
      </c>
      <c r="I9" s="13" t="s">
        <v>330</v>
      </c>
    </row>
    <row r="10" spans="1:9">
      <c r="A10" s="5">
        <v>1</v>
      </c>
      <c r="B10" s="18" t="s">
        <v>332</v>
      </c>
      <c r="C10" s="19">
        <v>349932703.52999991</v>
      </c>
      <c r="D10" s="19">
        <v>139007210.73000002</v>
      </c>
      <c r="E10" s="19">
        <v>272800251.24222243</v>
      </c>
      <c r="F10" s="19">
        <v>23449792.409999993</v>
      </c>
      <c r="G10" s="19">
        <v>15372501</v>
      </c>
      <c r="H10" s="736">
        <v>0</v>
      </c>
      <c r="I10" s="19">
        <v>318000</v>
      </c>
    </row>
    <row r="11" spans="1:9">
      <c r="A11" s="5">
        <v>2</v>
      </c>
      <c r="B11" s="18" t="s">
        <v>165</v>
      </c>
      <c r="C11" s="19">
        <v>351340770.98999995</v>
      </c>
      <c r="D11" s="19">
        <v>139006321.31999999</v>
      </c>
      <c r="E11" s="19">
        <v>273897114.65999997</v>
      </c>
      <c r="F11" s="19">
        <v>23419764.599999994</v>
      </c>
      <c r="G11" s="19">
        <v>15512421</v>
      </c>
      <c r="H11" s="736">
        <v>0</v>
      </c>
      <c r="I11" s="19">
        <v>318000</v>
      </c>
    </row>
    <row r="12" spans="1:9">
      <c r="A12" s="5">
        <v>3</v>
      </c>
      <c r="B12" s="3" t="s">
        <v>166</v>
      </c>
      <c r="C12" s="19">
        <v>351341777.51999998</v>
      </c>
      <c r="D12" s="19">
        <v>138739418.40000001</v>
      </c>
      <c r="E12" s="19">
        <v>278371465.27000004</v>
      </c>
      <c r="F12" s="19">
        <v>23692618.43</v>
      </c>
      <c r="G12" s="19">
        <v>15580888</v>
      </c>
      <c r="H12" s="736">
        <v>0</v>
      </c>
      <c r="I12" s="19">
        <v>318000</v>
      </c>
    </row>
    <row r="13" spans="1:9">
      <c r="A13" s="5">
        <v>4</v>
      </c>
      <c r="B13" s="3" t="s">
        <v>333</v>
      </c>
      <c r="C13" s="19">
        <v>349994115.39999998</v>
      </c>
      <c r="D13" s="19">
        <v>138749472.41</v>
      </c>
      <c r="E13" s="19">
        <v>277643589.62687981</v>
      </c>
      <c r="F13" s="19">
        <v>23462216.560000002</v>
      </c>
      <c r="G13" s="19">
        <v>15579197</v>
      </c>
      <c r="H13" s="736">
        <v>0</v>
      </c>
      <c r="I13" s="19">
        <v>318000</v>
      </c>
    </row>
    <row r="14" spans="1:9">
      <c r="A14" s="5">
        <v>5</v>
      </c>
      <c r="B14" s="3" t="s">
        <v>167</v>
      </c>
      <c r="C14" s="19">
        <v>352507650.5</v>
      </c>
      <c r="D14" s="19">
        <v>138762448.22999999</v>
      </c>
      <c r="E14" s="19">
        <v>280230808.58999991</v>
      </c>
      <c r="F14" s="19">
        <v>23497640.680000003</v>
      </c>
      <c r="G14" s="19">
        <v>16023404</v>
      </c>
      <c r="H14" s="736">
        <v>0</v>
      </c>
      <c r="I14" s="19">
        <v>318000</v>
      </c>
    </row>
    <row r="15" spans="1:9">
      <c r="A15" s="5">
        <v>6</v>
      </c>
      <c r="B15" s="3" t="s">
        <v>168</v>
      </c>
      <c r="C15" s="19">
        <v>354855614.95999998</v>
      </c>
      <c r="D15" s="19">
        <v>138958451.49000001</v>
      </c>
      <c r="E15" s="19">
        <v>281017641.75999993</v>
      </c>
      <c r="F15" s="19">
        <v>23398210.889999997</v>
      </c>
      <c r="G15" s="19">
        <v>16042133</v>
      </c>
      <c r="H15" s="736">
        <v>0</v>
      </c>
      <c r="I15" s="19">
        <v>318000</v>
      </c>
    </row>
    <row r="16" spans="1:9">
      <c r="A16" s="5">
        <v>7</v>
      </c>
      <c r="B16" s="3" t="s">
        <v>169</v>
      </c>
      <c r="C16" s="19">
        <v>351364124.78999996</v>
      </c>
      <c r="D16" s="19">
        <v>138944803.63999999</v>
      </c>
      <c r="E16" s="19">
        <v>278885391.04699063</v>
      </c>
      <c r="F16" s="19">
        <v>23569782.989999998</v>
      </c>
      <c r="G16" s="19">
        <v>16243491</v>
      </c>
      <c r="H16" s="736">
        <v>0</v>
      </c>
      <c r="I16" s="19">
        <v>318000</v>
      </c>
    </row>
    <row r="17" spans="1:9">
      <c r="A17" s="5">
        <v>8</v>
      </c>
      <c r="B17" s="3" t="s">
        <v>170</v>
      </c>
      <c r="C17" s="19">
        <v>352949223.71999997</v>
      </c>
      <c r="D17" s="19">
        <v>138945311.63</v>
      </c>
      <c r="E17" s="19">
        <v>280342839.56</v>
      </c>
      <c r="F17" s="19">
        <v>23411097.119999997</v>
      </c>
      <c r="G17" s="19">
        <v>16088621</v>
      </c>
      <c r="H17" s="736">
        <v>0</v>
      </c>
      <c r="I17" s="19">
        <v>318000</v>
      </c>
    </row>
    <row r="18" spans="1:9">
      <c r="A18" s="5">
        <v>9</v>
      </c>
      <c r="B18" s="3" t="s">
        <v>334</v>
      </c>
      <c r="C18" s="19">
        <v>353020157.42000002</v>
      </c>
      <c r="D18" s="19">
        <v>138945603.07999998</v>
      </c>
      <c r="E18" s="19">
        <v>281732385.84999996</v>
      </c>
      <c r="F18" s="19">
        <v>23478391.489999998</v>
      </c>
      <c r="G18" s="19">
        <v>16196053</v>
      </c>
      <c r="H18" s="736">
        <v>0</v>
      </c>
      <c r="I18" s="19">
        <v>318000</v>
      </c>
    </row>
    <row r="19" spans="1:9">
      <c r="A19" s="5">
        <v>10</v>
      </c>
      <c r="B19" s="3" t="s">
        <v>171</v>
      </c>
      <c r="C19" s="19">
        <v>351491725.00999993</v>
      </c>
      <c r="D19" s="19">
        <v>139430404.77000001</v>
      </c>
      <c r="E19" s="19">
        <v>284146621.57325327</v>
      </c>
      <c r="F19" s="19">
        <v>23489803.489999998</v>
      </c>
      <c r="G19" s="19">
        <v>16064889</v>
      </c>
      <c r="H19" s="736">
        <v>0</v>
      </c>
      <c r="I19" s="19">
        <v>318000</v>
      </c>
    </row>
    <row r="20" spans="1:9">
      <c r="A20" s="5">
        <v>11</v>
      </c>
      <c r="B20" s="3" t="s">
        <v>172</v>
      </c>
      <c r="C20" s="19">
        <v>353914995.69999993</v>
      </c>
      <c r="D20" s="19">
        <v>139537480.86000001</v>
      </c>
      <c r="E20" s="19">
        <v>284700079.25000012</v>
      </c>
      <c r="F20" s="19">
        <v>23502882.789999999</v>
      </c>
      <c r="G20" s="19">
        <v>16075500</v>
      </c>
      <c r="H20" s="736">
        <v>0</v>
      </c>
      <c r="I20" s="19">
        <v>318000</v>
      </c>
    </row>
    <row r="21" spans="1:9">
      <c r="A21" s="5">
        <v>12</v>
      </c>
      <c r="B21" s="3" t="s">
        <v>173</v>
      </c>
      <c r="C21" s="19">
        <v>353425070.26999992</v>
      </c>
      <c r="D21" s="19">
        <v>139561464.25</v>
      </c>
      <c r="E21" s="19">
        <v>285211891.55000001</v>
      </c>
      <c r="F21" s="19">
        <v>23572272.909999996</v>
      </c>
      <c r="G21" s="19">
        <v>16097476</v>
      </c>
      <c r="H21" s="736">
        <v>0</v>
      </c>
      <c r="I21" s="19">
        <v>318000</v>
      </c>
    </row>
    <row r="22" spans="1:9">
      <c r="A22" s="5">
        <v>13</v>
      </c>
      <c r="B22" s="3" t="s">
        <v>335</v>
      </c>
      <c r="C22" s="19">
        <v>351826813.20999992</v>
      </c>
      <c r="D22" s="19">
        <v>178886824.50000003</v>
      </c>
      <c r="E22" s="19">
        <v>296167244.50915438</v>
      </c>
      <c r="F22" s="19">
        <v>23781275.190000001</v>
      </c>
      <c r="G22" s="19">
        <v>18056611</v>
      </c>
      <c r="H22" s="736">
        <v>0</v>
      </c>
      <c r="I22" s="19">
        <v>318000</v>
      </c>
    </row>
    <row r="23" spans="1:9" ht="13.8" thickBot="1">
      <c r="A23" s="5">
        <v>14</v>
      </c>
      <c r="B23" s="20" t="s">
        <v>336</v>
      </c>
      <c r="C23" s="21">
        <f>SUM(C10:C22)/13</f>
        <v>352151134.07846141</v>
      </c>
      <c r="D23" s="21">
        <f>SUM(D10:D22)/13</f>
        <v>142113478.10076922</v>
      </c>
      <c r="E23" s="21">
        <f t="shared" ref="E23:I23" si="0">SUM(E10:E22)/13</f>
        <v>281165178.80680776</v>
      </c>
      <c r="F23" s="21">
        <f t="shared" si="0"/>
        <v>23517365.350000001</v>
      </c>
      <c r="G23" s="21">
        <f t="shared" si="0"/>
        <v>16071783.461538462</v>
      </c>
      <c r="H23" s="21">
        <f t="shared" si="0"/>
        <v>0</v>
      </c>
      <c r="I23" s="21">
        <f t="shared" si="0"/>
        <v>318000</v>
      </c>
    </row>
    <row r="24" spans="1:9" ht="13.8" thickTop="1">
      <c r="A24" s="5"/>
      <c r="B24" s="3"/>
      <c r="C24" s="22"/>
      <c r="D24" s="23"/>
      <c r="E24" s="23"/>
      <c r="F24" s="23"/>
      <c r="G24" s="22"/>
      <c r="H24" s="22"/>
      <c r="I24" s="22"/>
    </row>
    <row r="25" spans="1:9">
      <c r="A25" s="5"/>
      <c r="B25" s="3"/>
      <c r="C25" s="22"/>
      <c r="D25" s="23"/>
      <c r="E25" s="23"/>
      <c r="F25" s="23"/>
      <c r="G25" s="22"/>
      <c r="H25" s="22"/>
      <c r="I25" s="22"/>
    </row>
    <row r="26" spans="1:9">
      <c r="A26" s="5"/>
      <c r="B26" s="3"/>
      <c r="C26" s="22"/>
      <c r="D26" s="23"/>
      <c r="E26" s="23"/>
      <c r="F26" s="23"/>
      <c r="G26" s="22"/>
      <c r="H26" s="22"/>
      <c r="I26" s="22"/>
    </row>
    <row r="27" spans="1:9">
      <c r="A27" s="5"/>
      <c r="B27" s="3"/>
      <c r="C27" s="3"/>
    </row>
    <row r="28" spans="1:9">
      <c r="A28" s="5"/>
      <c r="B28" s="3"/>
      <c r="C28" s="603"/>
      <c r="D28" s="602"/>
      <c r="E28" s="909" t="s">
        <v>927</v>
      </c>
      <c r="F28" s="910"/>
      <c r="G28" s="910"/>
      <c r="H28" s="910"/>
      <c r="I28" s="911"/>
    </row>
    <row r="29" spans="1:9">
      <c r="A29" s="5"/>
      <c r="B29" s="3"/>
    </row>
    <row r="30" spans="1:9" ht="26.4">
      <c r="A30" s="9" t="s">
        <v>320</v>
      </c>
      <c r="B30" s="10" t="s">
        <v>268</v>
      </c>
      <c r="C30" s="604" t="s">
        <v>971</v>
      </c>
      <c r="D30" s="604" t="s">
        <v>971</v>
      </c>
      <c r="E30" s="10" t="s">
        <v>321</v>
      </c>
      <c r="F30" s="10" t="s">
        <v>21</v>
      </c>
      <c r="G30" s="10" t="s">
        <v>322</v>
      </c>
      <c r="H30" s="10" t="s">
        <v>323</v>
      </c>
      <c r="I30" s="10" t="s">
        <v>324</v>
      </c>
    </row>
    <row r="31" spans="1:9">
      <c r="A31" s="5"/>
      <c r="B31" s="13" t="s">
        <v>157</v>
      </c>
      <c r="C31" s="341" t="s">
        <v>158</v>
      </c>
      <c r="D31" s="13" t="s">
        <v>159</v>
      </c>
      <c r="E31" s="10" t="s">
        <v>160</v>
      </c>
      <c r="F31" s="10" t="s">
        <v>161</v>
      </c>
      <c r="G31" s="10" t="s">
        <v>162</v>
      </c>
      <c r="H31" s="10" t="s">
        <v>163</v>
      </c>
      <c r="I31" s="14" t="s">
        <v>164</v>
      </c>
    </row>
    <row r="32" spans="1:9">
      <c r="A32" s="5"/>
      <c r="B32" s="17" t="s">
        <v>328</v>
      </c>
      <c r="C32" s="10"/>
      <c r="D32" s="13"/>
      <c r="E32" s="13" t="s">
        <v>103</v>
      </c>
      <c r="F32" s="13" t="s">
        <v>104</v>
      </c>
      <c r="G32" s="13" t="s">
        <v>105</v>
      </c>
      <c r="H32" s="10" t="s">
        <v>331</v>
      </c>
      <c r="I32" s="13" t="s">
        <v>1317</v>
      </c>
    </row>
    <row r="33" spans="1:9">
      <c r="A33" s="5">
        <v>15</v>
      </c>
      <c r="B33" s="18" t="s">
        <v>332</v>
      </c>
      <c r="C33" s="10"/>
      <c r="D33" s="10"/>
      <c r="E33" s="19">
        <v>81014430.74000001</v>
      </c>
      <c r="F33" s="19">
        <v>10121094.877163667</v>
      </c>
      <c r="G33" s="19">
        <v>76028791.030478001</v>
      </c>
      <c r="H33" s="19">
        <v>6739377.1535216225</v>
      </c>
      <c r="I33" s="19">
        <v>5058700</v>
      </c>
    </row>
    <row r="34" spans="1:9">
      <c r="A34" s="5">
        <v>16</v>
      </c>
      <c r="B34" s="18" t="s">
        <v>165</v>
      </c>
      <c r="C34" s="10"/>
      <c r="D34" s="10"/>
      <c r="E34" s="19">
        <v>83394127.620000005</v>
      </c>
      <c r="F34" s="19">
        <v>10412068.629062835</v>
      </c>
      <c r="G34" s="19">
        <v>77085985.160477996</v>
      </c>
      <c r="H34" s="19">
        <v>6732019.4631903321</v>
      </c>
      <c r="I34" s="19">
        <v>4707143</v>
      </c>
    </row>
    <row r="35" spans="1:9">
      <c r="A35" s="5">
        <v>17</v>
      </c>
      <c r="B35" s="3" t="s">
        <v>166</v>
      </c>
      <c r="C35" s="10"/>
      <c r="D35" s="10"/>
      <c r="E35" s="19">
        <v>84311115.569999978</v>
      </c>
      <c r="F35" s="19">
        <v>10075047.075395375</v>
      </c>
      <c r="G35" s="19">
        <v>77584768.170477986</v>
      </c>
      <c r="H35" s="19">
        <v>6845530.8455419578</v>
      </c>
      <c r="I35" s="19">
        <v>4881009</v>
      </c>
    </row>
    <row r="36" spans="1:9">
      <c r="A36" s="5">
        <v>18</v>
      </c>
      <c r="B36" s="3" t="s">
        <v>333</v>
      </c>
      <c r="C36" s="10"/>
      <c r="D36" s="10"/>
      <c r="E36" s="19">
        <v>83768184.539999992</v>
      </c>
      <c r="F36" s="19">
        <v>10280319.474697296</v>
      </c>
      <c r="G36" s="19">
        <v>76630025.980478004</v>
      </c>
      <c r="H36" s="19">
        <v>6702895.2303569997</v>
      </c>
      <c r="I36" s="19">
        <v>5053592</v>
      </c>
    </row>
    <row r="37" spans="1:9">
      <c r="A37" s="5">
        <v>19</v>
      </c>
      <c r="B37" s="3" t="s">
        <v>167</v>
      </c>
      <c r="C37" s="10"/>
      <c r="D37" s="10"/>
      <c r="E37" s="19">
        <v>86059586.450000003</v>
      </c>
      <c r="F37" s="19">
        <v>10529767.583329748</v>
      </c>
      <c r="G37" s="19">
        <v>78829480.750478014</v>
      </c>
      <c r="H37" s="19">
        <v>6730069.7603132492</v>
      </c>
      <c r="I37" s="19">
        <v>5222274</v>
      </c>
    </row>
    <row r="38" spans="1:9">
      <c r="A38" s="5">
        <v>20</v>
      </c>
      <c r="B38" s="3" t="s">
        <v>168</v>
      </c>
      <c r="C38" s="10"/>
      <c r="D38" s="10"/>
      <c r="E38" s="19">
        <v>86695991.519999996</v>
      </c>
      <c r="F38" s="19">
        <v>10761432.972452793</v>
      </c>
      <c r="G38" s="19">
        <v>79407077.750477999</v>
      </c>
      <c r="H38" s="19">
        <v>6451662.9823451247</v>
      </c>
      <c r="I38" s="19">
        <v>5405709</v>
      </c>
    </row>
    <row r="39" spans="1:9">
      <c r="A39" s="5">
        <v>21</v>
      </c>
      <c r="B39" s="3" t="s">
        <v>169</v>
      </c>
      <c r="C39" s="10"/>
      <c r="D39" s="10"/>
      <c r="E39" s="19">
        <v>84737181.980000004</v>
      </c>
      <c r="F39" s="19">
        <v>10958082.766890585</v>
      </c>
      <c r="G39" s="19">
        <v>77391111.400477976</v>
      </c>
      <c r="H39" s="19">
        <v>6749111.2164761648</v>
      </c>
      <c r="I39" s="19">
        <v>5596178</v>
      </c>
    </row>
    <row r="40" spans="1:9">
      <c r="A40" s="5">
        <v>22</v>
      </c>
      <c r="B40" s="3" t="s">
        <v>170</v>
      </c>
      <c r="C40" s="10"/>
      <c r="D40" s="10"/>
      <c r="E40" s="19">
        <v>86972227.49000001</v>
      </c>
      <c r="F40" s="19">
        <v>11189902.099201463</v>
      </c>
      <c r="G40" s="19">
        <v>78167030.460477993</v>
      </c>
      <c r="H40" s="19">
        <v>6873762.9628010392</v>
      </c>
      <c r="I40" s="19">
        <v>5640355</v>
      </c>
    </row>
    <row r="41" spans="1:9">
      <c r="A41" s="5">
        <v>23</v>
      </c>
      <c r="B41" s="3" t="s">
        <v>334</v>
      </c>
      <c r="C41" s="10"/>
      <c r="D41" s="10"/>
      <c r="E41" s="19">
        <v>87892894.439999998</v>
      </c>
      <c r="F41" s="19">
        <v>11421722.134353336</v>
      </c>
      <c r="G41" s="19">
        <v>78820127.360478014</v>
      </c>
      <c r="H41" s="19">
        <v>6957560.6633025808</v>
      </c>
      <c r="I41" s="19">
        <v>5848850</v>
      </c>
    </row>
    <row r="42" spans="1:9">
      <c r="A42" s="5">
        <v>24</v>
      </c>
      <c r="B42" s="3" t="s">
        <v>171</v>
      </c>
      <c r="C42" s="10"/>
      <c r="D42" s="10"/>
      <c r="E42" s="19">
        <v>87274384.429999977</v>
      </c>
      <c r="F42" s="19">
        <v>11167756.764644628</v>
      </c>
      <c r="G42" s="19">
        <v>78698917.280477986</v>
      </c>
      <c r="H42" s="19">
        <v>7046022.3279255806</v>
      </c>
      <c r="I42" s="19">
        <v>5842687</v>
      </c>
    </row>
    <row r="43" spans="1:9">
      <c r="A43" s="5">
        <v>25</v>
      </c>
      <c r="B43" s="3" t="s">
        <v>172</v>
      </c>
      <c r="C43" s="10"/>
      <c r="D43" s="10"/>
      <c r="E43" s="19">
        <v>89551156.179999992</v>
      </c>
      <c r="F43" s="19">
        <v>11887591.194150835</v>
      </c>
      <c r="G43" s="19">
        <v>78744589.200478017</v>
      </c>
      <c r="H43" s="19">
        <v>7214199.5356593728</v>
      </c>
      <c r="I43" s="19">
        <v>5956074</v>
      </c>
    </row>
    <row r="44" spans="1:9">
      <c r="A44" s="5">
        <v>26</v>
      </c>
      <c r="B44" s="3" t="s">
        <v>173</v>
      </c>
      <c r="C44" s="10"/>
      <c r="D44" s="10"/>
      <c r="E44" s="19">
        <v>89821071.040000007</v>
      </c>
      <c r="F44" s="19">
        <v>12120473.289362708</v>
      </c>
      <c r="G44" s="19">
        <v>79311220.780478016</v>
      </c>
      <c r="H44" s="19">
        <v>7530282.6531646214</v>
      </c>
      <c r="I44" s="19">
        <v>6128426</v>
      </c>
    </row>
    <row r="45" spans="1:9">
      <c r="A45" s="5">
        <v>27</v>
      </c>
      <c r="B45" s="3" t="s">
        <v>335</v>
      </c>
      <c r="C45" s="10"/>
      <c r="D45" s="10"/>
      <c r="E45" s="19">
        <v>89048511.450000018</v>
      </c>
      <c r="F45" s="19">
        <v>11830841.514701752</v>
      </c>
      <c r="G45" s="19">
        <v>79185287.450478002</v>
      </c>
      <c r="H45" s="19">
        <v>7301423.8117402885</v>
      </c>
      <c r="I45" s="19">
        <v>5752263</v>
      </c>
    </row>
    <row r="46" spans="1:9" ht="13.8" thickBot="1">
      <c r="A46" s="5">
        <v>28</v>
      </c>
      <c r="B46" s="20" t="s">
        <v>336</v>
      </c>
      <c r="C46" s="21">
        <f t="shared" ref="C46:I46" si="1">SUM(C33:C45)/13</f>
        <v>0</v>
      </c>
      <c r="D46" s="21">
        <f t="shared" si="1"/>
        <v>0</v>
      </c>
      <c r="E46" s="21">
        <f t="shared" si="1"/>
        <v>86195451.034615368</v>
      </c>
      <c r="F46" s="21">
        <f t="shared" si="1"/>
        <v>10981238.490415923</v>
      </c>
      <c r="G46" s="21">
        <f t="shared" si="1"/>
        <v>78144954.828939542</v>
      </c>
      <c r="H46" s="21">
        <f t="shared" si="1"/>
        <v>6913378.3543337649</v>
      </c>
      <c r="I46" s="21">
        <f t="shared" si="1"/>
        <v>5468712.307692308</v>
      </c>
    </row>
    <row r="47" spans="1:9" ht="13.8" thickTop="1">
      <c r="A47" s="5"/>
      <c r="B47" s="3"/>
    </row>
    <row r="48" spans="1:9">
      <c r="B48" s="3"/>
      <c r="C48" s="22"/>
      <c r="D48" s="23"/>
      <c r="E48" s="23"/>
      <c r="F48" s="23"/>
      <c r="G48" s="22"/>
      <c r="H48" s="22"/>
      <c r="I48" s="22"/>
    </row>
    <row r="49" spans="1:9">
      <c r="A49" s="5"/>
      <c r="C49" s="3"/>
      <c r="E49" s="445" t="str">
        <f>E1</f>
        <v>Worksheet A4</v>
      </c>
      <c r="F49" s="3"/>
      <c r="H49" s="3"/>
      <c r="I49" s="3"/>
    </row>
    <row r="50" spans="1:9">
      <c r="A50" s="5"/>
      <c r="C50" s="3"/>
      <c r="D50" s="3"/>
      <c r="E50" s="13" t="str">
        <f>E2</f>
        <v>Rate Base Worksheet</v>
      </c>
      <c r="F50" s="3"/>
      <c r="H50" s="3"/>
      <c r="I50" s="3"/>
    </row>
    <row r="51" spans="1:9">
      <c r="A51" s="5"/>
      <c r="C51" s="3"/>
      <c r="E51" s="224" t="str">
        <f>E3</f>
        <v>Cheyenne Light, Fuel &amp; Power</v>
      </c>
      <c r="F51" s="3"/>
      <c r="H51" s="3"/>
      <c r="I51" s="188" t="s">
        <v>969</v>
      </c>
    </row>
    <row r="52" spans="1:9">
      <c r="A52" s="5"/>
      <c r="B52" s="3"/>
      <c r="C52" s="22"/>
      <c r="D52" s="23"/>
      <c r="E52" s="23"/>
      <c r="F52" s="23"/>
      <c r="G52" s="22"/>
      <c r="H52" s="22"/>
      <c r="I52" s="22"/>
    </row>
    <row r="53" spans="1:9">
      <c r="A53" s="5"/>
      <c r="B53" s="24"/>
      <c r="C53" s="909" t="s">
        <v>928</v>
      </c>
      <c r="D53" s="910"/>
      <c r="E53" s="910"/>
      <c r="F53" s="910"/>
      <c r="G53" s="910"/>
      <c r="H53" s="910"/>
      <c r="I53" s="911"/>
    </row>
    <row r="54" spans="1:9" ht="102" customHeight="1">
      <c r="A54" s="5" t="s">
        <v>320</v>
      </c>
      <c r="B54" s="13" t="s">
        <v>268</v>
      </c>
      <c r="C54" s="14" t="s">
        <v>337</v>
      </c>
      <c r="D54" s="14" t="s">
        <v>338</v>
      </c>
      <c r="E54" s="14" t="s">
        <v>339</v>
      </c>
      <c r="F54" s="14" t="s">
        <v>340</v>
      </c>
      <c r="G54" s="14" t="s">
        <v>341</v>
      </c>
      <c r="H54" s="14" t="s">
        <v>342</v>
      </c>
      <c r="I54" s="14" t="s">
        <v>1096</v>
      </c>
    </row>
    <row r="55" spans="1:9" s="16" customFormat="1">
      <c r="A55" s="5"/>
      <c r="B55" s="13" t="s">
        <v>157</v>
      </c>
      <c r="C55" s="14" t="s">
        <v>158</v>
      </c>
      <c r="D55" s="14" t="s">
        <v>159</v>
      </c>
      <c r="E55" s="14" t="s">
        <v>160</v>
      </c>
      <c r="F55" s="14" t="s">
        <v>161</v>
      </c>
      <c r="G55" s="14" t="s">
        <v>162</v>
      </c>
      <c r="H55" s="14" t="s">
        <v>163</v>
      </c>
      <c r="I55" s="14" t="s">
        <v>164</v>
      </c>
    </row>
    <row r="56" spans="1:9" s="16" customFormat="1">
      <c r="A56" s="5"/>
      <c r="B56" s="17" t="s">
        <v>328</v>
      </c>
      <c r="C56" s="10" t="s">
        <v>343</v>
      </c>
      <c r="D56" s="14" t="s">
        <v>344</v>
      </c>
      <c r="E56" s="14" t="s">
        <v>1099</v>
      </c>
      <c r="F56" s="14" t="s">
        <v>1099</v>
      </c>
      <c r="G56" s="14" t="s">
        <v>1099</v>
      </c>
      <c r="H56" s="14" t="s">
        <v>1099</v>
      </c>
      <c r="I56" s="14">
        <v>111.57</v>
      </c>
    </row>
    <row r="57" spans="1:9">
      <c r="A57" s="5">
        <v>1</v>
      </c>
      <c r="B57" s="18" t="s">
        <v>332</v>
      </c>
      <c r="C57" s="19">
        <v>0</v>
      </c>
      <c r="D57" s="19">
        <v>0</v>
      </c>
      <c r="E57" s="174">
        <f>'A3-ADIT'!D12</f>
        <v>0</v>
      </c>
      <c r="F57" s="174">
        <f>'A3-ADIT'!D13</f>
        <v>-81087328</v>
      </c>
      <c r="G57" s="174">
        <f>'A3-ADIT'!D14</f>
        <v>-5236489</v>
      </c>
      <c r="H57" s="174">
        <f>'A3-ADIT'!D15</f>
        <v>28325027</v>
      </c>
      <c r="I57" s="19">
        <v>1610772</v>
      </c>
    </row>
    <row r="58" spans="1:9">
      <c r="A58" s="5">
        <v>2</v>
      </c>
      <c r="B58" s="18" t="s">
        <v>165</v>
      </c>
      <c r="C58" s="19">
        <v>0</v>
      </c>
      <c r="D58" s="19">
        <v>0</v>
      </c>
      <c r="E58" s="25"/>
      <c r="F58" s="25"/>
      <c r="G58" s="25"/>
      <c r="H58" s="25"/>
      <c r="I58" s="19">
        <v>1666769</v>
      </c>
    </row>
    <row r="59" spans="1:9">
      <c r="A59" s="5">
        <v>3</v>
      </c>
      <c r="B59" s="3" t="s">
        <v>166</v>
      </c>
      <c r="C59" s="19">
        <v>0</v>
      </c>
      <c r="D59" s="19">
        <v>0</v>
      </c>
      <c r="E59" s="25"/>
      <c r="F59" s="25"/>
      <c r="G59" s="25"/>
      <c r="H59" s="25"/>
      <c r="I59" s="19">
        <v>1642037</v>
      </c>
    </row>
    <row r="60" spans="1:9">
      <c r="A60" s="5">
        <v>4</v>
      </c>
      <c r="B60" s="3" t="s">
        <v>333</v>
      </c>
      <c r="C60" s="19">
        <v>0</v>
      </c>
      <c r="D60" s="19">
        <v>0</v>
      </c>
      <c r="E60" s="25"/>
      <c r="F60" s="25"/>
      <c r="G60" s="25"/>
      <c r="H60" s="25"/>
      <c r="I60" s="19">
        <v>9874398</v>
      </c>
    </row>
    <row r="61" spans="1:9">
      <c r="A61" s="5">
        <v>5</v>
      </c>
      <c r="B61" s="3" t="s">
        <v>167</v>
      </c>
      <c r="C61" s="19">
        <v>0</v>
      </c>
      <c r="D61" s="19">
        <v>0</v>
      </c>
      <c r="E61" s="25"/>
      <c r="F61" s="25"/>
      <c r="G61" s="25"/>
      <c r="H61" s="25"/>
      <c r="I61" s="19">
        <v>1441704</v>
      </c>
    </row>
    <row r="62" spans="1:9">
      <c r="A62" s="5">
        <v>6</v>
      </c>
      <c r="B62" s="3" t="s">
        <v>168</v>
      </c>
      <c r="C62" s="19">
        <v>0</v>
      </c>
      <c r="D62" s="19">
        <v>0</v>
      </c>
      <c r="E62" s="25"/>
      <c r="F62" s="25"/>
      <c r="G62" s="25"/>
      <c r="H62" s="25"/>
      <c r="I62" s="19">
        <v>1257528</v>
      </c>
    </row>
    <row r="63" spans="1:9">
      <c r="A63" s="5">
        <v>7</v>
      </c>
      <c r="B63" s="3" t="s">
        <v>169</v>
      </c>
      <c r="C63" s="19">
        <v>0</v>
      </c>
      <c r="D63" s="19">
        <v>0</v>
      </c>
      <c r="E63" s="25"/>
      <c r="F63" s="25"/>
      <c r="G63" s="25"/>
      <c r="H63" s="25"/>
      <c r="I63" s="19">
        <v>1145468</v>
      </c>
    </row>
    <row r="64" spans="1:9">
      <c r="A64" s="5">
        <v>8</v>
      </c>
      <c r="B64" s="3" t="s">
        <v>170</v>
      </c>
      <c r="C64" s="19">
        <v>0</v>
      </c>
      <c r="D64" s="19">
        <v>0</v>
      </c>
      <c r="E64" s="25"/>
      <c r="F64" s="25"/>
      <c r="G64" s="25"/>
      <c r="H64" s="25"/>
      <c r="I64" s="19">
        <v>1401962</v>
      </c>
    </row>
    <row r="65" spans="1:9">
      <c r="A65" s="5">
        <v>9</v>
      </c>
      <c r="B65" s="3" t="s">
        <v>334</v>
      </c>
      <c r="C65" s="19">
        <v>0</v>
      </c>
      <c r="D65" s="19">
        <v>0</v>
      </c>
      <c r="E65" s="25"/>
      <c r="F65" s="25"/>
      <c r="G65" s="25"/>
      <c r="H65" s="25"/>
      <c r="I65" s="19">
        <v>1325412</v>
      </c>
    </row>
    <row r="66" spans="1:9">
      <c r="A66" s="5">
        <v>10</v>
      </c>
      <c r="B66" s="3" t="s">
        <v>171</v>
      </c>
      <c r="C66" s="19">
        <v>0</v>
      </c>
      <c r="D66" s="19">
        <v>0</v>
      </c>
      <c r="E66" s="25"/>
      <c r="F66" s="25"/>
      <c r="G66" s="25"/>
      <c r="H66" s="25"/>
      <c r="I66" s="19">
        <v>1210265</v>
      </c>
    </row>
    <row r="67" spans="1:9">
      <c r="A67" s="5">
        <v>11</v>
      </c>
      <c r="B67" s="3" t="s">
        <v>172</v>
      </c>
      <c r="C67" s="19">
        <v>0</v>
      </c>
      <c r="D67" s="19">
        <v>0</v>
      </c>
      <c r="E67" s="25"/>
      <c r="F67" s="25"/>
      <c r="G67" s="25"/>
      <c r="H67" s="25"/>
      <c r="I67" s="19">
        <v>1988102</v>
      </c>
    </row>
    <row r="68" spans="1:9">
      <c r="A68" s="5">
        <v>12</v>
      </c>
      <c r="B68" s="3" t="s">
        <v>173</v>
      </c>
      <c r="C68" s="19">
        <v>0</v>
      </c>
      <c r="D68" s="19">
        <v>0</v>
      </c>
      <c r="E68" s="25"/>
      <c r="F68" s="25"/>
      <c r="G68" s="25"/>
      <c r="H68" s="25"/>
      <c r="I68" s="19">
        <v>2133862</v>
      </c>
    </row>
    <row r="69" spans="1:9">
      <c r="A69" s="5">
        <v>13</v>
      </c>
      <c r="B69" s="3" t="s">
        <v>335</v>
      </c>
      <c r="C69" s="19">
        <v>0</v>
      </c>
      <c r="D69" s="19">
        <v>0</v>
      </c>
      <c r="E69" s="174">
        <v>0</v>
      </c>
      <c r="F69" s="174">
        <f>'A3-ADIT'!E13</f>
        <v>-84866187</v>
      </c>
      <c r="G69" s="174">
        <f>'A3-ADIT'!E14</f>
        <v>-7033965</v>
      </c>
      <c r="H69" s="174">
        <f>'A3-ADIT'!E15</f>
        <v>27635409</v>
      </c>
      <c r="I69" s="19">
        <v>2148025</v>
      </c>
    </row>
    <row r="70" spans="1:9" ht="13.8" thickBot="1">
      <c r="A70" s="5">
        <v>14</v>
      </c>
      <c r="B70" s="17" t="s">
        <v>345</v>
      </c>
      <c r="C70" s="21">
        <f>SUM(C57:C69)/13</f>
        <v>0</v>
      </c>
      <c r="D70" s="26">
        <f>SUM(D57:D69)/13</f>
        <v>0</v>
      </c>
      <c r="E70" s="430">
        <f>'A3-ADIT'!F12</f>
        <v>0</v>
      </c>
      <c r="F70" s="430">
        <f>'A3-ADIT'!F13</f>
        <v>-82976757.5</v>
      </c>
      <c r="G70" s="430">
        <f>'A3-ADIT'!F14</f>
        <v>-6135227</v>
      </c>
      <c r="H70" s="430">
        <f>'A3-ADIT'!F15</f>
        <v>27980218</v>
      </c>
      <c r="I70" s="670">
        <f t="shared" ref="I70" si="2">SUM(I57:I69)/13</f>
        <v>2218946.4615384615</v>
      </c>
    </row>
    <row r="71" spans="1:9" ht="13.8" thickTop="1">
      <c r="A71" s="5">
        <v>15</v>
      </c>
      <c r="B71" s="3" t="s">
        <v>1073</v>
      </c>
      <c r="I71" s="23"/>
    </row>
    <row r="72" spans="1:9" s="16" customFormat="1">
      <c r="A72" s="5"/>
      <c r="B72" s="27"/>
      <c r="C72" s="28"/>
      <c r="D72" s="28"/>
      <c r="E72" s="28"/>
      <c r="F72" s="28"/>
      <c r="G72" s="28"/>
      <c r="H72" s="2"/>
      <c r="I72" s="2"/>
    </row>
    <row r="73" spans="1:9" s="16" customFormat="1">
      <c r="A73" s="5"/>
      <c r="B73" s="27"/>
      <c r="C73" s="28"/>
      <c r="D73" s="28"/>
      <c r="E73" s="28"/>
      <c r="F73" s="28"/>
      <c r="G73" s="28"/>
      <c r="H73" s="2"/>
      <c r="I73" s="2"/>
    </row>
    <row r="74" spans="1:9" s="16" customFormat="1">
      <c r="A74" s="5"/>
      <c r="B74" s="186" t="s">
        <v>346</v>
      </c>
      <c r="C74" s="28"/>
      <c r="D74" s="28"/>
      <c r="E74" s="28"/>
      <c r="F74" s="28"/>
      <c r="G74" s="28"/>
      <c r="H74" s="2"/>
      <c r="I74" s="2"/>
    </row>
    <row r="75" spans="1:9" s="16" customFormat="1" ht="92.25" customHeight="1">
      <c r="A75" s="5">
        <f>+A70+1</f>
        <v>15</v>
      </c>
      <c r="B75" s="29" t="s">
        <v>347</v>
      </c>
      <c r="C75" s="30"/>
      <c r="D75" s="31" t="s">
        <v>1059</v>
      </c>
      <c r="E75" s="31" t="s">
        <v>799</v>
      </c>
      <c r="F75" s="31" t="s">
        <v>800</v>
      </c>
      <c r="G75" s="31" t="s">
        <v>348</v>
      </c>
      <c r="H75" s="32" t="s">
        <v>349</v>
      </c>
      <c r="I75" s="32" t="s">
        <v>350</v>
      </c>
    </row>
    <row r="76" spans="1:9" s="16" customFormat="1">
      <c r="A76" s="5">
        <v>16</v>
      </c>
      <c r="B76" s="2"/>
      <c r="C76" s="33" t="s">
        <v>351</v>
      </c>
      <c r="D76" s="34"/>
      <c r="E76" s="34"/>
      <c r="F76" s="34"/>
      <c r="G76" s="34"/>
      <c r="H76" s="34"/>
      <c r="I76" s="35">
        <f t="shared" ref="I76:I81" si="3">+H76*E76*D76*F76*G76</f>
        <v>0</v>
      </c>
    </row>
    <row r="77" spans="1:9" s="16" customFormat="1">
      <c r="A77" s="5">
        <v>17</v>
      </c>
      <c r="B77" s="2"/>
      <c r="C77" s="33" t="s">
        <v>352</v>
      </c>
      <c r="D77" s="36"/>
      <c r="E77" s="34"/>
      <c r="F77" s="34"/>
      <c r="G77" s="34"/>
      <c r="H77" s="34"/>
      <c r="I77" s="35">
        <f t="shared" si="3"/>
        <v>0</v>
      </c>
    </row>
    <row r="78" spans="1:9" s="16" customFormat="1">
      <c r="A78" s="5">
        <v>18</v>
      </c>
      <c r="B78" s="2"/>
      <c r="C78" s="33" t="s">
        <v>353</v>
      </c>
      <c r="D78" s="36"/>
      <c r="E78" s="34"/>
      <c r="F78" s="37"/>
      <c r="G78" s="37"/>
      <c r="H78" s="34"/>
      <c r="I78" s="35">
        <f t="shared" si="3"/>
        <v>0</v>
      </c>
    </row>
    <row r="79" spans="1:9" s="16" customFormat="1">
      <c r="A79" s="5">
        <v>19</v>
      </c>
      <c r="B79" s="2"/>
      <c r="C79" s="33" t="s">
        <v>354</v>
      </c>
      <c r="D79" s="36"/>
      <c r="E79" s="34"/>
      <c r="F79" s="37"/>
      <c r="G79" s="37"/>
      <c r="H79" s="34"/>
      <c r="I79" s="35">
        <f t="shared" si="3"/>
        <v>0</v>
      </c>
    </row>
    <row r="80" spans="1:9" s="16" customFormat="1">
      <c r="A80" s="5">
        <v>20</v>
      </c>
      <c r="B80" s="2"/>
      <c r="C80" s="33" t="s">
        <v>355</v>
      </c>
      <c r="D80" s="36"/>
      <c r="E80" s="34"/>
      <c r="F80" s="37"/>
      <c r="G80" s="37"/>
      <c r="H80" s="34"/>
      <c r="I80" s="35">
        <f t="shared" si="3"/>
        <v>0</v>
      </c>
    </row>
    <row r="81" spans="1:9" s="16" customFormat="1">
      <c r="A81" s="5">
        <v>21</v>
      </c>
      <c r="B81" s="2"/>
      <c r="C81" s="38" t="s">
        <v>355</v>
      </c>
      <c r="D81" s="39"/>
      <c r="E81" s="40"/>
      <c r="F81" s="41"/>
      <c r="G81" s="41"/>
      <c r="H81" s="40"/>
      <c r="I81" s="42">
        <f t="shared" si="3"/>
        <v>0</v>
      </c>
    </row>
    <row r="82" spans="1:9" s="16" customFormat="1">
      <c r="A82" s="5">
        <v>22</v>
      </c>
      <c r="B82" s="2"/>
      <c r="C82" s="29" t="s">
        <v>9</v>
      </c>
      <c r="D82" s="43">
        <f t="shared" ref="D82:I82" si="4">SUM(D76:D81)</f>
        <v>0</v>
      </c>
      <c r="E82" s="43">
        <f t="shared" si="4"/>
        <v>0</v>
      </c>
      <c r="F82" s="43">
        <f t="shared" si="4"/>
        <v>0</v>
      </c>
      <c r="G82" s="43">
        <f t="shared" si="4"/>
        <v>0</v>
      </c>
      <c r="H82" s="43">
        <f t="shared" si="4"/>
        <v>0</v>
      </c>
      <c r="I82" s="35">
        <f t="shared" si="4"/>
        <v>0</v>
      </c>
    </row>
    <row r="83" spans="1:9">
      <c r="C83" s="3"/>
      <c r="E83" s="445" t="str">
        <f>E1</f>
        <v>Worksheet A4</v>
      </c>
      <c r="F83" s="3"/>
      <c r="H83" s="3"/>
      <c r="I83" s="3"/>
    </row>
    <row r="84" spans="1:9">
      <c r="A84" s="5"/>
      <c r="C84" s="3"/>
      <c r="D84" s="3"/>
      <c r="E84" s="445" t="str">
        <f t="shared" ref="E84:E85" si="5">E2</f>
        <v>Rate Base Worksheet</v>
      </c>
      <c r="F84" s="3"/>
      <c r="H84" s="3"/>
      <c r="I84" s="3"/>
    </row>
    <row r="85" spans="1:9" ht="15">
      <c r="A85" s="5"/>
      <c r="C85" s="3"/>
      <c r="E85" s="445" t="str">
        <f t="shared" si="5"/>
        <v>Cheyenne Light, Fuel &amp; Power</v>
      </c>
      <c r="F85" s="3"/>
      <c r="H85"/>
      <c r="I85" s="188" t="s">
        <v>957</v>
      </c>
    </row>
    <row r="86" spans="1:9" ht="15">
      <c r="A86" s="5"/>
      <c r="B86" s="3"/>
      <c r="C86" s="22"/>
      <c r="D86" s="23"/>
      <c r="E86" s="23"/>
      <c r="F86" s="23"/>
      <c r="G86" s="22"/>
      <c r="H86"/>
      <c r="I86" s="22"/>
    </row>
    <row r="87" spans="1:9" ht="15">
      <c r="A87" s="5"/>
      <c r="B87" s="24"/>
      <c r="C87" s="909" t="s">
        <v>958</v>
      </c>
      <c r="D87" s="910"/>
      <c r="E87" s="910"/>
      <c r="F87" s="910"/>
      <c r="G87" s="675" t="s">
        <v>967</v>
      </c>
      <c r="H87"/>
      <c r="I87" s="22"/>
    </row>
    <row r="88" spans="1:9" ht="58.5" customHeight="1">
      <c r="A88" s="5" t="s">
        <v>320</v>
      </c>
      <c r="B88" s="13" t="s">
        <v>268</v>
      </c>
      <c r="C88" s="14" t="s">
        <v>960</v>
      </c>
      <c r="D88" s="14" t="s">
        <v>961</v>
      </c>
      <c r="E88" s="14" t="s">
        <v>962</v>
      </c>
      <c r="F88" s="14" t="s">
        <v>327</v>
      </c>
      <c r="G88" s="14"/>
      <c r="H88"/>
      <c r="I88" s="604"/>
    </row>
    <row r="89" spans="1:9" s="16" customFormat="1" ht="15">
      <c r="A89" s="5"/>
      <c r="B89" s="13" t="s">
        <v>157</v>
      </c>
      <c r="C89" s="14" t="s">
        <v>158</v>
      </c>
      <c r="D89" s="14" t="s">
        <v>159</v>
      </c>
      <c r="E89" s="14" t="s">
        <v>160</v>
      </c>
      <c r="F89" s="14" t="s">
        <v>161</v>
      </c>
      <c r="G89" s="186" t="s">
        <v>162</v>
      </c>
      <c r="H89"/>
      <c r="I89" s="341"/>
    </row>
    <row r="90" spans="1:9" s="16" customFormat="1" ht="30.75" customHeight="1">
      <c r="A90" s="5"/>
      <c r="B90" s="17" t="s">
        <v>328</v>
      </c>
      <c r="C90" s="13" t="s">
        <v>963</v>
      </c>
      <c r="D90" s="13" t="s">
        <v>964</v>
      </c>
      <c r="E90" s="13" t="s">
        <v>965</v>
      </c>
      <c r="F90" s="13" t="s">
        <v>966</v>
      </c>
      <c r="G90" s="14"/>
      <c r="H90"/>
      <c r="I90" s="10"/>
    </row>
    <row r="91" spans="1:9" ht="15">
      <c r="A91" s="5">
        <v>1</v>
      </c>
      <c r="B91" s="18" t="s">
        <v>332</v>
      </c>
      <c r="C91" s="19">
        <v>24930</v>
      </c>
      <c r="D91" s="19">
        <v>1022036</v>
      </c>
      <c r="E91" s="19">
        <v>5699731</v>
      </c>
      <c r="F91" s="601">
        <f>SUM(C91:E91)</f>
        <v>6746697</v>
      </c>
      <c r="G91" s="14"/>
      <c r="H91"/>
      <c r="I91" s="10"/>
    </row>
    <row r="92" spans="1:9" ht="15">
      <c r="A92" s="5">
        <v>2</v>
      </c>
      <c r="B92" s="18" t="s">
        <v>165</v>
      </c>
      <c r="C92" s="19">
        <v>2415.8014186327246</v>
      </c>
      <c r="D92" s="19">
        <v>1033016</v>
      </c>
      <c r="E92" s="19">
        <v>5684761.947073997</v>
      </c>
      <c r="F92" s="601">
        <f t="shared" ref="F92:F103" si="6">SUM(C92:E92)</f>
        <v>6720193.7484926302</v>
      </c>
      <c r="G92" s="14"/>
      <c r="H92"/>
      <c r="I92" s="10"/>
    </row>
    <row r="93" spans="1:9" ht="15">
      <c r="A93" s="5">
        <v>3</v>
      </c>
      <c r="B93" s="3" t="s">
        <v>166</v>
      </c>
      <c r="C93" s="19">
        <v>2398.7458221480101</v>
      </c>
      <c r="D93" s="19">
        <v>1016498</v>
      </c>
      <c r="E93" s="19">
        <v>5644627.4372036336</v>
      </c>
      <c r="F93" s="601">
        <f t="shared" si="6"/>
        <v>6663524.183025782</v>
      </c>
      <c r="G93" s="14"/>
      <c r="H93"/>
      <c r="I93" s="10"/>
    </row>
    <row r="94" spans="1:9" ht="15">
      <c r="A94" s="5">
        <v>4</v>
      </c>
      <c r="B94" s="3" t="s">
        <v>333</v>
      </c>
      <c r="C94" s="19">
        <v>2420.4977674709735</v>
      </c>
      <c r="D94" s="19">
        <v>983969</v>
      </c>
      <c r="E94" s="19">
        <v>5695813.1969656264</v>
      </c>
      <c r="F94" s="601">
        <f t="shared" si="6"/>
        <v>6682202.6947330972</v>
      </c>
      <c r="G94" s="14"/>
      <c r="H94"/>
      <c r="I94" s="10"/>
    </row>
    <row r="95" spans="1:9" ht="15">
      <c r="A95" s="5">
        <v>5</v>
      </c>
      <c r="B95" s="3" t="s">
        <v>167</v>
      </c>
      <c r="C95" s="19">
        <v>2173.4710898668259</v>
      </c>
      <c r="D95" s="19">
        <v>837128</v>
      </c>
      <c r="E95" s="19">
        <v>5114520.4442066019</v>
      </c>
      <c r="F95" s="601">
        <f t="shared" si="6"/>
        <v>5953821.9152964689</v>
      </c>
      <c r="G95" s="14"/>
      <c r="H95"/>
      <c r="I95" s="10"/>
    </row>
    <row r="96" spans="1:9" ht="15">
      <c r="A96" s="5">
        <v>6</v>
      </c>
      <c r="B96" s="3" t="s">
        <v>168</v>
      </c>
      <c r="C96" s="19">
        <v>2148.294507220487</v>
      </c>
      <c r="D96" s="19">
        <v>826348</v>
      </c>
      <c r="E96" s="19">
        <v>5055275.9724212196</v>
      </c>
      <c r="F96" s="601">
        <f t="shared" si="6"/>
        <v>5883772.26692844</v>
      </c>
      <c r="G96" s="14"/>
      <c r="H96"/>
      <c r="I96" s="10"/>
    </row>
    <row r="97" spans="1:9" ht="15">
      <c r="A97" s="5">
        <v>7</v>
      </c>
      <c r="B97" s="3" t="s">
        <v>169</v>
      </c>
      <c r="C97" s="19">
        <v>2203.4029243506034</v>
      </c>
      <c r="D97" s="19">
        <v>787866</v>
      </c>
      <c r="E97" s="19">
        <v>5184954.7739354903</v>
      </c>
      <c r="F97" s="601">
        <f t="shared" si="6"/>
        <v>5975024.1768598408</v>
      </c>
      <c r="G97" s="14"/>
      <c r="H97"/>
      <c r="I97" s="10"/>
    </row>
    <row r="98" spans="1:9" ht="15">
      <c r="A98" s="5">
        <v>8</v>
      </c>
      <c r="B98" s="3" t="s">
        <v>170</v>
      </c>
      <c r="C98" s="19">
        <v>2161.8428326779272</v>
      </c>
      <c r="D98" s="19">
        <v>727477</v>
      </c>
      <c r="E98" s="19">
        <v>5087157.3201234741</v>
      </c>
      <c r="F98" s="601">
        <f t="shared" si="6"/>
        <v>5816796.1629561521</v>
      </c>
      <c r="G98" s="14"/>
      <c r="H98"/>
      <c r="I98" s="10"/>
    </row>
    <row r="99" spans="1:9" ht="15">
      <c r="A99" s="5">
        <v>9</v>
      </c>
      <c r="B99" s="3" t="s">
        <v>334</v>
      </c>
      <c r="C99" s="19">
        <v>2146.4742350405004</v>
      </c>
      <c r="D99" s="19">
        <v>631918</v>
      </c>
      <c r="E99" s="19">
        <v>5050992.5847461019</v>
      </c>
      <c r="F99" s="601">
        <f t="shared" si="6"/>
        <v>5685057.058981142</v>
      </c>
      <c r="G99" s="14"/>
      <c r="H99"/>
      <c r="I99" s="10"/>
    </row>
    <row r="100" spans="1:9" ht="15">
      <c r="A100" s="5">
        <v>10</v>
      </c>
      <c r="B100" s="3" t="s">
        <v>171</v>
      </c>
      <c r="C100" s="19">
        <v>2144.1558299429089</v>
      </c>
      <c r="D100" s="19">
        <v>601998</v>
      </c>
      <c r="E100" s="19">
        <v>5045537.0117113981</v>
      </c>
      <c r="F100" s="601">
        <f t="shared" si="6"/>
        <v>5649679.1675413409</v>
      </c>
      <c r="G100" s="14"/>
      <c r="H100"/>
      <c r="I100" s="10"/>
    </row>
    <row r="101" spans="1:9" ht="15">
      <c r="A101" s="5">
        <v>11</v>
      </c>
      <c r="B101" s="3" t="s">
        <v>172</v>
      </c>
      <c r="C101" s="19">
        <v>2155.9438456260123</v>
      </c>
      <c r="D101" s="19">
        <v>573643</v>
      </c>
      <c r="E101" s="19">
        <v>5073276.072740986</v>
      </c>
      <c r="F101" s="601">
        <f t="shared" si="6"/>
        <v>5649075.016586612</v>
      </c>
      <c r="G101" s="14"/>
      <c r="H101"/>
      <c r="I101" s="10"/>
    </row>
    <row r="102" spans="1:9" ht="15">
      <c r="A102" s="5">
        <v>12</v>
      </c>
      <c r="B102" s="3" t="s">
        <v>173</v>
      </c>
      <c r="C102" s="19">
        <v>2137.5830603822806</v>
      </c>
      <c r="D102" s="19">
        <v>536537</v>
      </c>
      <c r="E102" s="719">
        <v>5030070.2477642633</v>
      </c>
      <c r="F102" s="601">
        <f t="shared" si="6"/>
        <v>5568744.8308246452</v>
      </c>
      <c r="G102" s="14"/>
      <c r="H102"/>
      <c r="I102" s="10"/>
    </row>
    <row r="103" spans="1:9" ht="15">
      <c r="A103" s="5">
        <v>13</v>
      </c>
      <c r="B103" s="3" t="s">
        <v>335</v>
      </c>
      <c r="C103" s="19">
        <v>2180</v>
      </c>
      <c r="D103" s="19">
        <v>536163</v>
      </c>
      <c r="E103" s="19">
        <v>5129884</v>
      </c>
      <c r="F103" s="601">
        <f t="shared" si="6"/>
        <v>5668227</v>
      </c>
      <c r="G103" s="14"/>
      <c r="H103"/>
      <c r="I103" s="10"/>
    </row>
    <row r="104" spans="1:9" ht="15">
      <c r="A104" s="5">
        <v>14</v>
      </c>
      <c r="B104" s="17" t="s">
        <v>345</v>
      </c>
      <c r="C104" s="600">
        <f>SUM(C91:C103)/13</f>
        <v>3970.4779487199421</v>
      </c>
      <c r="D104" s="600">
        <f t="shared" ref="D104:E104" si="7">SUM(D91:D103)/13</f>
        <v>778045.92307692312</v>
      </c>
      <c r="E104" s="600">
        <f t="shared" si="7"/>
        <v>5268969.3852994451</v>
      </c>
      <c r="F104" s="600">
        <f>SUM(F91:F103)/13</f>
        <v>6050985.7863250878</v>
      </c>
      <c r="G104" s="14"/>
      <c r="H104"/>
      <c r="I104"/>
    </row>
    <row r="105" spans="1:9" ht="15">
      <c r="A105" s="5">
        <v>15</v>
      </c>
      <c r="B105" s="17" t="s">
        <v>10</v>
      </c>
      <c r="C105" s="598" t="s">
        <v>11</v>
      </c>
      <c r="D105" s="598" t="s">
        <v>100</v>
      </c>
      <c r="E105" s="598" t="s">
        <v>27</v>
      </c>
      <c r="F105" s="597"/>
      <c r="G105" s="14"/>
      <c r="H105"/>
      <c r="I105" s="10"/>
    </row>
    <row r="106" spans="1:9" ht="15">
      <c r="A106" s="5">
        <v>16</v>
      </c>
      <c r="B106" s="17" t="s">
        <v>1318</v>
      </c>
      <c r="C106" s="599">
        <f>'Act Att-H'!I174</f>
        <v>0.96104528227842878</v>
      </c>
      <c r="D106" s="599">
        <f>'Act Att-H'!I191</f>
        <v>9.1201779797052435E-2</v>
      </c>
      <c r="E106" s="599">
        <v>0</v>
      </c>
      <c r="F106" s="597"/>
      <c r="G106" s="14"/>
      <c r="H106"/>
      <c r="I106" s="10"/>
    </row>
    <row r="107" spans="1:9" ht="15.6" thickBot="1">
      <c r="A107" s="5">
        <v>17</v>
      </c>
      <c r="B107" s="17" t="s">
        <v>959</v>
      </c>
      <c r="C107" s="21">
        <f>C106*C104</f>
        <v>3815.8091010078338</v>
      </c>
      <c r="D107" s="21">
        <f t="shared" ref="D107:E107" si="8">D106*D104</f>
        <v>70959.172948455933</v>
      </c>
      <c r="E107" s="21">
        <f t="shared" si="8"/>
        <v>0</v>
      </c>
      <c r="F107" s="21">
        <f>C107+D107+E107</f>
        <v>74774.982049463768</v>
      </c>
      <c r="G107" s="14"/>
      <c r="H107"/>
      <c r="I107" s="10"/>
    </row>
    <row r="108" spans="1:9" s="16" customFormat="1" ht="15.6" thickTop="1">
      <c r="A108" s="5">
        <v>18</v>
      </c>
      <c r="B108" s="27"/>
      <c r="C108" s="28"/>
      <c r="D108" s="28"/>
      <c r="E108" s="28"/>
      <c r="F108" s="28"/>
      <c r="G108" s="46"/>
      <c r="H108"/>
      <c r="I108" s="2"/>
    </row>
    <row r="109" spans="1:9" s="16" customFormat="1" ht="15">
      <c r="A109" s="5"/>
      <c r="B109" s="27"/>
      <c r="C109" s="28"/>
      <c r="D109" s="28"/>
      <c r="E109" s="28"/>
      <c r="F109" s="28"/>
      <c r="H109"/>
      <c r="I109" s="2"/>
    </row>
    <row r="110" spans="1:9">
      <c r="A110" s="187" t="s">
        <v>205</v>
      </c>
    </row>
    <row r="111" spans="1:9" ht="15" customHeight="1">
      <c r="A111" s="49" t="s">
        <v>79</v>
      </c>
      <c r="B111" s="862" t="s">
        <v>356</v>
      </c>
      <c r="C111" s="862"/>
      <c r="D111" s="862"/>
      <c r="E111" s="862"/>
      <c r="F111" s="862"/>
      <c r="G111" s="862"/>
      <c r="H111" s="862"/>
      <c r="I111" s="862"/>
    </row>
    <row r="112" spans="1:9" ht="15" customHeight="1">
      <c r="A112" s="49" t="s">
        <v>80</v>
      </c>
      <c r="B112" s="862" t="s">
        <v>357</v>
      </c>
      <c r="C112" s="862"/>
      <c r="D112" s="862"/>
      <c r="E112" s="862"/>
      <c r="F112" s="862"/>
      <c r="G112" s="862"/>
      <c r="H112" s="862"/>
      <c r="I112" s="862"/>
    </row>
    <row r="113" spans="1:9" ht="58.5" customHeight="1">
      <c r="A113" s="49" t="s">
        <v>81</v>
      </c>
      <c r="B113" s="862" t="s">
        <v>930</v>
      </c>
      <c r="C113" s="862"/>
      <c r="D113" s="862"/>
      <c r="E113" s="862"/>
      <c r="F113" s="862"/>
      <c r="G113" s="862"/>
      <c r="H113" s="862"/>
      <c r="I113" s="862"/>
    </row>
    <row r="114" spans="1:9">
      <c r="A114" s="49" t="s">
        <v>82</v>
      </c>
      <c r="B114" s="862" t="s">
        <v>1098</v>
      </c>
      <c r="C114" s="862"/>
      <c r="D114" s="862"/>
      <c r="E114" s="862"/>
      <c r="F114" s="862"/>
      <c r="G114" s="862"/>
      <c r="H114" s="862"/>
      <c r="I114" s="862"/>
    </row>
    <row r="115" spans="1:9" ht="18.75" customHeight="1">
      <c r="A115" s="49" t="s">
        <v>83</v>
      </c>
      <c r="B115" s="913" t="s">
        <v>929</v>
      </c>
      <c r="C115" s="913"/>
      <c r="D115" s="913"/>
      <c r="E115" s="913"/>
      <c r="F115" s="913"/>
      <c r="G115" s="913"/>
      <c r="H115" s="913"/>
      <c r="I115" s="913"/>
    </row>
    <row r="116" spans="1:9" ht="15" customHeight="1">
      <c r="A116" s="49" t="s">
        <v>84</v>
      </c>
      <c r="B116" s="912" t="s">
        <v>358</v>
      </c>
      <c r="C116" s="912"/>
      <c r="D116" s="912"/>
      <c r="E116" s="912"/>
      <c r="F116" s="912"/>
      <c r="G116" s="912"/>
      <c r="H116" s="912"/>
      <c r="I116" s="912"/>
    </row>
    <row r="117" spans="1:9">
      <c r="A117" s="49" t="s">
        <v>85</v>
      </c>
      <c r="B117" s="913" t="s">
        <v>746</v>
      </c>
      <c r="C117" s="913"/>
      <c r="D117" s="913"/>
      <c r="E117" s="913"/>
      <c r="F117" s="913"/>
      <c r="G117" s="913"/>
      <c r="H117" s="913"/>
      <c r="I117" s="913"/>
    </row>
    <row r="118" spans="1:9" ht="27" customHeight="1">
      <c r="A118" s="49" t="s">
        <v>448</v>
      </c>
      <c r="B118" s="862" t="s">
        <v>1084</v>
      </c>
      <c r="C118" s="862"/>
      <c r="D118" s="862"/>
      <c r="E118" s="862"/>
      <c r="F118" s="862"/>
      <c r="G118" s="862"/>
      <c r="H118" s="862"/>
      <c r="I118" s="862"/>
    </row>
    <row r="119" spans="1:9">
      <c r="A119" s="49" t="s">
        <v>86</v>
      </c>
      <c r="B119" s="862" t="s">
        <v>1131</v>
      </c>
      <c r="C119" s="862"/>
      <c r="D119" s="862"/>
      <c r="E119" s="862"/>
      <c r="F119" s="862"/>
      <c r="G119" s="862"/>
      <c r="H119" s="862"/>
      <c r="I119" s="862"/>
    </row>
  </sheetData>
  <mergeCells count="13">
    <mergeCell ref="B119:I119"/>
    <mergeCell ref="C5:G5"/>
    <mergeCell ref="E28:I28"/>
    <mergeCell ref="C53:I53"/>
    <mergeCell ref="B111:I111"/>
    <mergeCell ref="B112:I112"/>
    <mergeCell ref="B116:I116"/>
    <mergeCell ref="B113:I113"/>
    <mergeCell ref="B114:I114"/>
    <mergeCell ref="B115:I115"/>
    <mergeCell ref="C87:F87"/>
    <mergeCell ref="B118:I118"/>
    <mergeCell ref="B117:I117"/>
  </mergeCells>
  <pageMargins left="0.5" right="0.25" top="1" bottom="1" header="0.5" footer="0.5"/>
  <pageSetup scale="60" fitToHeight="4" orientation="portrait" r:id="rId1"/>
  <headerFooter alignWithMargins="0"/>
  <rowBreaks count="1" manualBreakCount="1">
    <brk id="82" max="16383" man="1"/>
  </rowBreaks>
  <ignoredErrors>
    <ignoredError sqref="I46" formulaRange="1"/>
    <ignoredError sqref="E49 E83:E8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H88"/>
  <sheetViews>
    <sheetView zoomScaleNormal="100" workbookViewId="0">
      <selection activeCell="A50" sqref="A50"/>
    </sheetView>
  </sheetViews>
  <sheetFormatPr defaultColWidth="7.08984375" defaultRowHeight="13.2"/>
  <cols>
    <col min="1" max="1" width="2.08984375" style="204" customWidth="1"/>
    <col min="2" max="2" width="3.54296875" style="204" customWidth="1"/>
    <col min="3" max="4" width="1.81640625" style="204" customWidth="1"/>
    <col min="5" max="5" width="6.453125" style="204" customWidth="1"/>
    <col min="6" max="6" width="52.54296875" style="204" customWidth="1"/>
    <col min="7" max="7" width="1.81640625" style="204" customWidth="1"/>
    <col min="8" max="8" width="8.1796875" style="306" customWidth="1"/>
    <col min="9" max="9" width="8.1796875" style="204" customWidth="1"/>
    <col min="10" max="256" width="7.08984375" style="204"/>
    <col min="257" max="257" width="10.1796875" style="204" customWidth="1"/>
    <col min="258" max="258" width="3.54296875" style="204" customWidth="1"/>
    <col min="259" max="260" width="1.81640625" style="204" customWidth="1"/>
    <col min="261" max="261" width="4" style="204" customWidth="1"/>
    <col min="262" max="262" width="24.1796875" style="204" customWidth="1"/>
    <col min="263" max="263" width="1.81640625" style="204" customWidth="1"/>
    <col min="264" max="265" width="8.1796875" style="204" customWidth="1"/>
    <col min="266" max="512" width="7.08984375" style="204"/>
    <col min="513" max="513" width="10.1796875" style="204" customWidth="1"/>
    <col min="514" max="514" width="3.54296875" style="204" customWidth="1"/>
    <col min="515" max="516" width="1.81640625" style="204" customWidth="1"/>
    <col min="517" max="517" width="4" style="204" customWidth="1"/>
    <col min="518" max="518" width="24.1796875" style="204" customWidth="1"/>
    <col min="519" max="519" width="1.81640625" style="204" customWidth="1"/>
    <col min="520" max="521" width="8.1796875" style="204" customWidth="1"/>
    <col min="522" max="768" width="7.08984375" style="204"/>
    <col min="769" max="769" width="10.1796875" style="204" customWidth="1"/>
    <col min="770" max="770" width="3.54296875" style="204" customWidth="1"/>
    <col min="771" max="772" width="1.81640625" style="204" customWidth="1"/>
    <col min="773" max="773" width="4" style="204" customWidth="1"/>
    <col min="774" max="774" width="24.1796875" style="204" customWidth="1"/>
    <col min="775" max="775" width="1.81640625" style="204" customWidth="1"/>
    <col min="776" max="777" width="8.1796875" style="204" customWidth="1"/>
    <col min="778" max="1024" width="7.08984375" style="204"/>
    <col min="1025" max="1025" width="10.1796875" style="204" customWidth="1"/>
    <col min="1026" max="1026" width="3.54296875" style="204" customWidth="1"/>
    <col min="1027" max="1028" width="1.81640625" style="204" customWidth="1"/>
    <col min="1029" max="1029" width="4" style="204" customWidth="1"/>
    <col min="1030" max="1030" width="24.1796875" style="204" customWidth="1"/>
    <col min="1031" max="1031" width="1.81640625" style="204" customWidth="1"/>
    <col min="1032" max="1033" width="8.1796875" style="204" customWidth="1"/>
    <col min="1034" max="1280" width="7.08984375" style="204"/>
    <col min="1281" max="1281" width="10.1796875" style="204" customWidth="1"/>
    <col min="1282" max="1282" width="3.54296875" style="204" customWidth="1"/>
    <col min="1283" max="1284" width="1.81640625" style="204" customWidth="1"/>
    <col min="1285" max="1285" width="4" style="204" customWidth="1"/>
    <col min="1286" max="1286" width="24.1796875" style="204" customWidth="1"/>
    <col min="1287" max="1287" width="1.81640625" style="204" customWidth="1"/>
    <col min="1288" max="1289" width="8.1796875" style="204" customWidth="1"/>
    <col min="1290" max="1536" width="7.08984375" style="204"/>
    <col min="1537" max="1537" width="10.1796875" style="204" customWidth="1"/>
    <col min="1538" max="1538" width="3.54296875" style="204" customWidth="1"/>
    <col min="1539" max="1540" width="1.81640625" style="204" customWidth="1"/>
    <col min="1541" max="1541" width="4" style="204" customWidth="1"/>
    <col min="1542" max="1542" width="24.1796875" style="204" customWidth="1"/>
    <col min="1543" max="1543" width="1.81640625" style="204" customWidth="1"/>
    <col min="1544" max="1545" width="8.1796875" style="204" customWidth="1"/>
    <col min="1546" max="1792" width="7.08984375" style="204"/>
    <col min="1793" max="1793" width="10.1796875" style="204" customWidth="1"/>
    <col min="1794" max="1794" width="3.54296875" style="204" customWidth="1"/>
    <col min="1795" max="1796" width="1.81640625" style="204" customWidth="1"/>
    <col min="1797" max="1797" width="4" style="204" customWidth="1"/>
    <col min="1798" max="1798" width="24.1796875" style="204" customWidth="1"/>
    <col min="1799" max="1799" width="1.81640625" style="204" customWidth="1"/>
    <col min="1800" max="1801" width="8.1796875" style="204" customWidth="1"/>
    <col min="1802" max="2048" width="7.08984375" style="204"/>
    <col min="2049" max="2049" width="10.1796875" style="204" customWidth="1"/>
    <col min="2050" max="2050" width="3.54296875" style="204" customWidth="1"/>
    <col min="2051" max="2052" width="1.81640625" style="204" customWidth="1"/>
    <col min="2053" max="2053" width="4" style="204" customWidth="1"/>
    <col min="2054" max="2054" width="24.1796875" style="204" customWidth="1"/>
    <col min="2055" max="2055" width="1.81640625" style="204" customWidth="1"/>
    <col min="2056" max="2057" width="8.1796875" style="204" customWidth="1"/>
    <col min="2058" max="2304" width="7.08984375" style="204"/>
    <col min="2305" max="2305" width="10.1796875" style="204" customWidth="1"/>
    <col min="2306" max="2306" width="3.54296875" style="204" customWidth="1"/>
    <col min="2307" max="2308" width="1.81640625" style="204" customWidth="1"/>
    <col min="2309" max="2309" width="4" style="204" customWidth="1"/>
    <col min="2310" max="2310" width="24.1796875" style="204" customWidth="1"/>
    <col min="2311" max="2311" width="1.81640625" style="204" customWidth="1"/>
    <col min="2312" max="2313" width="8.1796875" style="204" customWidth="1"/>
    <col min="2314" max="2560" width="7.08984375" style="204"/>
    <col min="2561" max="2561" width="10.1796875" style="204" customWidth="1"/>
    <col min="2562" max="2562" width="3.54296875" style="204" customWidth="1"/>
    <col min="2563" max="2564" width="1.81640625" style="204" customWidth="1"/>
    <col min="2565" max="2565" width="4" style="204" customWidth="1"/>
    <col min="2566" max="2566" width="24.1796875" style="204" customWidth="1"/>
    <col min="2567" max="2567" width="1.81640625" style="204" customWidth="1"/>
    <col min="2568" max="2569" width="8.1796875" style="204" customWidth="1"/>
    <col min="2570" max="2816" width="7.08984375" style="204"/>
    <col min="2817" max="2817" width="10.1796875" style="204" customWidth="1"/>
    <col min="2818" max="2818" width="3.54296875" style="204" customWidth="1"/>
    <col min="2819" max="2820" width="1.81640625" style="204" customWidth="1"/>
    <col min="2821" max="2821" width="4" style="204" customWidth="1"/>
    <col min="2822" max="2822" width="24.1796875" style="204" customWidth="1"/>
    <col min="2823" max="2823" width="1.81640625" style="204" customWidth="1"/>
    <col min="2824" max="2825" width="8.1796875" style="204" customWidth="1"/>
    <col min="2826" max="3072" width="7.08984375" style="204"/>
    <col min="3073" max="3073" width="10.1796875" style="204" customWidth="1"/>
    <col min="3074" max="3074" width="3.54296875" style="204" customWidth="1"/>
    <col min="3075" max="3076" width="1.81640625" style="204" customWidth="1"/>
    <col min="3077" max="3077" width="4" style="204" customWidth="1"/>
    <col min="3078" max="3078" width="24.1796875" style="204" customWidth="1"/>
    <col min="3079" max="3079" width="1.81640625" style="204" customWidth="1"/>
    <col min="3080" max="3081" width="8.1796875" style="204" customWidth="1"/>
    <col min="3082" max="3328" width="7.08984375" style="204"/>
    <col min="3329" max="3329" width="10.1796875" style="204" customWidth="1"/>
    <col min="3330" max="3330" width="3.54296875" style="204" customWidth="1"/>
    <col min="3331" max="3332" width="1.81640625" style="204" customWidth="1"/>
    <col min="3333" max="3333" width="4" style="204" customWidth="1"/>
    <col min="3334" max="3334" width="24.1796875" style="204" customWidth="1"/>
    <col min="3335" max="3335" width="1.81640625" style="204" customWidth="1"/>
    <col min="3336" max="3337" width="8.1796875" style="204" customWidth="1"/>
    <col min="3338" max="3584" width="7.08984375" style="204"/>
    <col min="3585" max="3585" width="10.1796875" style="204" customWidth="1"/>
    <col min="3586" max="3586" width="3.54296875" style="204" customWidth="1"/>
    <col min="3587" max="3588" width="1.81640625" style="204" customWidth="1"/>
    <col min="3589" max="3589" width="4" style="204" customWidth="1"/>
    <col min="3590" max="3590" width="24.1796875" style="204" customWidth="1"/>
    <col min="3591" max="3591" width="1.81640625" style="204" customWidth="1"/>
    <col min="3592" max="3593" width="8.1796875" style="204" customWidth="1"/>
    <col min="3594" max="3840" width="7.08984375" style="204"/>
    <col min="3841" max="3841" width="10.1796875" style="204" customWidth="1"/>
    <col min="3842" max="3842" width="3.54296875" style="204" customWidth="1"/>
    <col min="3843" max="3844" width="1.81640625" style="204" customWidth="1"/>
    <col min="3845" max="3845" width="4" style="204" customWidth="1"/>
    <col min="3846" max="3846" width="24.1796875" style="204" customWidth="1"/>
    <col min="3847" max="3847" width="1.81640625" style="204" customWidth="1"/>
    <col min="3848" max="3849" width="8.1796875" style="204" customWidth="1"/>
    <col min="3850" max="4096" width="7.08984375" style="204"/>
    <col min="4097" max="4097" width="10.1796875" style="204" customWidth="1"/>
    <col min="4098" max="4098" width="3.54296875" style="204" customWidth="1"/>
    <col min="4099" max="4100" width="1.81640625" style="204" customWidth="1"/>
    <col min="4101" max="4101" width="4" style="204" customWidth="1"/>
    <col min="4102" max="4102" width="24.1796875" style="204" customWidth="1"/>
    <col min="4103" max="4103" width="1.81640625" style="204" customWidth="1"/>
    <col min="4104" max="4105" width="8.1796875" style="204" customWidth="1"/>
    <col min="4106" max="4352" width="7.08984375" style="204"/>
    <col min="4353" max="4353" width="10.1796875" style="204" customWidth="1"/>
    <col min="4354" max="4354" width="3.54296875" style="204" customWidth="1"/>
    <col min="4355" max="4356" width="1.81640625" style="204" customWidth="1"/>
    <col min="4357" max="4357" width="4" style="204" customWidth="1"/>
    <col min="4358" max="4358" width="24.1796875" style="204" customWidth="1"/>
    <col min="4359" max="4359" width="1.81640625" style="204" customWidth="1"/>
    <col min="4360" max="4361" width="8.1796875" style="204" customWidth="1"/>
    <col min="4362" max="4608" width="7.08984375" style="204"/>
    <col min="4609" max="4609" width="10.1796875" style="204" customWidth="1"/>
    <col min="4610" max="4610" width="3.54296875" style="204" customWidth="1"/>
    <col min="4611" max="4612" width="1.81640625" style="204" customWidth="1"/>
    <col min="4613" max="4613" width="4" style="204" customWidth="1"/>
    <col min="4614" max="4614" width="24.1796875" style="204" customWidth="1"/>
    <col min="4615" max="4615" width="1.81640625" style="204" customWidth="1"/>
    <col min="4616" max="4617" width="8.1796875" style="204" customWidth="1"/>
    <col min="4618" max="4864" width="7.08984375" style="204"/>
    <col min="4865" max="4865" width="10.1796875" style="204" customWidth="1"/>
    <col min="4866" max="4866" width="3.54296875" style="204" customWidth="1"/>
    <col min="4867" max="4868" width="1.81640625" style="204" customWidth="1"/>
    <col min="4869" max="4869" width="4" style="204" customWidth="1"/>
    <col min="4870" max="4870" width="24.1796875" style="204" customWidth="1"/>
    <col min="4871" max="4871" width="1.81640625" style="204" customWidth="1"/>
    <col min="4872" max="4873" width="8.1796875" style="204" customWidth="1"/>
    <col min="4874" max="5120" width="7.08984375" style="204"/>
    <col min="5121" max="5121" width="10.1796875" style="204" customWidth="1"/>
    <col min="5122" max="5122" width="3.54296875" style="204" customWidth="1"/>
    <col min="5123" max="5124" width="1.81640625" style="204" customWidth="1"/>
    <col min="5125" max="5125" width="4" style="204" customWidth="1"/>
    <col min="5126" max="5126" width="24.1796875" style="204" customWidth="1"/>
    <col min="5127" max="5127" width="1.81640625" style="204" customWidth="1"/>
    <col min="5128" max="5129" width="8.1796875" style="204" customWidth="1"/>
    <col min="5130" max="5376" width="7.08984375" style="204"/>
    <col min="5377" max="5377" width="10.1796875" style="204" customWidth="1"/>
    <col min="5378" max="5378" width="3.54296875" style="204" customWidth="1"/>
    <col min="5379" max="5380" width="1.81640625" style="204" customWidth="1"/>
    <col min="5381" max="5381" width="4" style="204" customWidth="1"/>
    <col min="5382" max="5382" width="24.1796875" style="204" customWidth="1"/>
    <col min="5383" max="5383" width="1.81640625" style="204" customWidth="1"/>
    <col min="5384" max="5385" width="8.1796875" style="204" customWidth="1"/>
    <col min="5386" max="5632" width="7.08984375" style="204"/>
    <col min="5633" max="5633" width="10.1796875" style="204" customWidth="1"/>
    <col min="5634" max="5634" width="3.54296875" style="204" customWidth="1"/>
    <col min="5635" max="5636" width="1.81640625" style="204" customWidth="1"/>
    <col min="5637" max="5637" width="4" style="204" customWidth="1"/>
    <col min="5638" max="5638" width="24.1796875" style="204" customWidth="1"/>
    <col min="5639" max="5639" width="1.81640625" style="204" customWidth="1"/>
    <col min="5640" max="5641" width="8.1796875" style="204" customWidth="1"/>
    <col min="5642" max="5888" width="7.08984375" style="204"/>
    <col min="5889" max="5889" width="10.1796875" style="204" customWidth="1"/>
    <col min="5890" max="5890" width="3.54296875" style="204" customWidth="1"/>
    <col min="5891" max="5892" width="1.81640625" style="204" customWidth="1"/>
    <col min="5893" max="5893" width="4" style="204" customWidth="1"/>
    <col min="5894" max="5894" width="24.1796875" style="204" customWidth="1"/>
    <col min="5895" max="5895" width="1.81640625" style="204" customWidth="1"/>
    <col min="5896" max="5897" width="8.1796875" style="204" customWidth="1"/>
    <col min="5898" max="6144" width="7.08984375" style="204"/>
    <col min="6145" max="6145" width="10.1796875" style="204" customWidth="1"/>
    <col min="6146" max="6146" width="3.54296875" style="204" customWidth="1"/>
    <col min="6147" max="6148" width="1.81640625" style="204" customWidth="1"/>
    <col min="6149" max="6149" width="4" style="204" customWidth="1"/>
    <col min="6150" max="6150" width="24.1796875" style="204" customWidth="1"/>
    <col min="6151" max="6151" width="1.81640625" style="204" customWidth="1"/>
    <col min="6152" max="6153" width="8.1796875" style="204" customWidth="1"/>
    <col min="6154" max="6400" width="7.08984375" style="204"/>
    <col min="6401" max="6401" width="10.1796875" style="204" customWidth="1"/>
    <col min="6402" max="6402" width="3.54296875" style="204" customWidth="1"/>
    <col min="6403" max="6404" width="1.81640625" style="204" customWidth="1"/>
    <col min="6405" max="6405" width="4" style="204" customWidth="1"/>
    <col min="6406" max="6406" width="24.1796875" style="204" customWidth="1"/>
    <col min="6407" max="6407" width="1.81640625" style="204" customWidth="1"/>
    <col min="6408" max="6409" width="8.1796875" style="204" customWidth="1"/>
    <col min="6410" max="6656" width="7.08984375" style="204"/>
    <col min="6657" max="6657" width="10.1796875" style="204" customWidth="1"/>
    <col min="6658" max="6658" width="3.54296875" style="204" customWidth="1"/>
    <col min="6659" max="6660" width="1.81640625" style="204" customWidth="1"/>
    <col min="6661" max="6661" width="4" style="204" customWidth="1"/>
    <col min="6662" max="6662" width="24.1796875" style="204" customWidth="1"/>
    <col min="6663" max="6663" width="1.81640625" style="204" customWidth="1"/>
    <col min="6664" max="6665" width="8.1796875" style="204" customWidth="1"/>
    <col min="6666" max="6912" width="7.08984375" style="204"/>
    <col min="6913" max="6913" width="10.1796875" style="204" customWidth="1"/>
    <col min="6914" max="6914" width="3.54296875" style="204" customWidth="1"/>
    <col min="6915" max="6916" width="1.81640625" style="204" customWidth="1"/>
    <col min="6917" max="6917" width="4" style="204" customWidth="1"/>
    <col min="6918" max="6918" width="24.1796875" style="204" customWidth="1"/>
    <col min="6919" max="6919" width="1.81640625" style="204" customWidth="1"/>
    <col min="6920" max="6921" width="8.1796875" style="204" customWidth="1"/>
    <col min="6922" max="7168" width="7.08984375" style="204"/>
    <col min="7169" max="7169" width="10.1796875" style="204" customWidth="1"/>
    <col min="7170" max="7170" width="3.54296875" style="204" customWidth="1"/>
    <col min="7171" max="7172" width="1.81640625" style="204" customWidth="1"/>
    <col min="7173" max="7173" width="4" style="204" customWidth="1"/>
    <col min="7174" max="7174" width="24.1796875" style="204" customWidth="1"/>
    <col min="7175" max="7175" width="1.81640625" style="204" customWidth="1"/>
    <col min="7176" max="7177" width="8.1796875" style="204" customWidth="1"/>
    <col min="7178" max="7424" width="7.08984375" style="204"/>
    <col min="7425" max="7425" width="10.1796875" style="204" customWidth="1"/>
    <col min="7426" max="7426" width="3.54296875" style="204" customWidth="1"/>
    <col min="7427" max="7428" width="1.81640625" style="204" customWidth="1"/>
    <col min="7429" max="7429" width="4" style="204" customWidth="1"/>
    <col min="7430" max="7430" width="24.1796875" style="204" customWidth="1"/>
    <col min="7431" max="7431" width="1.81640625" style="204" customWidth="1"/>
    <col min="7432" max="7433" width="8.1796875" style="204" customWidth="1"/>
    <col min="7434" max="7680" width="7.08984375" style="204"/>
    <col min="7681" max="7681" width="10.1796875" style="204" customWidth="1"/>
    <col min="7682" max="7682" width="3.54296875" style="204" customWidth="1"/>
    <col min="7683" max="7684" width="1.81640625" style="204" customWidth="1"/>
    <col min="7685" max="7685" width="4" style="204" customWidth="1"/>
    <col min="7686" max="7686" width="24.1796875" style="204" customWidth="1"/>
    <col min="7687" max="7687" width="1.81640625" style="204" customWidth="1"/>
    <col min="7688" max="7689" width="8.1796875" style="204" customWidth="1"/>
    <col min="7690" max="7936" width="7.08984375" style="204"/>
    <col min="7937" max="7937" width="10.1796875" style="204" customWidth="1"/>
    <col min="7938" max="7938" width="3.54296875" style="204" customWidth="1"/>
    <col min="7939" max="7940" width="1.81640625" style="204" customWidth="1"/>
    <col min="7941" max="7941" width="4" style="204" customWidth="1"/>
    <col min="7942" max="7942" width="24.1796875" style="204" customWidth="1"/>
    <col min="7943" max="7943" width="1.81640625" style="204" customWidth="1"/>
    <col min="7944" max="7945" width="8.1796875" style="204" customWidth="1"/>
    <col min="7946" max="8192" width="7.08984375" style="204"/>
    <col min="8193" max="8193" width="10.1796875" style="204" customWidth="1"/>
    <col min="8194" max="8194" width="3.54296875" style="204" customWidth="1"/>
    <col min="8195" max="8196" width="1.81640625" style="204" customWidth="1"/>
    <col min="8197" max="8197" width="4" style="204" customWidth="1"/>
    <col min="8198" max="8198" width="24.1796875" style="204" customWidth="1"/>
    <col min="8199" max="8199" width="1.81640625" style="204" customWidth="1"/>
    <col min="8200" max="8201" width="8.1796875" style="204" customWidth="1"/>
    <col min="8202" max="8448" width="7.08984375" style="204"/>
    <col min="8449" max="8449" width="10.1796875" style="204" customWidth="1"/>
    <col min="8450" max="8450" width="3.54296875" style="204" customWidth="1"/>
    <col min="8451" max="8452" width="1.81640625" style="204" customWidth="1"/>
    <col min="8453" max="8453" width="4" style="204" customWidth="1"/>
    <col min="8454" max="8454" width="24.1796875" style="204" customWidth="1"/>
    <col min="8455" max="8455" width="1.81640625" style="204" customWidth="1"/>
    <col min="8456" max="8457" width="8.1796875" style="204" customWidth="1"/>
    <col min="8458" max="8704" width="7.08984375" style="204"/>
    <col min="8705" max="8705" width="10.1796875" style="204" customWidth="1"/>
    <col min="8706" max="8706" width="3.54296875" style="204" customWidth="1"/>
    <col min="8707" max="8708" width="1.81640625" style="204" customWidth="1"/>
    <col min="8709" max="8709" width="4" style="204" customWidth="1"/>
    <col min="8710" max="8710" width="24.1796875" style="204" customWidth="1"/>
    <col min="8711" max="8711" width="1.81640625" style="204" customWidth="1"/>
    <col min="8712" max="8713" width="8.1796875" style="204" customWidth="1"/>
    <col min="8714" max="8960" width="7.08984375" style="204"/>
    <col min="8961" max="8961" width="10.1796875" style="204" customWidth="1"/>
    <col min="8962" max="8962" width="3.54296875" style="204" customWidth="1"/>
    <col min="8963" max="8964" width="1.81640625" style="204" customWidth="1"/>
    <col min="8965" max="8965" width="4" style="204" customWidth="1"/>
    <col min="8966" max="8966" width="24.1796875" style="204" customWidth="1"/>
    <col min="8967" max="8967" width="1.81640625" style="204" customWidth="1"/>
    <col min="8968" max="8969" width="8.1796875" style="204" customWidth="1"/>
    <col min="8970" max="9216" width="7.08984375" style="204"/>
    <col min="9217" max="9217" width="10.1796875" style="204" customWidth="1"/>
    <col min="9218" max="9218" width="3.54296875" style="204" customWidth="1"/>
    <col min="9219" max="9220" width="1.81640625" style="204" customWidth="1"/>
    <col min="9221" max="9221" width="4" style="204" customWidth="1"/>
    <col min="9222" max="9222" width="24.1796875" style="204" customWidth="1"/>
    <col min="9223" max="9223" width="1.81640625" style="204" customWidth="1"/>
    <col min="9224" max="9225" width="8.1796875" style="204" customWidth="1"/>
    <col min="9226" max="9472" width="7.08984375" style="204"/>
    <col min="9473" max="9473" width="10.1796875" style="204" customWidth="1"/>
    <col min="9474" max="9474" width="3.54296875" style="204" customWidth="1"/>
    <col min="9475" max="9476" width="1.81640625" style="204" customWidth="1"/>
    <col min="9477" max="9477" width="4" style="204" customWidth="1"/>
    <col min="9478" max="9478" width="24.1796875" style="204" customWidth="1"/>
    <col min="9479" max="9479" width="1.81640625" style="204" customWidth="1"/>
    <col min="9480" max="9481" width="8.1796875" style="204" customWidth="1"/>
    <col min="9482" max="9728" width="7.08984375" style="204"/>
    <col min="9729" max="9729" width="10.1796875" style="204" customWidth="1"/>
    <col min="9730" max="9730" width="3.54296875" style="204" customWidth="1"/>
    <col min="9731" max="9732" width="1.81640625" style="204" customWidth="1"/>
    <col min="9733" max="9733" width="4" style="204" customWidth="1"/>
    <col min="9734" max="9734" width="24.1796875" style="204" customWidth="1"/>
    <col min="9735" max="9735" width="1.81640625" style="204" customWidth="1"/>
    <col min="9736" max="9737" width="8.1796875" style="204" customWidth="1"/>
    <col min="9738" max="9984" width="7.08984375" style="204"/>
    <col min="9985" max="9985" width="10.1796875" style="204" customWidth="1"/>
    <col min="9986" max="9986" width="3.54296875" style="204" customWidth="1"/>
    <col min="9987" max="9988" width="1.81640625" style="204" customWidth="1"/>
    <col min="9989" max="9989" width="4" style="204" customWidth="1"/>
    <col min="9990" max="9990" width="24.1796875" style="204" customWidth="1"/>
    <col min="9991" max="9991" width="1.81640625" style="204" customWidth="1"/>
    <col min="9992" max="9993" width="8.1796875" style="204" customWidth="1"/>
    <col min="9994" max="10240" width="7.08984375" style="204"/>
    <col min="10241" max="10241" width="10.1796875" style="204" customWidth="1"/>
    <col min="10242" max="10242" width="3.54296875" style="204" customWidth="1"/>
    <col min="10243" max="10244" width="1.81640625" style="204" customWidth="1"/>
    <col min="10245" max="10245" width="4" style="204" customWidth="1"/>
    <col min="10246" max="10246" width="24.1796875" style="204" customWidth="1"/>
    <col min="10247" max="10247" width="1.81640625" style="204" customWidth="1"/>
    <col min="10248" max="10249" width="8.1796875" style="204" customWidth="1"/>
    <col min="10250" max="10496" width="7.08984375" style="204"/>
    <col min="10497" max="10497" width="10.1796875" style="204" customWidth="1"/>
    <col min="10498" max="10498" width="3.54296875" style="204" customWidth="1"/>
    <col min="10499" max="10500" width="1.81640625" style="204" customWidth="1"/>
    <col min="10501" max="10501" width="4" style="204" customWidth="1"/>
    <col min="10502" max="10502" width="24.1796875" style="204" customWidth="1"/>
    <col min="10503" max="10503" width="1.81640625" style="204" customWidth="1"/>
    <col min="10504" max="10505" width="8.1796875" style="204" customWidth="1"/>
    <col min="10506" max="10752" width="7.08984375" style="204"/>
    <col min="10753" max="10753" width="10.1796875" style="204" customWidth="1"/>
    <col min="10754" max="10754" width="3.54296875" style="204" customWidth="1"/>
    <col min="10755" max="10756" width="1.81640625" style="204" customWidth="1"/>
    <col min="10757" max="10757" width="4" style="204" customWidth="1"/>
    <col min="10758" max="10758" width="24.1796875" style="204" customWidth="1"/>
    <col min="10759" max="10759" width="1.81640625" style="204" customWidth="1"/>
    <col min="10760" max="10761" width="8.1796875" style="204" customWidth="1"/>
    <col min="10762" max="11008" width="7.08984375" style="204"/>
    <col min="11009" max="11009" width="10.1796875" style="204" customWidth="1"/>
    <col min="11010" max="11010" width="3.54296875" style="204" customWidth="1"/>
    <col min="11011" max="11012" width="1.81640625" style="204" customWidth="1"/>
    <col min="11013" max="11013" width="4" style="204" customWidth="1"/>
    <col min="11014" max="11014" width="24.1796875" style="204" customWidth="1"/>
    <col min="11015" max="11015" width="1.81640625" style="204" customWidth="1"/>
    <col min="11016" max="11017" width="8.1796875" style="204" customWidth="1"/>
    <col min="11018" max="11264" width="7.08984375" style="204"/>
    <col min="11265" max="11265" width="10.1796875" style="204" customWidth="1"/>
    <col min="11266" max="11266" width="3.54296875" style="204" customWidth="1"/>
    <col min="11267" max="11268" width="1.81640625" style="204" customWidth="1"/>
    <col min="11269" max="11269" width="4" style="204" customWidth="1"/>
    <col min="11270" max="11270" width="24.1796875" style="204" customWidth="1"/>
    <col min="11271" max="11271" width="1.81640625" style="204" customWidth="1"/>
    <col min="11272" max="11273" width="8.1796875" style="204" customWidth="1"/>
    <col min="11274" max="11520" width="7.08984375" style="204"/>
    <col min="11521" max="11521" width="10.1796875" style="204" customWidth="1"/>
    <col min="11522" max="11522" width="3.54296875" style="204" customWidth="1"/>
    <col min="11523" max="11524" width="1.81640625" style="204" customWidth="1"/>
    <col min="11525" max="11525" width="4" style="204" customWidth="1"/>
    <col min="11526" max="11526" width="24.1796875" style="204" customWidth="1"/>
    <col min="11527" max="11527" width="1.81640625" style="204" customWidth="1"/>
    <col min="11528" max="11529" width="8.1796875" style="204" customWidth="1"/>
    <col min="11530" max="11776" width="7.08984375" style="204"/>
    <col min="11777" max="11777" width="10.1796875" style="204" customWidth="1"/>
    <col min="11778" max="11778" width="3.54296875" style="204" customWidth="1"/>
    <col min="11779" max="11780" width="1.81640625" style="204" customWidth="1"/>
    <col min="11781" max="11781" width="4" style="204" customWidth="1"/>
    <col min="11782" max="11782" width="24.1796875" style="204" customWidth="1"/>
    <col min="11783" max="11783" width="1.81640625" style="204" customWidth="1"/>
    <col min="11784" max="11785" width="8.1796875" style="204" customWidth="1"/>
    <col min="11786" max="12032" width="7.08984375" style="204"/>
    <col min="12033" max="12033" width="10.1796875" style="204" customWidth="1"/>
    <col min="12034" max="12034" width="3.54296875" style="204" customWidth="1"/>
    <col min="12035" max="12036" width="1.81640625" style="204" customWidth="1"/>
    <col min="12037" max="12037" width="4" style="204" customWidth="1"/>
    <col min="12038" max="12038" width="24.1796875" style="204" customWidth="1"/>
    <col min="12039" max="12039" width="1.81640625" style="204" customWidth="1"/>
    <col min="12040" max="12041" width="8.1796875" style="204" customWidth="1"/>
    <col min="12042" max="12288" width="7.08984375" style="204"/>
    <col min="12289" max="12289" width="10.1796875" style="204" customWidth="1"/>
    <col min="12290" max="12290" width="3.54296875" style="204" customWidth="1"/>
    <col min="12291" max="12292" width="1.81640625" style="204" customWidth="1"/>
    <col min="12293" max="12293" width="4" style="204" customWidth="1"/>
    <col min="12294" max="12294" width="24.1796875" style="204" customWidth="1"/>
    <col min="12295" max="12295" width="1.81640625" style="204" customWidth="1"/>
    <col min="12296" max="12297" width="8.1796875" style="204" customWidth="1"/>
    <col min="12298" max="12544" width="7.08984375" style="204"/>
    <col min="12545" max="12545" width="10.1796875" style="204" customWidth="1"/>
    <col min="12546" max="12546" width="3.54296875" style="204" customWidth="1"/>
    <col min="12547" max="12548" width="1.81640625" style="204" customWidth="1"/>
    <col min="12549" max="12549" width="4" style="204" customWidth="1"/>
    <col min="12550" max="12550" width="24.1796875" style="204" customWidth="1"/>
    <col min="12551" max="12551" width="1.81640625" style="204" customWidth="1"/>
    <col min="12552" max="12553" width="8.1796875" style="204" customWidth="1"/>
    <col min="12554" max="12800" width="7.08984375" style="204"/>
    <col min="12801" max="12801" width="10.1796875" style="204" customWidth="1"/>
    <col min="12802" max="12802" width="3.54296875" style="204" customWidth="1"/>
    <col min="12803" max="12804" width="1.81640625" style="204" customWidth="1"/>
    <col min="12805" max="12805" width="4" style="204" customWidth="1"/>
    <col min="12806" max="12806" width="24.1796875" style="204" customWidth="1"/>
    <col min="12807" max="12807" width="1.81640625" style="204" customWidth="1"/>
    <col min="12808" max="12809" width="8.1796875" style="204" customWidth="1"/>
    <col min="12810" max="13056" width="7.08984375" style="204"/>
    <col min="13057" max="13057" width="10.1796875" style="204" customWidth="1"/>
    <col min="13058" max="13058" width="3.54296875" style="204" customWidth="1"/>
    <col min="13059" max="13060" width="1.81640625" style="204" customWidth="1"/>
    <col min="13061" max="13061" width="4" style="204" customWidth="1"/>
    <col min="13062" max="13062" width="24.1796875" style="204" customWidth="1"/>
    <col min="13063" max="13063" width="1.81640625" style="204" customWidth="1"/>
    <col min="13064" max="13065" width="8.1796875" style="204" customWidth="1"/>
    <col min="13066" max="13312" width="7.08984375" style="204"/>
    <col min="13313" max="13313" width="10.1796875" style="204" customWidth="1"/>
    <col min="13314" max="13314" width="3.54296875" style="204" customWidth="1"/>
    <col min="13315" max="13316" width="1.81640625" style="204" customWidth="1"/>
    <col min="13317" max="13317" width="4" style="204" customWidth="1"/>
    <col min="13318" max="13318" width="24.1796875" style="204" customWidth="1"/>
    <col min="13319" max="13319" width="1.81640625" style="204" customWidth="1"/>
    <col min="13320" max="13321" width="8.1796875" style="204" customWidth="1"/>
    <col min="13322" max="13568" width="7.08984375" style="204"/>
    <col min="13569" max="13569" width="10.1796875" style="204" customWidth="1"/>
    <col min="13570" max="13570" width="3.54296875" style="204" customWidth="1"/>
    <col min="13571" max="13572" width="1.81640625" style="204" customWidth="1"/>
    <col min="13573" max="13573" width="4" style="204" customWidth="1"/>
    <col min="13574" max="13574" width="24.1796875" style="204" customWidth="1"/>
    <col min="13575" max="13575" width="1.81640625" style="204" customWidth="1"/>
    <col min="13576" max="13577" width="8.1796875" style="204" customWidth="1"/>
    <col min="13578" max="13824" width="7.08984375" style="204"/>
    <col min="13825" max="13825" width="10.1796875" style="204" customWidth="1"/>
    <col min="13826" max="13826" width="3.54296875" style="204" customWidth="1"/>
    <col min="13827" max="13828" width="1.81640625" style="204" customWidth="1"/>
    <col min="13829" max="13829" width="4" style="204" customWidth="1"/>
    <col min="13830" max="13830" width="24.1796875" style="204" customWidth="1"/>
    <col min="13831" max="13831" width="1.81640625" style="204" customWidth="1"/>
    <col min="13832" max="13833" width="8.1796875" style="204" customWidth="1"/>
    <col min="13834" max="14080" width="7.08984375" style="204"/>
    <col min="14081" max="14081" width="10.1796875" style="204" customWidth="1"/>
    <col min="14082" max="14082" width="3.54296875" style="204" customWidth="1"/>
    <col min="14083" max="14084" width="1.81640625" style="204" customWidth="1"/>
    <col min="14085" max="14085" width="4" style="204" customWidth="1"/>
    <col min="14086" max="14086" width="24.1796875" style="204" customWidth="1"/>
    <col min="14087" max="14087" width="1.81640625" style="204" customWidth="1"/>
    <col min="14088" max="14089" width="8.1796875" style="204" customWidth="1"/>
    <col min="14090" max="14336" width="7.08984375" style="204"/>
    <col min="14337" max="14337" width="10.1796875" style="204" customWidth="1"/>
    <col min="14338" max="14338" width="3.54296875" style="204" customWidth="1"/>
    <col min="14339" max="14340" width="1.81640625" style="204" customWidth="1"/>
    <col min="14341" max="14341" width="4" style="204" customWidth="1"/>
    <col min="14342" max="14342" width="24.1796875" style="204" customWidth="1"/>
    <col min="14343" max="14343" width="1.81640625" style="204" customWidth="1"/>
    <col min="14344" max="14345" width="8.1796875" style="204" customWidth="1"/>
    <col min="14346" max="14592" width="7.08984375" style="204"/>
    <col min="14593" max="14593" width="10.1796875" style="204" customWidth="1"/>
    <col min="14594" max="14594" width="3.54296875" style="204" customWidth="1"/>
    <col min="14595" max="14596" width="1.81640625" style="204" customWidth="1"/>
    <col min="14597" max="14597" width="4" style="204" customWidth="1"/>
    <col min="14598" max="14598" width="24.1796875" style="204" customWidth="1"/>
    <col min="14599" max="14599" width="1.81640625" style="204" customWidth="1"/>
    <col min="14600" max="14601" width="8.1796875" style="204" customWidth="1"/>
    <col min="14602" max="14848" width="7.08984375" style="204"/>
    <col min="14849" max="14849" width="10.1796875" style="204" customWidth="1"/>
    <col min="14850" max="14850" width="3.54296875" style="204" customWidth="1"/>
    <col min="14851" max="14852" width="1.81640625" style="204" customWidth="1"/>
    <col min="14853" max="14853" width="4" style="204" customWidth="1"/>
    <col min="14854" max="14854" width="24.1796875" style="204" customWidth="1"/>
    <col min="14855" max="14855" width="1.81640625" style="204" customWidth="1"/>
    <col min="14856" max="14857" width="8.1796875" style="204" customWidth="1"/>
    <col min="14858" max="15104" width="7.08984375" style="204"/>
    <col min="15105" max="15105" width="10.1796875" style="204" customWidth="1"/>
    <col min="15106" max="15106" width="3.54296875" style="204" customWidth="1"/>
    <col min="15107" max="15108" width="1.81640625" style="204" customWidth="1"/>
    <col min="15109" max="15109" width="4" style="204" customWidth="1"/>
    <col min="15110" max="15110" width="24.1796875" style="204" customWidth="1"/>
    <col min="15111" max="15111" width="1.81640625" style="204" customWidth="1"/>
    <col min="15112" max="15113" width="8.1796875" style="204" customWidth="1"/>
    <col min="15114" max="15360" width="7.08984375" style="204"/>
    <col min="15361" max="15361" width="10.1796875" style="204" customWidth="1"/>
    <col min="15362" max="15362" width="3.54296875" style="204" customWidth="1"/>
    <col min="15363" max="15364" width="1.81640625" style="204" customWidth="1"/>
    <col min="15365" max="15365" width="4" style="204" customWidth="1"/>
    <col min="15366" max="15366" width="24.1796875" style="204" customWidth="1"/>
    <col min="15367" max="15367" width="1.81640625" style="204" customWidth="1"/>
    <col min="15368" max="15369" width="8.1796875" style="204" customWidth="1"/>
    <col min="15370" max="15616" width="7.08984375" style="204"/>
    <col min="15617" max="15617" width="10.1796875" style="204" customWidth="1"/>
    <col min="15618" max="15618" width="3.54296875" style="204" customWidth="1"/>
    <col min="15619" max="15620" width="1.81640625" style="204" customWidth="1"/>
    <col min="15621" max="15621" width="4" style="204" customWidth="1"/>
    <col min="15622" max="15622" width="24.1796875" style="204" customWidth="1"/>
    <col min="15623" max="15623" width="1.81640625" style="204" customWidth="1"/>
    <col min="15624" max="15625" width="8.1796875" style="204" customWidth="1"/>
    <col min="15626" max="15872" width="7.08984375" style="204"/>
    <col min="15873" max="15873" width="10.1796875" style="204" customWidth="1"/>
    <col min="15874" max="15874" width="3.54296875" style="204" customWidth="1"/>
    <col min="15875" max="15876" width="1.81640625" style="204" customWidth="1"/>
    <col min="15877" max="15877" width="4" style="204" customWidth="1"/>
    <col min="15878" max="15878" width="24.1796875" style="204" customWidth="1"/>
    <col min="15879" max="15879" width="1.81640625" style="204" customWidth="1"/>
    <col min="15880" max="15881" width="8.1796875" style="204" customWidth="1"/>
    <col min="15882" max="16128" width="7.08984375" style="204"/>
    <col min="16129" max="16129" width="10.1796875" style="204" customWidth="1"/>
    <col min="16130" max="16130" width="3.54296875" style="204" customWidth="1"/>
    <col min="16131" max="16132" width="1.81640625" style="204" customWidth="1"/>
    <col min="16133" max="16133" width="4" style="204" customWidth="1"/>
    <col min="16134" max="16134" width="24.1796875" style="204" customWidth="1"/>
    <col min="16135" max="16135" width="1.81640625" style="204" customWidth="1"/>
    <col min="16136" max="16137" width="8.1796875" style="204" customWidth="1"/>
    <col min="16138" max="16384" width="7.08984375" style="204"/>
  </cols>
  <sheetData>
    <row r="1" spans="1:8" ht="14.25" customHeight="1">
      <c r="A1" s="887" t="s">
        <v>534</v>
      </c>
      <c r="B1" s="887"/>
      <c r="C1" s="887"/>
      <c r="D1" s="887"/>
      <c r="E1" s="887"/>
      <c r="F1" s="887"/>
      <c r="G1" s="887"/>
      <c r="H1" s="887"/>
    </row>
    <row r="2" spans="1:8">
      <c r="A2" s="887" t="s">
        <v>151</v>
      </c>
      <c r="B2" s="887"/>
      <c r="C2" s="887"/>
      <c r="D2" s="887"/>
      <c r="E2" s="887"/>
      <c r="F2" s="887"/>
      <c r="G2" s="887"/>
      <c r="H2" s="887"/>
    </row>
    <row r="3" spans="1:8">
      <c r="A3" s="888" t="str">
        <f>'Act Att-H'!C7</f>
        <v>Cheyenne Light, Fuel &amp; Power</v>
      </c>
      <c r="B3" s="888"/>
      <c r="C3" s="888"/>
      <c r="D3" s="888"/>
      <c r="E3" s="888"/>
      <c r="F3" s="888"/>
      <c r="G3" s="888"/>
      <c r="H3" s="888"/>
    </row>
    <row r="4" spans="1:8">
      <c r="F4" s="2"/>
      <c r="H4" s="306" t="s">
        <v>672</v>
      </c>
    </row>
    <row r="5" spans="1:8">
      <c r="A5" s="887"/>
      <c r="B5" s="887"/>
      <c r="C5" s="887"/>
      <c r="D5" s="887"/>
      <c r="E5" s="887"/>
      <c r="F5" s="887"/>
      <c r="G5" s="887"/>
      <c r="H5" s="887"/>
    </row>
    <row r="6" spans="1:8">
      <c r="B6" s="206" t="s">
        <v>4</v>
      </c>
      <c r="H6" s="204"/>
    </row>
    <row r="7" spans="1:8">
      <c r="B7" s="209" t="s">
        <v>6</v>
      </c>
      <c r="D7" s="225" t="s">
        <v>140</v>
      </c>
      <c r="E7" s="225"/>
      <c r="F7" s="225"/>
      <c r="H7" s="708" t="s">
        <v>152</v>
      </c>
    </row>
    <row r="8" spans="1:8">
      <c r="B8" s="206">
        <v>1</v>
      </c>
    </row>
    <row r="9" spans="1:8">
      <c r="B9" s="206">
        <v>2</v>
      </c>
      <c r="D9" s="216" t="s">
        <v>1050</v>
      </c>
      <c r="E9" s="216"/>
    </row>
    <row r="10" spans="1:8">
      <c r="B10" s="206">
        <v>3</v>
      </c>
      <c r="E10" s="709">
        <v>350.03</v>
      </c>
      <c r="F10" s="227" t="s">
        <v>676</v>
      </c>
      <c r="H10" s="307">
        <v>1.0800000000000001E-2</v>
      </c>
    </row>
    <row r="11" spans="1:8">
      <c r="B11" s="206">
        <v>4</v>
      </c>
      <c r="E11" s="709">
        <v>352</v>
      </c>
      <c r="F11" s="204" t="s">
        <v>677</v>
      </c>
      <c r="H11" s="307">
        <v>1.04E-2</v>
      </c>
    </row>
    <row r="12" spans="1:8">
      <c r="B12" s="206">
        <v>5</v>
      </c>
      <c r="E12" s="709">
        <v>352.05</v>
      </c>
      <c r="F12" s="204" t="s">
        <v>678</v>
      </c>
      <c r="H12" s="307">
        <v>1.83E-2</v>
      </c>
    </row>
    <row r="13" spans="1:8">
      <c r="B13" s="206">
        <v>6</v>
      </c>
      <c r="E13" s="709">
        <v>353</v>
      </c>
      <c r="F13" s="204" t="s">
        <v>679</v>
      </c>
      <c r="H13" s="307">
        <v>2.1100000000000001E-2</v>
      </c>
    </row>
    <row r="14" spans="1:8">
      <c r="B14" s="206">
        <v>7</v>
      </c>
      <c r="E14" s="709">
        <v>354</v>
      </c>
      <c r="F14" s="204" t="s">
        <v>680</v>
      </c>
      <c r="H14" s="307">
        <v>1.2200000000000001E-2</v>
      </c>
    </row>
    <row r="15" spans="1:8">
      <c r="B15" s="206">
        <v>8</v>
      </c>
      <c r="E15" s="709">
        <v>355</v>
      </c>
      <c r="F15" s="227" t="s">
        <v>681</v>
      </c>
      <c r="H15" s="307">
        <v>2.7699999999999999E-2</v>
      </c>
    </row>
    <row r="16" spans="1:8">
      <c r="B16" s="206">
        <v>9</v>
      </c>
      <c r="E16" s="709">
        <v>356</v>
      </c>
      <c r="F16" s="204" t="s">
        <v>682</v>
      </c>
      <c r="H16" s="307">
        <v>1.95E-2</v>
      </c>
    </row>
    <row r="17" spans="2:8">
      <c r="B17" s="206">
        <v>10</v>
      </c>
      <c r="F17" s="309" t="s">
        <v>683</v>
      </c>
      <c r="H17" s="310">
        <v>0.02</v>
      </c>
    </row>
    <row r="18" spans="2:8">
      <c r="B18" s="206">
        <v>11</v>
      </c>
      <c r="H18" s="678"/>
    </row>
    <row r="19" spans="2:8">
      <c r="B19" s="206">
        <v>12</v>
      </c>
      <c r="D19" s="216" t="s">
        <v>1140</v>
      </c>
      <c r="H19" s="308"/>
    </row>
    <row r="20" spans="2:8">
      <c r="B20" s="206">
        <v>13</v>
      </c>
      <c r="E20" s="709">
        <v>390.01</v>
      </c>
      <c r="F20" s="227" t="s">
        <v>1103</v>
      </c>
      <c r="H20" s="307">
        <v>2.12E-2</v>
      </c>
    </row>
    <row r="21" spans="2:8">
      <c r="B21" s="206">
        <v>14</v>
      </c>
      <c r="E21" s="709">
        <v>391.01</v>
      </c>
      <c r="F21" s="204" t="s">
        <v>1104</v>
      </c>
      <c r="H21" s="307">
        <v>5.0999999999999997E-2</v>
      </c>
    </row>
    <row r="22" spans="2:8">
      <c r="B22" s="206">
        <v>15</v>
      </c>
      <c r="E22" s="709">
        <v>391.03</v>
      </c>
      <c r="F22" s="204" t="s">
        <v>1105</v>
      </c>
      <c r="H22" s="307">
        <v>0.18629999999999999</v>
      </c>
    </row>
    <row r="23" spans="2:8">
      <c r="B23" s="206">
        <v>16</v>
      </c>
      <c r="E23" s="709">
        <v>391.04</v>
      </c>
      <c r="F23" s="204" t="s">
        <v>1106</v>
      </c>
      <c r="H23" s="307">
        <v>0.13320000000000001</v>
      </c>
    </row>
    <row r="24" spans="2:8">
      <c r="B24" s="206">
        <v>17</v>
      </c>
      <c r="E24" s="710">
        <v>392</v>
      </c>
      <c r="F24" s="204" t="s">
        <v>1107</v>
      </c>
      <c r="H24" s="307">
        <v>6.08E-2</v>
      </c>
    </row>
    <row r="25" spans="2:8">
      <c r="B25" s="206">
        <v>18</v>
      </c>
      <c r="E25" s="709">
        <v>393</v>
      </c>
      <c r="F25" s="204" t="s">
        <v>1108</v>
      </c>
      <c r="H25" s="307">
        <v>5.0200000000000002E-2</v>
      </c>
    </row>
    <row r="26" spans="2:8">
      <c r="B26" s="206">
        <v>19</v>
      </c>
      <c r="E26" s="709">
        <v>394</v>
      </c>
      <c r="F26" s="204" t="s">
        <v>1109</v>
      </c>
      <c r="H26" s="307">
        <v>3.5099999999999999E-2</v>
      </c>
    </row>
    <row r="27" spans="2:8">
      <c r="B27" s="206">
        <v>20</v>
      </c>
      <c r="E27" s="709">
        <v>395</v>
      </c>
      <c r="F27" s="204" t="s">
        <v>1110</v>
      </c>
      <c r="H27" s="307">
        <v>2.7E-2</v>
      </c>
    </row>
    <row r="28" spans="2:8">
      <c r="B28" s="206">
        <v>21</v>
      </c>
      <c r="E28" s="709">
        <v>396</v>
      </c>
      <c r="F28" s="204" t="s">
        <v>1123</v>
      </c>
      <c r="H28" s="307">
        <v>5.5300000000000002E-2</v>
      </c>
    </row>
    <row r="29" spans="2:8">
      <c r="B29" s="206">
        <v>22</v>
      </c>
      <c r="E29" s="709">
        <v>397</v>
      </c>
      <c r="F29" s="204" t="s">
        <v>1124</v>
      </c>
      <c r="H29" s="307">
        <v>6.9599999999999995E-2</v>
      </c>
    </row>
    <row r="30" spans="2:8">
      <c r="B30" s="206">
        <v>23</v>
      </c>
      <c r="F30" s="309" t="s">
        <v>1111</v>
      </c>
      <c r="H30" s="711">
        <v>7.2599999999999998E-2</v>
      </c>
    </row>
    <row r="31" spans="2:8">
      <c r="B31" s="206">
        <v>24</v>
      </c>
      <c r="H31" s="678"/>
    </row>
    <row r="32" spans="2:8">
      <c r="B32" s="206">
        <v>25</v>
      </c>
      <c r="D32" s="216" t="s">
        <v>1141</v>
      </c>
      <c r="H32" s="308"/>
    </row>
    <row r="33" spans="2:8">
      <c r="B33" s="206">
        <v>26</v>
      </c>
      <c r="E33" s="709">
        <v>390.01</v>
      </c>
      <c r="F33" s="227" t="s">
        <v>1103</v>
      </c>
      <c r="H33" s="307">
        <v>1.12E-2</v>
      </c>
    </row>
    <row r="34" spans="2:8">
      <c r="B34" s="206">
        <v>27</v>
      </c>
      <c r="E34" s="709">
        <v>390.05</v>
      </c>
      <c r="F34" s="227" t="s">
        <v>1142</v>
      </c>
      <c r="H34" s="307">
        <v>1.38E-2</v>
      </c>
    </row>
    <row r="35" spans="2:8">
      <c r="B35" s="206">
        <v>28</v>
      </c>
      <c r="E35" s="709">
        <v>391.01</v>
      </c>
      <c r="F35" s="204" t="s">
        <v>1104</v>
      </c>
      <c r="H35" s="307">
        <v>3.4599999999999999E-2</v>
      </c>
    </row>
    <row r="36" spans="2:8">
      <c r="B36" s="206">
        <v>29</v>
      </c>
      <c r="E36" s="709">
        <v>391.03</v>
      </c>
      <c r="F36" s="204" t="s">
        <v>1105</v>
      </c>
      <c r="H36" s="307">
        <v>0.16400000000000001</v>
      </c>
    </row>
    <row r="37" spans="2:8">
      <c r="B37" s="206">
        <v>30</v>
      </c>
      <c r="E37" s="709">
        <v>391.04</v>
      </c>
      <c r="F37" s="204" t="s">
        <v>1106</v>
      </c>
      <c r="H37" s="307">
        <v>0</v>
      </c>
    </row>
    <row r="38" spans="2:8">
      <c r="B38" s="206">
        <v>31</v>
      </c>
      <c r="E38" s="709">
        <v>391.05</v>
      </c>
      <c r="F38" s="204" t="s">
        <v>1143</v>
      </c>
      <c r="H38" s="307">
        <v>0.1464</v>
      </c>
    </row>
    <row r="39" spans="2:8">
      <c r="B39" s="206">
        <v>32</v>
      </c>
      <c r="E39" s="710">
        <v>392</v>
      </c>
      <c r="F39" s="204" t="s">
        <v>1107</v>
      </c>
      <c r="H39" s="307">
        <v>7.8899999999999998E-2</v>
      </c>
    </row>
    <row r="40" spans="2:8">
      <c r="B40" s="206">
        <v>33</v>
      </c>
      <c r="E40" s="709">
        <v>393</v>
      </c>
      <c r="F40" s="204" t="s">
        <v>1108</v>
      </c>
      <c r="H40" s="307">
        <v>4.8500000000000001E-2</v>
      </c>
    </row>
    <row r="41" spans="2:8">
      <c r="B41" s="206">
        <v>34</v>
      </c>
      <c r="E41" s="709">
        <v>394</v>
      </c>
      <c r="F41" s="204" t="s">
        <v>1109</v>
      </c>
      <c r="H41" s="307">
        <v>3.4099999999999998E-2</v>
      </c>
    </row>
    <row r="42" spans="2:8">
      <c r="B42" s="206">
        <v>35</v>
      </c>
      <c r="E42" s="709">
        <v>395</v>
      </c>
      <c r="F42" s="204" t="s">
        <v>1110</v>
      </c>
      <c r="H42" s="307">
        <v>3.9699999999999999E-2</v>
      </c>
    </row>
    <row r="43" spans="2:8">
      <c r="B43" s="206">
        <v>36</v>
      </c>
      <c r="E43" s="709">
        <v>396</v>
      </c>
      <c r="F43" s="204" t="s">
        <v>1123</v>
      </c>
      <c r="H43" s="307">
        <v>4.6699999999999998E-2</v>
      </c>
    </row>
    <row r="44" spans="2:8">
      <c r="B44" s="206">
        <v>37</v>
      </c>
      <c r="E44" s="709">
        <v>397</v>
      </c>
      <c r="F44" s="204" t="s">
        <v>1124</v>
      </c>
      <c r="H44" s="307">
        <v>1.83E-2</v>
      </c>
    </row>
    <row r="45" spans="2:8">
      <c r="B45" s="206">
        <v>38</v>
      </c>
      <c r="E45" s="709">
        <v>397.01</v>
      </c>
      <c r="F45" s="204" t="s">
        <v>1144</v>
      </c>
      <c r="H45" s="307">
        <v>5.0200000000000002E-2</v>
      </c>
    </row>
    <row r="46" spans="2:8">
      <c r="B46" s="206">
        <v>39</v>
      </c>
      <c r="E46" s="709">
        <v>398</v>
      </c>
      <c r="F46" s="204" t="s">
        <v>1121</v>
      </c>
      <c r="H46" s="307">
        <v>3.0300000000000001E-2</v>
      </c>
    </row>
    <row r="47" spans="2:8">
      <c r="B47" s="206">
        <v>40</v>
      </c>
      <c r="F47" s="309" t="s">
        <v>1111</v>
      </c>
      <c r="H47" s="711">
        <v>3.0300000000000001E-2</v>
      </c>
    </row>
    <row r="48" spans="2:8">
      <c r="B48" s="206">
        <v>41</v>
      </c>
      <c r="D48" s="216" t="s">
        <v>1112</v>
      </c>
      <c r="H48" s="678"/>
    </row>
    <row r="49" spans="2:8">
      <c r="B49" s="206">
        <v>42</v>
      </c>
      <c r="E49" s="709">
        <v>301</v>
      </c>
      <c r="F49" s="227" t="s">
        <v>1114</v>
      </c>
      <c r="H49" s="678">
        <v>0.04</v>
      </c>
    </row>
    <row r="50" spans="2:8">
      <c r="B50" s="206">
        <v>43</v>
      </c>
      <c r="E50" s="709">
        <v>302</v>
      </c>
      <c r="F50" s="227" t="s">
        <v>1115</v>
      </c>
      <c r="H50" s="678">
        <v>0.04</v>
      </c>
    </row>
    <row r="51" spans="2:8">
      <c r="B51" s="206">
        <v>44</v>
      </c>
      <c r="E51" s="709">
        <v>303</v>
      </c>
      <c r="F51" s="227" t="s">
        <v>1113</v>
      </c>
      <c r="H51" s="678">
        <v>0.04</v>
      </c>
    </row>
    <row r="52" spans="2:8">
      <c r="B52" s="206">
        <v>45</v>
      </c>
      <c r="F52" s="309" t="s">
        <v>1116</v>
      </c>
      <c r="H52" s="310">
        <v>0.04</v>
      </c>
    </row>
    <row r="53" spans="2:8">
      <c r="B53" s="206">
        <v>46</v>
      </c>
      <c r="H53" s="678"/>
    </row>
    <row r="54" spans="2:8">
      <c r="B54" s="206">
        <v>47</v>
      </c>
      <c r="D54" s="216" t="s">
        <v>1132</v>
      </c>
      <c r="H54" s="678"/>
    </row>
    <row r="55" spans="2:8">
      <c r="B55" s="206">
        <v>48</v>
      </c>
      <c r="E55" s="216" t="s">
        <v>1119</v>
      </c>
      <c r="H55" s="678"/>
    </row>
    <row r="56" spans="2:8">
      <c r="B56" s="206">
        <v>49</v>
      </c>
      <c r="E56" s="709">
        <v>390.01</v>
      </c>
      <c r="F56" s="227" t="s">
        <v>1103</v>
      </c>
      <c r="H56" s="678">
        <v>1.9900000000000001E-2</v>
      </c>
    </row>
    <row r="57" spans="2:8">
      <c r="B57" s="206">
        <v>50</v>
      </c>
      <c r="E57" s="709">
        <v>391</v>
      </c>
      <c r="F57" s="204" t="s">
        <v>1104</v>
      </c>
      <c r="H57" s="678">
        <v>0.1245</v>
      </c>
    </row>
    <row r="58" spans="2:8">
      <c r="B58" s="206">
        <v>51</v>
      </c>
      <c r="E58" s="710">
        <v>392</v>
      </c>
      <c r="F58" s="204" t="s">
        <v>1107</v>
      </c>
      <c r="H58" s="678">
        <v>8.6400000000000005E-2</v>
      </c>
    </row>
    <row r="59" spans="2:8">
      <c r="B59" s="206">
        <v>52</v>
      </c>
      <c r="E59" s="709">
        <v>395</v>
      </c>
      <c r="F59" s="204" t="s">
        <v>1110</v>
      </c>
      <c r="H59" s="678">
        <v>0.05</v>
      </c>
    </row>
    <row r="60" spans="2:8">
      <c r="B60" s="206">
        <v>53</v>
      </c>
      <c r="E60" s="709">
        <v>397</v>
      </c>
      <c r="F60" s="204" t="s">
        <v>1117</v>
      </c>
      <c r="H60" s="678">
        <v>6.6699999999999995E-2</v>
      </c>
    </row>
    <row r="61" spans="2:8">
      <c r="B61" s="206">
        <v>54</v>
      </c>
      <c r="E61" s="709">
        <v>397.1</v>
      </c>
      <c r="F61" s="204" t="s">
        <v>1118</v>
      </c>
      <c r="H61" s="678">
        <v>0.04</v>
      </c>
    </row>
    <row r="62" spans="2:8">
      <c r="B62" s="206">
        <v>55</v>
      </c>
      <c r="F62" s="309" t="s">
        <v>1111</v>
      </c>
      <c r="H62" s="711">
        <v>0.1206</v>
      </c>
    </row>
    <row r="63" spans="2:8">
      <c r="B63" s="206">
        <v>56</v>
      </c>
      <c r="H63" s="712"/>
    </row>
    <row r="64" spans="2:8">
      <c r="B64" s="206">
        <v>57</v>
      </c>
      <c r="E64" s="216" t="s">
        <v>1120</v>
      </c>
      <c r="H64" s="712"/>
    </row>
    <row r="65" spans="2:8">
      <c r="B65" s="206">
        <v>58</v>
      </c>
      <c r="E65" s="709">
        <v>390.01</v>
      </c>
      <c r="F65" s="227" t="s">
        <v>1147</v>
      </c>
      <c r="H65" s="712">
        <v>2.2499999999999999E-2</v>
      </c>
    </row>
    <row r="66" spans="2:8">
      <c r="B66" s="206">
        <v>59</v>
      </c>
      <c r="E66" s="709">
        <v>391</v>
      </c>
      <c r="F66" s="204" t="s">
        <v>1104</v>
      </c>
      <c r="H66" s="712">
        <v>8.1100000000000005E-2</v>
      </c>
    </row>
    <row r="67" spans="2:8">
      <c r="B67" s="206">
        <v>60</v>
      </c>
      <c r="E67" s="709">
        <v>392</v>
      </c>
      <c r="F67" s="204" t="s">
        <v>1146</v>
      </c>
      <c r="H67" s="712">
        <v>9.8299999999999998E-2</v>
      </c>
    </row>
    <row r="68" spans="2:8">
      <c r="B68" s="206">
        <v>61</v>
      </c>
      <c r="E68" s="709">
        <v>394</v>
      </c>
      <c r="F68" s="204" t="s">
        <v>1109</v>
      </c>
      <c r="H68" s="712">
        <v>0.04</v>
      </c>
    </row>
    <row r="69" spans="2:8">
      <c r="B69" s="206">
        <v>62</v>
      </c>
      <c r="E69" s="709">
        <v>397</v>
      </c>
      <c r="F69" s="204" t="s">
        <v>1122</v>
      </c>
      <c r="H69" s="712">
        <v>6.6699999999999995E-2</v>
      </c>
    </row>
    <row r="70" spans="2:8">
      <c r="B70" s="206">
        <v>63</v>
      </c>
      <c r="E70" s="709">
        <v>398</v>
      </c>
      <c r="F70" s="204" t="s">
        <v>1121</v>
      </c>
      <c r="H70" s="712">
        <v>0.05</v>
      </c>
    </row>
    <row r="71" spans="2:8">
      <c r="B71" s="206">
        <v>64</v>
      </c>
      <c r="F71" s="309" t="s">
        <v>1111</v>
      </c>
      <c r="H71" s="711">
        <v>7.9399999999999998E-2</v>
      </c>
    </row>
    <row r="72" spans="2:8">
      <c r="B72" s="206"/>
      <c r="H72" s="678"/>
    </row>
    <row r="73" spans="2:8" ht="16.350000000000001" customHeight="1">
      <c r="B73" s="381" t="s">
        <v>174</v>
      </c>
      <c r="D73" s="216"/>
      <c r="H73" s="308"/>
    </row>
    <row r="74" spans="2:8" ht="27.75" customHeight="1">
      <c r="B74" s="421" t="s">
        <v>79</v>
      </c>
      <c r="C74" s="914" t="s">
        <v>1145</v>
      </c>
      <c r="D74" s="914"/>
      <c r="E74" s="914"/>
      <c r="F74" s="914"/>
      <c r="G74" s="914"/>
      <c r="H74" s="914"/>
    </row>
    <row r="75" spans="2:8" ht="16.350000000000001" customHeight="1">
      <c r="B75" s="206"/>
      <c r="D75" s="216"/>
      <c r="H75" s="308"/>
    </row>
    <row r="76" spans="2:8" ht="16.350000000000001" customHeight="1">
      <c r="B76" s="206"/>
      <c r="D76" s="216"/>
      <c r="H76" s="308"/>
    </row>
    <row r="77" spans="2:8" ht="16.350000000000001" customHeight="1">
      <c r="B77" s="206"/>
      <c r="D77" s="216"/>
      <c r="H77" s="308"/>
    </row>
    <row r="78" spans="2:8" ht="16.350000000000001" customHeight="1">
      <c r="B78" s="206"/>
      <c r="D78" s="216"/>
      <c r="H78" s="308"/>
    </row>
    <row r="79" spans="2:8" ht="16.350000000000001" customHeight="1">
      <c r="B79" s="206"/>
      <c r="D79" s="216"/>
      <c r="H79" s="308"/>
    </row>
    <row r="80" spans="2:8" ht="16.350000000000001" customHeight="1">
      <c r="B80" s="206"/>
      <c r="D80" s="216"/>
      <c r="H80" s="308"/>
    </row>
    <row r="81" spans="2:8" ht="16.350000000000001" customHeight="1">
      <c r="B81" s="206"/>
      <c r="D81" s="216"/>
      <c r="H81" s="308"/>
    </row>
    <row r="82" spans="2:8" ht="16.350000000000001" customHeight="1">
      <c r="B82" s="206"/>
      <c r="D82" s="216"/>
      <c r="H82" s="308"/>
    </row>
    <row r="83" spans="2:8" ht="16.350000000000001" customHeight="1">
      <c r="B83" s="206"/>
      <c r="D83" s="216"/>
      <c r="H83" s="308"/>
    </row>
    <row r="84" spans="2:8" ht="16.350000000000001" customHeight="1">
      <c r="B84" s="206"/>
      <c r="D84" s="216"/>
      <c r="H84" s="308"/>
    </row>
    <row r="85" spans="2:8" ht="16.350000000000001" customHeight="1"/>
    <row r="86" spans="2:8" ht="16.350000000000001" customHeight="1"/>
    <row r="87" spans="2:8" ht="16.350000000000001" customHeight="1"/>
    <row r="88" spans="2:8" ht="16.350000000000001" customHeight="1"/>
  </sheetData>
  <mergeCells count="5">
    <mergeCell ref="C74:H74"/>
    <mergeCell ref="A5:H5"/>
    <mergeCell ref="A1:H1"/>
    <mergeCell ref="A2:H2"/>
    <mergeCell ref="A3:H3"/>
  </mergeCells>
  <printOptions horizontalCentered="1"/>
  <pageMargins left="0.75" right="0.75" top="0.5" bottom="0.25" header="0.5" footer="0.5"/>
  <pageSetup scale="7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5671AD7149A142A67B4D251EBF93DA" ma:contentTypeVersion="3" ma:contentTypeDescription="Create a new document." ma:contentTypeScope="" ma:versionID="5c24158536cf856e99118cb5d27fcbf7">
  <xsd:schema xmlns:xsd="http://www.w3.org/2001/XMLSchema" xmlns:xs="http://www.w3.org/2001/XMLSchema" xmlns:p="http://schemas.microsoft.com/office/2006/metadata/properties" xmlns:ns2="30389486-73b9-4900-971f-f1a96f3c3561" targetNamespace="http://schemas.microsoft.com/office/2006/metadata/properties" ma:root="true" ma:fieldsID="3d1b667c286006d1750e00decedd2b85" ns2:_="">
    <xsd:import namespace="30389486-73b9-4900-971f-f1a96f3c3561"/>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89486-73b9-4900-971f-f1a96f3c3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94AC57-C072-4CE2-A0D7-8CC2471AED84}"/>
</file>

<file path=customXml/itemProps2.xml><?xml version="1.0" encoding="utf-8"?>
<ds:datastoreItem xmlns:ds="http://schemas.openxmlformats.org/officeDocument/2006/customXml" ds:itemID="{6D6C6F1D-5E17-4346-97EB-D73BE5E60D92}"/>
</file>

<file path=customXml/itemProps3.xml><?xml version="1.0" encoding="utf-8"?>
<ds:datastoreItem xmlns:ds="http://schemas.openxmlformats.org/officeDocument/2006/customXml" ds:itemID="{0D007618-D3C2-4047-8A9B-7E059BC915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Table of Contents</vt:lpstr>
      <vt:lpstr>Act Att-H</vt:lpstr>
      <vt:lpstr>A1-RevCred</vt:lpstr>
      <vt:lpstr>A2-A&amp;G</vt:lpstr>
      <vt:lpstr>A3-ADIT</vt:lpstr>
      <vt:lpstr>A3.1-EDIT-DDIT</vt:lpstr>
      <vt:lpstr>A3.2 EDIT-DDIT.dtl</vt:lpstr>
      <vt:lpstr>A4-Rate Base</vt:lpstr>
      <vt:lpstr>A5-Depr</vt:lpstr>
      <vt:lpstr>A6-Divisor</vt:lpstr>
      <vt:lpstr>A7-IncentPlant</vt:lpstr>
      <vt:lpstr>A8-Prepmts</vt:lpstr>
      <vt:lpstr>A9-PermDiffs</vt:lpstr>
      <vt:lpstr>TU-TrueUp</vt:lpstr>
      <vt:lpstr>Proj Att-H</vt:lpstr>
      <vt:lpstr>P1-Trans Plant</vt:lpstr>
      <vt:lpstr>P2-Exp. &amp; Rev. Credits</vt:lpstr>
      <vt:lpstr>P3-Divisor</vt:lpstr>
      <vt:lpstr>P4-IncentPlant</vt:lpstr>
      <vt:lpstr>P5-ADIT</vt:lpstr>
      <vt:lpstr>Schedule 1</vt:lpstr>
      <vt:lpstr>CE</vt:lpstr>
      <vt:lpstr>GP</vt:lpstr>
      <vt:lpstr>NP</vt:lpstr>
      <vt:lpstr>'A2-A&amp;G'!Print_Area</vt:lpstr>
      <vt:lpstr>'A3.1-EDIT-DDIT'!Print_Area</vt:lpstr>
      <vt:lpstr>'A3.2 EDIT-DDIT.dtl'!Print_Area</vt:lpstr>
      <vt:lpstr>'A3-ADIT'!Print_Area</vt:lpstr>
      <vt:lpstr>'A7-IncentPlant'!Print_Area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Okouchi, Marie</cp:lastModifiedBy>
  <cp:lastPrinted>2020-03-19T19:29:59Z</cp:lastPrinted>
  <dcterms:created xsi:type="dcterms:W3CDTF">2008-03-20T17:17:47Z</dcterms:created>
  <dcterms:modified xsi:type="dcterms:W3CDTF">2025-05-28T21:21:49Z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0x010100875671AD7149A142A67B4D251EBF93DA</vt:lpwstr>
  </property>
</Properties>
</file>