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4\2024 True-Up\Files to Oasis\"/>
    </mc:Choice>
  </mc:AlternateContent>
  <xr:revisionPtr revIDLastSave="0" documentId="13_ncr:1_{6C5EC5DC-5649-4ECB-A770-669E25019519}" xr6:coauthVersionLast="47" xr6:coauthVersionMax="47" xr10:uidLastSave="{00000000-0000-0000-0000-000000000000}"/>
  <bookViews>
    <workbookView xWindow="-108" yWindow="-108" windowWidth="23256" windowHeight="13896" xr2:uid="{CAEC8C1C-28CC-41B4-BFFA-772771FF4D33}"/>
    <workbookView xWindow="-108" yWindow="-108" windowWidth="23256" windowHeight="13896" xr2:uid="{3B8D7735-3059-4DC0-9CE9-874F9D030F1B}"/>
  </bookViews>
  <sheets>
    <sheet name="2024 Att H Comparison" sheetId="1" r:id="rId1"/>
  </sheets>
  <definedNames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CBAR" hidden="1">#REF!</definedName>
    <definedName name="__123Graph_DBAR" hidden="1">#REF!</definedName>
    <definedName name="__123Graph_EBAR" hidden="1">#REF!</definedName>
    <definedName name="__123Graph_FBAR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tet12" hidden="1">{"assumptions",#N/A,FALSE,"Scenario 1";"valuation",#N/A,FALSE,"Scenario 1"}</definedName>
    <definedName name="__tet5" hidden="1">{"assumptions",#N/A,FALSE,"Scenario 1";"valuation",#N/A,FALSE,"Scenario 1"}</definedName>
    <definedName name="_FEB01" hidden="1">{#N/A,#N/A,FALSE,"EMPPAY"}</definedName>
    <definedName name="_Fill" hidden="1">#REF!</definedName>
    <definedName name="_JAN01" hidden="1">{#N/A,#N/A,FALSE,"EMPPAY"}</definedName>
    <definedName name="_JAN2001" hidden="1">{#N/A,#N/A,FALSE,"EMPPAY"}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a" hidden="1">{"LBO Summary",#N/A,FALSE,"Summary"}</definedName>
    <definedName name="Alignment" hidden="1">"a1"</definedName>
    <definedName name="AS2DocOpenMode" hidden="1">"AS2DocumentEdit"</definedName>
    <definedName name="CE">'2024 Att H Comparison'!$G$58</definedName>
    <definedName name="ClientMatter" hidden="1">"b1"</definedName>
    <definedName name="DA">1</definedName>
    <definedName name="Date" hidden="1">"b1"</definedName>
    <definedName name="DEC00" hidden="1">{#N/A,#N/A,FALSE,"ARREC"}</definedName>
    <definedName name="DocumentName" hidden="1">"b1"</definedName>
    <definedName name="DocumentNum" hidden="1">"a1"</definedName>
    <definedName name="FEB00" hidden="1">{#N/A,#N/A,FALSE,"ARREC"}</definedName>
    <definedName name="GP">'2024 Att H Comparison'!$G$51</definedName>
    <definedName name="Library" hidden="1">"a1"</definedName>
    <definedName name="MAY" hidden="1">{#N/A,#N/A,FALSE,"EMPPAY"}</definedName>
    <definedName name="NA">0</definedName>
    <definedName name="NP">'2024 Att H Comparison'!$G$67</definedName>
    <definedName name="_xlnm.Print_Area" localSheetId="0">'2024 Att H Comparison'!$A$2:$K$200</definedName>
    <definedName name="TE">'2024 Att H Comparison'!$I$184</definedName>
    <definedName name="test" hidden="1">{"LBO Summary",#N/A,FALSE,"Summary"}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4" hidden="1">{"assumptions",#N/A,FALSE,"Scenario 1";"valuation",#N/A,FALSE,"Scenario 1"}</definedName>
    <definedName name="test6" hidden="1">{"LBO Summary",#N/A,FALSE,"Summary"}</definedName>
    <definedName name="TextRefCopyRangeCount" hidden="1">1</definedName>
    <definedName name="Time" hidden="1">"b1"</definedName>
    <definedName name="TP">'2024 Att H Comparison'!$I$175</definedName>
    <definedName name="Typist" hidden="1">"b1"</definedName>
    <definedName name="Value" hidden="1">{"assumptions",#N/A,FALSE,"Scenario 1";"valuation",#N/A,FALSE,"Scenario 1"}</definedName>
    <definedName name="Version" hidden="1">"a1"</definedName>
    <definedName name="WCLTD">'2024 Att H Comparison'!#REF!</definedName>
    <definedName name="wrn.ARREC." hidden="1">{#N/A,#N/A,FALSE,"ARREC"}</definedName>
    <definedName name="wrn.CP._.Demand.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EMPPAY." hidden="1">{#N/A,#N/A,FALSE,"EMPPAY"}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S">'2024 Att H Comparison'!$I$192</definedName>
    <definedName name="xx" hidden="1">{#N/A,#N/A,FALSE,"EMPPAY"}</definedName>
  </definedNames>
  <calcPr calcId="191029" iterate="1" iterateCount="300" iterateDelta="1E-4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" l="1"/>
  <c r="D118" i="1"/>
  <c r="D91" i="1"/>
  <c r="G197" i="1"/>
  <c r="D199" i="1"/>
  <c r="D193" i="1"/>
  <c r="G192" i="1"/>
  <c r="G191" i="1"/>
  <c r="G190" i="1"/>
  <c r="G189" i="1"/>
  <c r="I181" i="1"/>
  <c r="I174" i="1"/>
  <c r="G193" i="1" l="1"/>
  <c r="I151" i="1"/>
  <c r="I150" i="1"/>
  <c r="I149" i="1"/>
  <c r="I148" i="1"/>
  <c r="D152" i="1"/>
  <c r="D157" i="1" s="1"/>
  <c r="I134" i="1"/>
  <c r="I132" i="1"/>
  <c r="I130" i="1"/>
  <c r="I129" i="1"/>
  <c r="D136" i="1"/>
  <c r="I125" i="1"/>
  <c r="I124" i="1"/>
  <c r="I123" i="1"/>
  <c r="I122" i="1"/>
  <c r="I121" i="1"/>
  <c r="I117" i="1"/>
  <c r="I116" i="1"/>
  <c r="I115" i="1"/>
  <c r="I114" i="1"/>
  <c r="I113" i="1"/>
  <c r="I112" i="1"/>
  <c r="I110" i="1"/>
  <c r="I109" i="1"/>
  <c r="I108" i="1"/>
  <c r="I107" i="1"/>
  <c r="I118" i="1" l="1"/>
  <c r="I88" i="1" s="1"/>
  <c r="I136" i="1"/>
  <c r="I152" i="1"/>
  <c r="I157" i="1" s="1"/>
  <c r="M26" i="1" l="1"/>
  <c r="M27" i="1" s="1"/>
  <c r="M28" i="1" l="1"/>
  <c r="M30" i="1" l="1"/>
  <c r="M32" i="1" s="1"/>
  <c r="M29" i="1"/>
  <c r="M31" i="1" s="1"/>
  <c r="I90" i="1" l="1"/>
  <c r="T90" i="1" s="1"/>
  <c r="U90" i="1" s="1"/>
  <c r="I89" i="1"/>
  <c r="I81" i="1"/>
  <c r="T81" i="1" s="1"/>
  <c r="U81" i="1" s="1"/>
  <c r="T80" i="1"/>
  <c r="I75" i="1"/>
  <c r="T75" i="1" s="1"/>
  <c r="U75" i="1" s="1"/>
  <c r="I74" i="1"/>
  <c r="T74" i="1" s="1"/>
  <c r="U74" i="1" s="1"/>
  <c r="I73" i="1"/>
  <c r="T73" i="1" s="1"/>
  <c r="U73" i="1" s="1"/>
  <c r="D83" i="1"/>
  <c r="D67" i="1"/>
  <c r="I58" i="1"/>
  <c r="T58" i="1" s="1"/>
  <c r="U58" i="1" s="1"/>
  <c r="I57" i="1"/>
  <c r="T57" i="1" s="1"/>
  <c r="U57" i="1" s="1"/>
  <c r="I55" i="1"/>
  <c r="D59" i="1"/>
  <c r="I50" i="1"/>
  <c r="I49" i="1"/>
  <c r="I47" i="1"/>
  <c r="D51" i="1"/>
  <c r="R18" i="1"/>
  <c r="R20" i="1" s="1"/>
  <c r="T133" i="1"/>
  <c r="T134" i="1"/>
  <c r="T135" i="1"/>
  <c r="T132" i="1"/>
  <c r="U132" i="1" s="1"/>
  <c r="T82" i="1"/>
  <c r="U82" i="1" s="1"/>
  <c r="T88" i="1"/>
  <c r="U88" i="1" s="1"/>
  <c r="T108" i="1"/>
  <c r="U108" i="1" s="1"/>
  <c r="T109" i="1"/>
  <c r="U109" i="1" s="1"/>
  <c r="T110" i="1"/>
  <c r="U110" i="1" s="1"/>
  <c r="T111" i="1"/>
  <c r="T112" i="1"/>
  <c r="U112" i="1" s="1"/>
  <c r="T113" i="1"/>
  <c r="T114" i="1"/>
  <c r="U114" i="1" s="1"/>
  <c r="T115" i="1"/>
  <c r="U115" i="1" s="1"/>
  <c r="T136" i="1"/>
  <c r="U136" i="1" s="1"/>
  <c r="T130" i="1"/>
  <c r="T129" i="1"/>
  <c r="U129" i="1" s="1"/>
  <c r="T190" i="1"/>
  <c r="U190" i="1" s="1"/>
  <c r="T191" i="1"/>
  <c r="T192" i="1"/>
  <c r="T193" i="1"/>
  <c r="U193" i="1" s="1"/>
  <c r="T189" i="1"/>
  <c r="T180" i="1"/>
  <c r="T172" i="1"/>
  <c r="U172" i="1" s="1"/>
  <c r="T173" i="1"/>
  <c r="U173" i="1" s="1"/>
  <c r="T174" i="1"/>
  <c r="U174" i="1" s="1"/>
  <c r="T179" i="1"/>
  <c r="U179" i="1" s="1"/>
  <c r="T181" i="1"/>
  <c r="U181" i="1" s="1"/>
  <c r="T171" i="1"/>
  <c r="U171" i="1" s="1"/>
  <c r="T157" i="1"/>
  <c r="U157" i="1" s="1"/>
  <c r="T155" i="1"/>
  <c r="U155" i="1" s="1"/>
  <c r="T149" i="1"/>
  <c r="U149" i="1" s="1"/>
  <c r="T150" i="1"/>
  <c r="U150" i="1" s="1"/>
  <c r="T151" i="1"/>
  <c r="U151" i="1" s="1"/>
  <c r="T152" i="1"/>
  <c r="U152" i="1" s="1"/>
  <c r="T148" i="1"/>
  <c r="U148" i="1" s="1"/>
  <c r="T125" i="1"/>
  <c r="U125" i="1" s="1"/>
  <c r="T124" i="1"/>
  <c r="T123" i="1"/>
  <c r="T122" i="1"/>
  <c r="U122" i="1" s="1"/>
  <c r="T121" i="1"/>
  <c r="U121" i="1" s="1"/>
  <c r="T118" i="1"/>
  <c r="U118" i="1" s="1"/>
  <c r="T117" i="1"/>
  <c r="T116" i="1"/>
  <c r="T107" i="1"/>
  <c r="U107" i="1" s="1"/>
  <c r="T56" i="1"/>
  <c r="T54" i="1"/>
  <c r="T48" i="1"/>
  <c r="T46" i="1"/>
  <c r="D93" i="1" l="1"/>
  <c r="T89" i="1"/>
  <c r="U89" i="1" s="1"/>
  <c r="I91" i="1"/>
  <c r="T91" i="1" s="1"/>
  <c r="U91" i="1" s="1"/>
  <c r="T47" i="1"/>
  <c r="U47" i="1" s="1"/>
  <c r="I63" i="1"/>
  <c r="T49" i="1"/>
  <c r="U49" i="1" s="1"/>
  <c r="I65" i="1"/>
  <c r="T65" i="1" s="1"/>
  <c r="U65" i="1" s="1"/>
  <c r="T50" i="1"/>
  <c r="U50" i="1" s="1"/>
  <c r="I66" i="1"/>
  <c r="T66" i="1" s="1"/>
  <c r="U66" i="1" s="1"/>
  <c r="I59" i="1"/>
  <c r="T59" i="1" s="1"/>
  <c r="U59" i="1" s="1"/>
  <c r="I83" i="1"/>
  <c r="T83" i="1" s="1"/>
  <c r="U83" i="1" s="1"/>
  <c r="T55" i="1"/>
  <c r="U55" i="1" s="1"/>
  <c r="I51" i="1"/>
  <c r="T51" i="1" s="1"/>
  <c r="U51" i="1" s="1"/>
  <c r="U80" i="1"/>
  <c r="T63" i="1" l="1"/>
  <c r="U63" i="1" s="1"/>
  <c r="I67" i="1"/>
  <c r="T23" i="1"/>
  <c r="U23" i="1" s="1"/>
  <c r="T67" i="1" l="1"/>
  <c r="U67" i="1" s="1"/>
  <c r="I93" i="1"/>
  <c r="T93" i="1" s="1"/>
  <c r="U93" i="1" s="1"/>
  <c r="I195" i="1"/>
  <c r="C166" i="1"/>
  <c r="G163" i="1"/>
  <c r="I160" i="1"/>
  <c r="B123" i="1"/>
  <c r="B121" i="1"/>
  <c r="C101" i="1"/>
  <c r="K98" i="1"/>
  <c r="I95" i="1"/>
  <c r="A72" i="1"/>
  <c r="A73" i="1" s="1"/>
  <c r="A74" i="1" s="1"/>
  <c r="A75" i="1" s="1"/>
  <c r="A76" i="1" s="1"/>
  <c r="C66" i="1"/>
  <c r="C65" i="1"/>
  <c r="C64" i="1"/>
  <c r="C63" i="1"/>
  <c r="C62" i="1"/>
  <c r="B58" i="1"/>
  <c r="B66" i="1" s="1"/>
  <c r="B57" i="1"/>
  <c r="B65" i="1" s="1"/>
  <c r="B56" i="1"/>
  <c r="B64" i="1" s="1"/>
  <c r="B55" i="1"/>
  <c r="B63" i="1" s="1"/>
  <c r="B54" i="1"/>
  <c r="B62" i="1" s="1"/>
  <c r="C39" i="1"/>
  <c r="K36" i="1"/>
  <c r="I33" i="1"/>
  <c r="T15" i="1"/>
  <c r="U15" i="1" s="1"/>
  <c r="T14" i="1"/>
  <c r="I18" i="1" l="1"/>
  <c r="T18" i="1" s="1"/>
  <c r="U18" i="1" s="1"/>
  <c r="I193" i="1"/>
  <c r="I197" i="1" l="1"/>
  <c r="K197" i="1" s="1"/>
  <c r="I20" i="1" l="1"/>
  <c r="T11" i="1"/>
  <c r="U11" i="1" s="1"/>
  <c r="T20" i="1" l="1"/>
  <c r="U20" i="1" s="1"/>
  <c r="D26" i="1"/>
  <c r="D28" i="1" l="1"/>
  <c r="D27" i="1"/>
  <c r="T27" i="1" s="1"/>
  <c r="U27" i="1" s="1"/>
  <c r="T26" i="1"/>
  <c r="U26" i="1" s="1"/>
  <c r="D30" i="1" l="1"/>
  <c r="D29" i="1"/>
  <c r="T28" i="1"/>
  <c r="U28" i="1" s="1"/>
  <c r="D31" i="1" l="1"/>
  <c r="T31" i="1" s="1"/>
  <c r="U31" i="1" s="1"/>
  <c r="T29" i="1"/>
  <c r="U29" i="1" s="1"/>
  <c r="D32" i="1"/>
  <c r="T32" i="1" s="1"/>
  <c r="U32" i="1" s="1"/>
  <c r="T30" i="1"/>
  <c r="U30" i="1" s="1"/>
</calcChain>
</file>

<file path=xl/sharedStrings.xml><?xml version="1.0" encoding="utf-8"?>
<sst xmlns="http://schemas.openxmlformats.org/spreadsheetml/2006/main" count="449" uniqueCount="285">
  <si>
    <t>Actual Attachment H</t>
  </si>
  <si>
    <t>Page 1</t>
  </si>
  <si>
    <t xml:space="preserve">Formula Rate - Non-Levelized </t>
  </si>
  <si>
    <t>Rate Formula Template</t>
  </si>
  <si>
    <t>Utilizing FERC Form 1 Data</t>
  </si>
  <si>
    <t>Black Hills Colorado Electric, LLC</t>
  </si>
  <si>
    <t>Line</t>
  </si>
  <si>
    <t>Allocated</t>
  </si>
  <si>
    <t>No.</t>
  </si>
  <si>
    <t>Amount</t>
  </si>
  <si>
    <t>GROSS REVENUE REQUIREMENT  (page 3, line 29)</t>
  </si>
  <si>
    <t xml:space="preserve"> </t>
  </si>
  <si>
    <t xml:space="preserve">REVENUE CREDITS </t>
  </si>
  <si>
    <t>(Note S)</t>
  </si>
  <si>
    <t>Total</t>
  </si>
  <si>
    <t>Allocator</t>
  </si>
  <si>
    <t xml:space="preserve">  Account No. 454</t>
  </si>
  <si>
    <t>(Worksheet A1, line 6)</t>
  </si>
  <si>
    <t>DA</t>
  </si>
  <si>
    <t xml:space="preserve">  Account No. 456.1</t>
  </si>
  <si>
    <t>(Worksheet A1, line 42, col (b) )</t>
  </si>
  <si>
    <t>Held for Future Use</t>
  </si>
  <si>
    <t>TOTAL REVENUE CREDITS  (sum lines 2-5)</t>
  </si>
  <si>
    <t>NET REVENUE REQUIREMENT</t>
  </si>
  <si>
    <t>(line 1 minus line 6)</t>
  </si>
  <si>
    <t xml:space="preserve">DIVISOR </t>
  </si>
  <si>
    <t xml:space="preserve">   Divisor (kW)</t>
  </si>
  <si>
    <t>(Worksheet A6, Line 14)</t>
  </si>
  <si>
    <t>RATES</t>
  </si>
  <si>
    <t xml:space="preserve">   Annual</t>
  </si>
  <si>
    <t>/kW-year</t>
  </si>
  <si>
    <t xml:space="preserve">   Monthly</t>
  </si>
  <si>
    <t>12 months/year</t>
  </si>
  <si>
    <t>/kW-month</t>
  </si>
  <si>
    <t xml:space="preserve">   Weekly</t>
  </si>
  <si>
    <t>52 weeks/year</t>
  </si>
  <si>
    <t>/kW-week</t>
  </si>
  <si>
    <t xml:space="preserve">   Daily On-Peak</t>
  </si>
  <si>
    <t>6 days/week</t>
  </si>
  <si>
    <t>/kW-day</t>
  </si>
  <si>
    <t xml:space="preserve">   Daily Off-Peak</t>
  </si>
  <si>
    <t>7 days/week</t>
  </si>
  <si>
    <t xml:space="preserve">   Hourly On-Peak</t>
  </si>
  <si>
    <t>16 hours/day</t>
  </si>
  <si>
    <t>/MW-hour</t>
  </si>
  <si>
    <t xml:space="preserve">   Hourly Off-Peak</t>
  </si>
  <si>
    <t>24 hours/day</t>
  </si>
  <si>
    <t>Page 2</t>
  </si>
  <si>
    <t xml:space="preserve">     Rate Formula Template</t>
  </si>
  <si>
    <t xml:space="preserve"> Utilizing FERC Form 1 Data</t>
  </si>
  <si>
    <t>(1)</t>
  </si>
  <si>
    <t>(2)</t>
  </si>
  <si>
    <t>(3)</t>
  </si>
  <si>
    <t>(4)</t>
  </si>
  <si>
    <t>(5)</t>
  </si>
  <si>
    <t>Form No. 1</t>
  </si>
  <si>
    <t>Transmission</t>
  </si>
  <si>
    <t>Page, Line, Col.</t>
  </si>
  <si>
    <t>Company Total</t>
  </si>
  <si>
    <t xml:space="preserve">                  Allocator</t>
  </si>
  <si>
    <t>(Col 3 times Col 4)</t>
  </si>
  <si>
    <t>RATE BASE: (Note A, V)</t>
  </si>
  <si>
    <t>GROSS PLANT IN SERVICE     (Note A)</t>
  </si>
  <si>
    <t xml:space="preserve">  Production</t>
  </si>
  <si>
    <t>Worksheet A4, Page 1, Line 14, Col. (b)</t>
  </si>
  <si>
    <t>NA</t>
  </si>
  <si>
    <t xml:space="preserve">  Transmission</t>
  </si>
  <si>
    <t>Worksheet A4, Page 1, Line 14, Col. (c)</t>
  </si>
  <si>
    <t>TP</t>
  </si>
  <si>
    <t xml:space="preserve">  Distribution</t>
  </si>
  <si>
    <t>Worksheet A4, Page 1, Line 14, Col. (d)</t>
  </si>
  <si>
    <t xml:space="preserve">  General &amp; Intangible</t>
  </si>
  <si>
    <t>Worksheet A4, Page 1, Line 14, Col. (e )</t>
  </si>
  <si>
    <t>W/S</t>
  </si>
  <si>
    <t xml:space="preserve">  Other</t>
  </si>
  <si>
    <t>Worksheet A4, Page 1, Line 14, Col. (f)</t>
  </si>
  <si>
    <t>OE</t>
  </si>
  <si>
    <t>TOTAL GROSS PLANT</t>
  </si>
  <si>
    <t>(Sum of Lines 1 through 5)</t>
  </si>
  <si>
    <t>GP=</t>
  </si>
  <si>
    <t>ACCUMULATED DEPRECIATION   (Note A)</t>
  </si>
  <si>
    <t>Worksheet A4, Page 1, Line 28, Col. (d)</t>
  </si>
  <si>
    <t>Worksheet A4, Page 1, Line 28, Col. (e)</t>
  </si>
  <si>
    <t>Worksheet A4, Page 1, Line 28, Col. (f)</t>
  </si>
  <si>
    <t>Worksheet A4, Page 1, Line 28, Col. (g)</t>
  </si>
  <si>
    <t>Worksheet A4, Page 1, Line 28, Col. (h)</t>
  </si>
  <si>
    <t>TOTAL ACCUM. DEPRECIATION</t>
  </si>
  <si>
    <t>(Sum of Lines 7 through 11)</t>
  </si>
  <si>
    <t xml:space="preserve">NET PLANT IN SERVICE  </t>
  </si>
  <si>
    <t xml:space="preserve">TOTAL NET PLANT </t>
  </si>
  <si>
    <t>(Sum of Lines 13 through 17)</t>
  </si>
  <si>
    <t>NP=</t>
  </si>
  <si>
    <t>18a</t>
  </si>
  <si>
    <t xml:space="preserve">  CWIP Approved by FERC Order</t>
  </si>
  <si>
    <t>Worksheet A4, Page 1, Line 14, Col. (g)   (Note Q)</t>
  </si>
  <si>
    <t>ADJUSTMENTS TO RATE BASE (Note V)</t>
  </si>
  <si>
    <t xml:space="preserve">  Account No. 281 </t>
  </si>
  <si>
    <t>Worksheet A4, Page 2, Line 14, Col. (d) (Note F)</t>
  </si>
  <si>
    <t>GP</t>
  </si>
  <si>
    <t xml:space="preserve">  Account No. 282</t>
  </si>
  <si>
    <t>Worksheet A4, Page 2, Line 14, Col. (e) (Note F)</t>
  </si>
  <si>
    <t xml:space="preserve">  Account No. 283 </t>
  </si>
  <si>
    <t>Worksheet A4, Page 2, Line 14, Col. (f) (Note F)</t>
  </si>
  <si>
    <t xml:space="preserve">  Account No. 190 </t>
  </si>
  <si>
    <t>Worksheet A4, Page 2, Line 14, Col. (g) (Note F)</t>
  </si>
  <si>
    <t xml:space="preserve">  Account No. 255 (enter Zero)</t>
  </si>
  <si>
    <t>Note B</t>
  </si>
  <si>
    <t>23a</t>
  </si>
  <si>
    <t xml:space="preserve">  Unamortized Regulatory Asset </t>
  </si>
  <si>
    <t>Worksheet A4, Page 2, Line 14, Col. (b) (Note P)</t>
  </si>
  <si>
    <t>23aa</t>
  </si>
  <si>
    <t xml:space="preserve">  Unamortized Regulatory Liability</t>
  </si>
  <si>
    <t>Worksheet A4, Page 1, Line 42, Col. (h) (Note O)</t>
  </si>
  <si>
    <t>23b</t>
  </si>
  <si>
    <t xml:space="preserve">  Unamortized Abandoned Plant  </t>
  </si>
  <si>
    <t>Worksheet A4, Page 2, Line 14, Col. (c) (Note N)</t>
  </si>
  <si>
    <t>23c</t>
  </si>
  <si>
    <t xml:space="preserve">  Unfunded Reserves</t>
  </si>
  <si>
    <t>Worksheet A4, Page 2, Line 25, Col. (e)  (Note R)</t>
  </si>
  <si>
    <t xml:space="preserve">  FAS 109 Adjustment</t>
  </si>
  <si>
    <t>Worksheet A3, Page 1, Line 200</t>
  </si>
  <si>
    <t xml:space="preserve">  Net Excess/Deficient Deferred Income Taxes Transmission</t>
  </si>
  <si>
    <t>Worksheet A3.1, Ln 358 Col (e) &amp; (j)</t>
  </si>
  <si>
    <t xml:space="preserve">TOTAL ADJUSTMENTS </t>
  </si>
  <si>
    <t>(Sum of Lines 19 - 25)</t>
  </si>
  <si>
    <t xml:space="preserve">LAND HELD FOR FUTURE USE </t>
  </si>
  <si>
    <t>Worksheet A4, Page 1, Line 14, Col. (h) (Note G)</t>
  </si>
  <si>
    <t xml:space="preserve">WORKING CAPITAL </t>
  </si>
  <si>
    <t>(Note H)</t>
  </si>
  <si>
    <t xml:space="preserve">  Cash Working Capital</t>
  </si>
  <si>
    <t>1/8*(Page 3, Line 8)</t>
  </si>
  <si>
    <t xml:space="preserve">  Materials &amp; Supplies </t>
  </si>
  <si>
    <t xml:space="preserve">Worksheet A4, Page 3, Line 17, Col. (e) </t>
  </si>
  <si>
    <t>TE</t>
  </si>
  <si>
    <t xml:space="preserve">  Prepayments (Account 165)</t>
  </si>
  <si>
    <t xml:space="preserve">Worksheet A8, Page 1, Line 9 , Col. (f) </t>
  </si>
  <si>
    <t>TOTAL WORKING CAPITAL</t>
  </si>
  <si>
    <t>(Sum of Lines 28 through 30)</t>
  </si>
  <si>
    <t>RATE BASE</t>
  </si>
  <si>
    <t>(Sum lines 18, 26, 27, &amp; 31)</t>
  </si>
  <si>
    <t>Page 3</t>
  </si>
  <si>
    <t xml:space="preserve">O&amp;M  </t>
  </si>
  <si>
    <t xml:space="preserve">  Transmission </t>
  </si>
  <si>
    <t>321.112.b</t>
  </si>
  <si>
    <t xml:space="preserve">     Less Account 561.1-561.3</t>
  </si>
  <si>
    <t>321.85-87.b</t>
  </si>
  <si>
    <t>2a</t>
  </si>
  <si>
    <t xml:space="preserve">     Less Account 565</t>
  </si>
  <si>
    <t>321.96.b</t>
  </si>
  <si>
    <t xml:space="preserve">  A&amp;G</t>
  </si>
  <si>
    <t>323.197.b</t>
  </si>
  <si>
    <t xml:space="preserve">     Adjustments to A&amp;G</t>
  </si>
  <si>
    <t xml:space="preserve">     Less EPRI &amp; Reg. Comm. Exp. &amp; Non-safety  Ad.  (Note I)</t>
  </si>
  <si>
    <t>Worksheet A2 Line 5</t>
  </si>
  <si>
    <t>5a</t>
  </si>
  <si>
    <t xml:space="preserve">     Plus Transmission Related Reg. Comm. Exp.</t>
  </si>
  <si>
    <t>Worksheet A2 Line 14</t>
  </si>
  <si>
    <t>5b</t>
  </si>
  <si>
    <t xml:space="preserve">     Plus: PBOP Actual Cash Outlay</t>
  </si>
  <si>
    <t>Company Records (Note J)</t>
  </si>
  <si>
    <t>5c</t>
  </si>
  <si>
    <t xml:space="preserve">     Less: PBOP Net Periodic Expense</t>
  </si>
  <si>
    <t>Worksheet A2 Line 22</t>
  </si>
  <si>
    <t>356</t>
  </si>
  <si>
    <t xml:space="preserve">  Transmission Lease Payments</t>
  </si>
  <si>
    <t>(Note W)</t>
  </si>
  <si>
    <t>TOTAL O&amp;M  (sum lines 1, 3, 5a, 5b, 6, 7 less lines 2, 2a, 5, 5c)</t>
  </si>
  <si>
    <t>DEPRECIATION AND AMORTIZATION EXPENSE (Note A)</t>
  </si>
  <si>
    <t>336.7.f less 336.7.c</t>
  </si>
  <si>
    <t xml:space="preserve">  General &amp; Intangible </t>
  </si>
  <si>
    <t>336.10.f &amp; 336.1.f less 336.10.c &amp; 336.1.c</t>
  </si>
  <si>
    <t>336.11.f less 336.11.c</t>
  </si>
  <si>
    <t>11a</t>
  </si>
  <si>
    <t xml:space="preserve">  Amortization of Abandoned Plant</t>
  </si>
  <si>
    <t xml:space="preserve">(Note N) </t>
  </si>
  <si>
    <t xml:space="preserve">TOTAL DEPRECIATION </t>
  </si>
  <si>
    <t>(Sum of Lines 9 through 11a)</t>
  </si>
  <si>
    <t>TAXES OTHER THAN INCOME TAXES  (Note D)</t>
  </si>
  <si>
    <t xml:space="preserve">  LABOR RELATED</t>
  </si>
  <si>
    <t xml:space="preserve">          Payroll</t>
  </si>
  <si>
    <t>263.5l, 263.6l, &amp; 263.7l</t>
  </si>
  <si>
    <t xml:space="preserve">          Highway and vehicle</t>
  </si>
  <si>
    <t>263.i</t>
  </si>
  <si>
    <t xml:space="preserve">  PLANT RELATED</t>
  </si>
  <si>
    <t xml:space="preserve">         Property</t>
  </si>
  <si>
    <t>263.3l</t>
  </si>
  <si>
    <t xml:space="preserve">         Gross Receipts</t>
  </si>
  <si>
    <t>263.4l</t>
  </si>
  <si>
    <t xml:space="preserve">  Other (Note AA)</t>
  </si>
  <si>
    <t>Intentionally left blank</t>
  </si>
  <si>
    <t xml:space="preserve">TOTAL OTHER TAXES </t>
  </si>
  <si>
    <t>(Sum of Lines 13 through 19)</t>
  </si>
  <si>
    <t xml:space="preserve">INCOME TAXES          </t>
  </si>
  <si>
    <t>(Note K)</t>
  </si>
  <si>
    <t xml:space="preserve">     T=1 - {[(1 - SIT) * (1 - FIT)] / (1 - SIT * FIT * p)} =</t>
  </si>
  <si>
    <t xml:space="preserve">     CIT=(T/(1-T)) * (1-(WCLTD/R)) =</t>
  </si>
  <si>
    <t xml:space="preserve">       where WCLTD=(page 4, line 28) and R= (page 4, line 31)</t>
  </si>
  <si>
    <t xml:space="preserve">       and FIT, SIT &amp; p are as given in Note K.</t>
  </si>
  <si>
    <t xml:space="preserve">      1 / (1 - T)  = (from line 21)</t>
  </si>
  <si>
    <t>Amortized Investment Tax Credit (266.8f)</t>
  </si>
  <si>
    <t>266.8.f</t>
  </si>
  <si>
    <t>24a</t>
  </si>
  <si>
    <t>Amortization of Excess/Deficient Deferred Income Taxes Transmission only (Net)</t>
  </si>
  <si>
    <t>Worksheet A3.1, Line 357 Col (h) (Note X)</t>
  </si>
  <si>
    <t>24aa</t>
  </si>
  <si>
    <t>Permanent Differences - AFUDC Equity</t>
  </si>
  <si>
    <t>Company Records  (Notes T, Y)</t>
  </si>
  <si>
    <t>24b</t>
  </si>
  <si>
    <t>Tax Effect of Permanent Differences</t>
  </si>
  <si>
    <t>(Line 21 times Line 24aa) (Notes T, Y)</t>
  </si>
  <si>
    <t xml:space="preserve">Income Tax Calculation </t>
  </si>
  <si>
    <t>(Line 22 times Line 28)</t>
  </si>
  <si>
    <t>ITC Adjustment</t>
  </si>
  <si>
    <t>(Line 23 times Line 24)</t>
  </si>
  <si>
    <t>26a</t>
  </si>
  <si>
    <t>Excess / Deficient Deferred Income Tax Adjustment (Net)</t>
  </si>
  <si>
    <t>(Line 23 times Line 24a)</t>
  </si>
  <si>
    <t>26b</t>
  </si>
  <si>
    <t>Permanent Differences Tax Adjustment</t>
  </si>
  <si>
    <t>(Line 23 times Line 24b)</t>
  </si>
  <si>
    <t>Total Income Taxes</t>
  </si>
  <si>
    <t>(Sum of Lines 25 and 26b less lines 26, 26a )</t>
  </si>
  <si>
    <t xml:space="preserve">RETURN </t>
  </si>
  <si>
    <t xml:space="preserve">  Rate Base * Rate of Return plus Incentive Return</t>
  </si>
  <si>
    <t>(Page 2, Line 32 x Page 4, Line 31, Col. (5)) + Page 4, Line 32</t>
  </si>
  <si>
    <t>REV. REQUIREMENT</t>
  </si>
  <si>
    <t>(Sum of Lines 8, 12, 20, 27, 28)</t>
  </si>
  <si>
    <t>Page 4</t>
  </si>
  <si>
    <t>SUPPORTING CALCULATIONS AND NOTES</t>
  </si>
  <si>
    <t>TRANSMISSION PLANT INCLUDED IN RATES</t>
  </si>
  <si>
    <t>Total transmission plant</t>
  </si>
  <si>
    <t>(Page 2, Line 2, Column 3)</t>
  </si>
  <si>
    <t xml:space="preserve">Less transmission plant excluded from Wholesale Rates </t>
  </si>
  <si>
    <t>(Note L)</t>
  </si>
  <si>
    <t>Less transmission plant included in OATT Ancillary Services and/or GSUs</t>
  </si>
  <si>
    <t>(Note M)</t>
  </si>
  <si>
    <t xml:space="preserve">Transmission plant included in Wholesale Rates  </t>
  </si>
  <si>
    <t>(Line 1 less Lines 2 &amp; 3)</t>
  </si>
  <si>
    <t xml:space="preserve">Percentage of transmission plant included in Wholesale Rates </t>
  </si>
  <si>
    <t xml:space="preserve"> (Line 4 divided by Line 1)</t>
  </si>
  <si>
    <t>TP=</t>
  </si>
  <si>
    <t xml:space="preserve">TRANSMISSION EXPENSES </t>
  </si>
  <si>
    <t xml:space="preserve">Total transmission expenses  </t>
  </si>
  <si>
    <t>(Page 3, Line 1, column 3)</t>
  </si>
  <si>
    <t xml:space="preserve">Less transmission expenses included in OATT Ancillary Services </t>
  </si>
  <si>
    <t>(Note E)</t>
  </si>
  <si>
    <t>Included transmission expenses</t>
  </si>
  <si>
    <t>(Line 6 less Line 7)</t>
  </si>
  <si>
    <t xml:space="preserve">% of transmission expenses after adjustment  </t>
  </si>
  <si>
    <t>(Line 8 divided by Line 6)</t>
  </si>
  <si>
    <t xml:space="preserve">% of transmission plant included in wholesale Rates  </t>
  </si>
  <si>
    <t>(Line 5)</t>
  </si>
  <si>
    <t>% of transmission expenses included in wholesale Rates</t>
  </si>
  <si>
    <t>(Line 9 times Line 10)</t>
  </si>
  <si>
    <t>TE=</t>
  </si>
  <si>
    <t>WAGES &amp; SALARY ALLOCATOR   (W&amp;S)</t>
  </si>
  <si>
    <t>Form 1 Reference</t>
  </si>
  <si>
    <t>$</t>
  </si>
  <si>
    <t>Allocation</t>
  </si>
  <si>
    <t>354.20.b</t>
  </si>
  <si>
    <t>354.21.b</t>
  </si>
  <si>
    <t>354.23.b</t>
  </si>
  <si>
    <t>W&amp;S Allocator</t>
  </si>
  <si>
    <t>354.24, 25, 26.b</t>
  </si>
  <si>
    <t>($ / Allocation)</t>
  </si>
  <si>
    <t xml:space="preserve">  Total  </t>
  </si>
  <si>
    <t>(Sum of Lines 12-15)</t>
  </si>
  <si>
    <t>=</t>
  </si>
  <si>
    <t xml:space="preserve">OTHER PLANT ALLOCATOR  (OE) </t>
  </si>
  <si>
    <t>% Electric</t>
  </si>
  <si>
    <t xml:space="preserve">  Electric</t>
  </si>
  <si>
    <t>200.3.c</t>
  </si>
  <si>
    <t>(line 17 / line 20)</t>
  </si>
  <si>
    <t>(line 16)</t>
  </si>
  <si>
    <t xml:space="preserve">  Gas</t>
  </si>
  <si>
    <t>201.3.d</t>
  </si>
  <si>
    <t>*</t>
  </si>
  <si>
    <t>201.3.x</t>
  </si>
  <si>
    <t>(Sum of Lines 17-19)</t>
  </si>
  <si>
    <t>Variance</t>
  </si>
  <si>
    <t>% Change</t>
  </si>
  <si>
    <t>Projected Attachment H</t>
  </si>
  <si>
    <t>Transmission Variance</t>
  </si>
  <si>
    <t>2024 True-Up</t>
  </si>
  <si>
    <t>2024 Projection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</si>
</sst>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0000"/>
    <numFmt numFmtId="167" formatCode="#,##0.00000"/>
    <numFmt numFmtId="168" formatCode="0.000%"/>
    <numFmt numFmtId="169" formatCode="_(* #,##0.00000_);_(* \(#,##0.00000\);_(* &quot;-&quot;??_);_(@_)"/>
    <numFmt numFmtId="170" formatCode="#,##0.0"/>
    <numFmt numFmtId="171" formatCode="#,##0.0000"/>
    <numFmt numFmtId="172" formatCode="_(&quot;$&quot;* #,##0_);_(&quot;$&quot;* \(#,##0\);_(&quot;$&quot;* &quot;-&quot;??_);_(@_)"/>
    <numFmt numFmtId="173" formatCode="&quot;$&quot;#,##0"/>
    <numFmt numFmtId="174" formatCode="&quot;$&quot;#,##0.000"/>
    <numFmt numFmtId="175" formatCode="_(* #,##0.0000_);_(* \(#,##0.0000\);_(* &quot;-&quot;??_);_(@_)"/>
  </numFmts>
  <fonts count="19">
    <font>
      <sz val="10"/>
      <name val="Arial"/>
    </font>
    <font>
      <sz val="11"/>
      <color theme="1"/>
      <name val="Times New Roman"/>
      <family val="2"/>
    </font>
    <font>
      <sz val="12"/>
      <name val="Arial MT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sz val="10"/>
      <color rgb="FF000099"/>
      <name val="Times New Roman"/>
      <family val="1"/>
    </font>
    <font>
      <sz val="12"/>
      <color theme="1"/>
      <name val="Arial MT"/>
    </font>
    <font>
      <sz val="9.5"/>
      <name val="Times New Roman"/>
      <family val="1"/>
    </font>
    <font>
      <b/>
      <sz val="10"/>
      <color indexed="48"/>
      <name val="Times New Roman"/>
      <family val="1"/>
    </font>
    <font>
      <sz val="10"/>
      <color indexed="17"/>
      <name val="Times New Roman"/>
      <family val="1"/>
    </font>
    <font>
      <strike/>
      <sz val="10"/>
      <color indexed="53"/>
      <name val="Times New Roman"/>
      <family val="1"/>
    </font>
    <font>
      <u/>
      <sz val="10"/>
      <color indexed="17"/>
      <name val="Times New Roman"/>
      <family val="1"/>
    </font>
    <font>
      <sz val="10"/>
      <color rgb="FF80008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164" fontId="2" fillId="0" borderId="0" applyProtection="0"/>
    <xf numFmtId="0" fontId="2" fillId="0" borderId="0" applyProtection="0"/>
    <xf numFmtId="0" fontId="6" fillId="0" borderId="0" applyNumberFormat="0" applyFill="0" applyBorder="0" applyAlignment="0" applyProtection="0"/>
  </cellStyleXfs>
  <cellXfs count="193">
    <xf numFmtId="0" fontId="0" fillId="0" borderId="0" xfId="0"/>
    <xf numFmtId="164" fontId="3" fillId="0" borderId="0" xfId="3" applyFont="1" applyProtection="1">
      <protection locked="0"/>
    </xf>
    <xf numFmtId="164" fontId="5" fillId="0" borderId="0" xfId="3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3" fillId="0" borderId="1" xfId="5" applyNumberFormat="1" applyFont="1" applyFill="1" applyBorder="1" applyAlignment="1"/>
    <xf numFmtId="42" fontId="3" fillId="0" borderId="2" xfId="0" applyNumberFormat="1" applyFont="1" applyBorder="1" applyAlignment="1">
      <alignment horizontal="right"/>
    </xf>
    <xf numFmtId="165" fontId="3" fillId="0" borderId="3" xfId="5" applyNumberFormat="1" applyFont="1" applyFill="1" applyBorder="1" applyAlignment="1"/>
    <xf numFmtId="165" fontId="3" fillId="0" borderId="0" xfId="5" applyNumberFormat="1" applyFont="1" applyFill="1" applyBorder="1" applyAlignment="1"/>
    <xf numFmtId="164" fontId="3" fillId="0" borderId="0" xfId="3" applyFont="1"/>
    <xf numFmtId="165" fontId="3" fillId="0" borderId="0" xfId="5" applyNumberFormat="1" applyFont="1" applyBorder="1" applyAlignment="1"/>
    <xf numFmtId="169" fontId="3" fillId="0" borderId="0" xfId="5" applyNumberFormat="1" applyFont="1" applyBorder="1" applyAlignment="1"/>
    <xf numFmtId="165" fontId="3" fillId="3" borderId="1" xfId="4" applyNumberFormat="1" applyFont="1" applyFill="1" applyBorder="1" applyAlignment="1"/>
    <xf numFmtId="0" fontId="3" fillId="0" borderId="1" xfId="0" applyFont="1" applyBorder="1" applyProtection="1">
      <protection locked="0"/>
    </xf>
    <xf numFmtId="165" fontId="3" fillId="0" borderId="2" xfId="5" applyNumberFormat="1" applyFont="1" applyFill="1" applyBorder="1" applyAlignment="1"/>
    <xf numFmtId="165" fontId="3" fillId="0" borderId="4" xfId="5" applyNumberFormat="1" applyFont="1" applyFill="1" applyBorder="1" applyAlignment="1"/>
    <xf numFmtId="165" fontId="3" fillId="0" borderId="1" xfId="5" applyNumberFormat="1" applyFont="1" applyBorder="1" applyAlignment="1"/>
    <xf numFmtId="165" fontId="3" fillId="0" borderId="5" xfId="5" applyNumberFormat="1" applyFont="1" applyFill="1" applyBorder="1" applyAlignment="1"/>
    <xf numFmtId="0" fontId="3" fillId="0" borderId="1" xfId="0" applyFont="1" applyBorder="1" applyAlignment="1" applyProtection="1">
      <alignment wrapText="1"/>
      <protection locked="0"/>
    </xf>
    <xf numFmtId="3" fontId="8" fillId="2" borderId="1" xfId="0" applyNumberFormat="1" applyFont="1" applyFill="1" applyBorder="1" applyProtection="1">
      <protection locked="0"/>
    </xf>
    <xf numFmtId="172" fontId="3" fillId="0" borderId="0" xfId="6" applyNumberFormat="1" applyFont="1" applyFill="1" applyBorder="1" applyAlignment="1" applyProtection="1">
      <protection locked="0"/>
    </xf>
    <xf numFmtId="3" fontId="3" fillId="2" borderId="1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3" fontId="3" fillId="0" borderId="1" xfId="0" applyNumberFormat="1" applyFont="1" applyBorder="1" applyAlignment="1" applyProtection="1">
      <alignment horizontal="center"/>
      <protection locked="0"/>
    </xf>
    <xf numFmtId="3" fontId="8" fillId="2" borderId="1" xfId="3" applyNumberFormat="1" applyFont="1" applyFill="1" applyBorder="1" applyProtection="1">
      <protection locked="0"/>
    </xf>
    <xf numFmtId="3" fontId="3" fillId="0" borderId="1" xfId="0" applyNumberFormat="1" applyFont="1" applyBorder="1"/>
    <xf numFmtId="164" fontId="15" fillId="0" borderId="0" xfId="3" applyFont="1"/>
    <xf numFmtId="164" fontId="15" fillId="0" borderId="0" xfId="3" applyFont="1" applyAlignment="1">
      <alignment horizontal="center" vertical="top"/>
    </xf>
    <xf numFmtId="164" fontId="15" fillId="0" borderId="0" xfId="3" applyFont="1" applyAlignment="1">
      <alignment horizontal="center"/>
    </xf>
    <xf numFmtId="164" fontId="15" fillId="0" borderId="0" xfId="3" applyFont="1" applyAlignment="1">
      <alignment vertical="top"/>
    </xf>
    <xf numFmtId="0" fontId="15" fillId="0" borderId="0" xfId="10" applyFont="1" applyAlignment="1">
      <alignment vertical="center"/>
    </xf>
    <xf numFmtId="0" fontId="3" fillId="0" borderId="1" xfId="0" applyFont="1" applyBorder="1" applyAlignment="1" applyProtection="1">
      <alignment horizontal="centerContinuous"/>
      <protection locked="0"/>
    </xf>
    <xf numFmtId="164" fontId="5" fillId="0" borderId="6" xfId="3" applyFont="1" applyBorder="1" applyProtection="1">
      <protection locked="0"/>
    </xf>
    <xf numFmtId="41" fontId="3" fillId="0" borderId="3" xfId="6" applyNumberFormat="1" applyFont="1" applyFill="1" applyBorder="1" applyAlignment="1" applyProtection="1">
      <protection locked="0"/>
    </xf>
    <xf numFmtId="165" fontId="3" fillId="0" borderId="10" xfId="1" applyNumberFormat="1" applyFont="1" applyFill="1" applyBorder="1" applyProtection="1">
      <protection locked="0"/>
    </xf>
    <xf numFmtId="164" fontId="3" fillId="0" borderId="10" xfId="3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42" fontId="3" fillId="0" borderId="0" xfId="0" applyNumberFormat="1" applyFont="1"/>
    <xf numFmtId="3" fontId="3" fillId="0" borderId="0" xfId="0" applyNumberFormat="1" applyFont="1" applyProtection="1">
      <protection locked="0"/>
    </xf>
    <xf numFmtId="0" fontId="3" fillId="0" borderId="13" xfId="0" applyFont="1" applyBorder="1" applyAlignment="1" applyProtection="1">
      <alignment horizontal="center"/>
      <protection locked="0"/>
    </xf>
    <xf numFmtId="165" fontId="3" fillId="0" borderId="10" xfId="4" applyNumberFormat="1" applyFont="1" applyFill="1" applyBorder="1" applyAlignment="1"/>
    <xf numFmtId="3" fontId="3" fillId="0" borderId="0" xfId="0" applyNumberFormat="1" applyFont="1"/>
    <xf numFmtId="166" fontId="3" fillId="0" borderId="0" xfId="4" applyNumberFormat="1" applyFont="1" applyFill="1" applyBorder="1" applyAlignment="1"/>
    <xf numFmtId="166" fontId="3" fillId="0" borderId="0" xfId="0" applyNumberFormat="1" applyFont="1" applyProtection="1">
      <protection locked="0"/>
    </xf>
    <xf numFmtId="3" fontId="3" fillId="0" borderId="10" xfId="0" applyNumberFormat="1" applyFont="1" applyBorder="1" applyProtection="1">
      <protection locked="0"/>
    </xf>
    <xf numFmtId="165" fontId="3" fillId="0" borderId="0" xfId="4" applyNumberFormat="1" applyFont="1" applyFill="1" applyBorder="1" applyAlignment="1"/>
    <xf numFmtId="165" fontId="3" fillId="0" borderId="10" xfId="5" applyNumberFormat="1" applyFont="1" applyFill="1" applyBorder="1" applyAlignment="1"/>
    <xf numFmtId="165" fontId="3" fillId="0" borderId="13" xfId="5" applyNumberFormat="1" applyFont="1" applyFill="1" applyBorder="1" applyAlignment="1"/>
    <xf numFmtId="165" fontId="3" fillId="0" borderId="13" xfId="4" applyNumberFormat="1" applyFont="1" applyFill="1" applyBorder="1" applyAlignment="1"/>
    <xf numFmtId="168" fontId="3" fillId="0" borderId="0" xfId="0" applyNumberFormat="1" applyFont="1" applyAlignment="1" applyProtection="1">
      <alignment horizontal="center"/>
      <protection locked="0"/>
    </xf>
    <xf numFmtId="167" fontId="3" fillId="0" borderId="0" xfId="0" applyNumberFormat="1" applyFont="1"/>
    <xf numFmtId="165" fontId="3" fillId="0" borderId="14" xfId="5" applyNumberFormat="1" applyFont="1" applyFill="1" applyBorder="1" applyAlignment="1"/>
    <xf numFmtId="165" fontId="3" fillId="0" borderId="15" xfId="5" applyNumberFormat="1" applyFont="1" applyFill="1" applyBorder="1" applyAlignment="1"/>
    <xf numFmtId="166" fontId="3" fillId="0" borderId="0" xfId="0" applyNumberFormat="1" applyFont="1" applyAlignment="1" applyProtection="1">
      <alignment horizontal="center"/>
      <protection locked="0"/>
    </xf>
    <xf numFmtId="165" fontId="3" fillId="0" borderId="16" xfId="5" applyNumberFormat="1" applyFont="1" applyFill="1" applyBorder="1" applyAlignment="1"/>
    <xf numFmtId="167" fontId="3" fillId="0" borderId="0" xfId="0" applyNumberFormat="1" applyFont="1" applyAlignment="1">
      <alignment horizontal="right"/>
    </xf>
    <xf numFmtId="3" fontId="3" fillId="0" borderId="10" xfId="0" applyNumberFormat="1" applyFont="1" applyBorder="1"/>
    <xf numFmtId="0" fontId="3" fillId="0" borderId="0" xfId="3" applyNumberFormat="1" applyFont="1" applyProtection="1">
      <protection locked="0"/>
    </xf>
    <xf numFmtId="0" fontId="3" fillId="0" borderId="0" xfId="3" applyNumberFormat="1" applyFont="1" applyAlignment="1" applyProtection="1">
      <alignment horizontal="left"/>
      <protection locked="0"/>
    </xf>
    <xf numFmtId="164" fontId="5" fillId="7" borderId="0" xfId="3" applyFont="1" applyFill="1" applyProtection="1">
      <protection locked="0"/>
    </xf>
    <xf numFmtId="164" fontId="3" fillId="7" borderId="0" xfId="3" applyFont="1" applyFill="1" applyProtection="1">
      <protection locked="0"/>
    </xf>
    <xf numFmtId="0" fontId="3" fillId="0" borderId="0" xfId="3" applyNumberFormat="1" applyFont="1" applyAlignment="1" applyProtection="1">
      <alignment horizontal="right"/>
      <protection locked="0"/>
    </xf>
    <xf numFmtId="0" fontId="3" fillId="0" borderId="0" xfId="3" applyNumberFormat="1" applyFont="1" applyAlignment="1" applyProtection="1">
      <alignment horizontal="center"/>
      <protection locked="0"/>
    </xf>
    <xf numFmtId="3" fontId="3" fillId="0" borderId="0" xfId="3" applyNumberFormat="1" applyFont="1" applyAlignment="1" applyProtection="1">
      <alignment horizontal="center"/>
      <protection locked="0"/>
    </xf>
    <xf numFmtId="3" fontId="3" fillId="0" borderId="0" xfId="3" applyNumberFormat="1" applyFont="1" applyProtection="1">
      <protection locked="0"/>
    </xf>
    <xf numFmtId="49" fontId="4" fillId="0" borderId="0" xfId="3" applyNumberFormat="1" applyFont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165" fontId="3" fillId="3" borderId="0" xfId="4" applyNumberFormat="1" applyFont="1" applyFill="1" applyBorder="1" applyAlignment="1"/>
    <xf numFmtId="166" fontId="3" fillId="0" borderId="0" xfId="0" applyNumberFormat="1" applyFont="1"/>
    <xf numFmtId="3" fontId="7" fillId="0" borderId="0" xfId="0" applyNumberFormat="1" applyFont="1" applyProtection="1">
      <protection locked="0"/>
    </xf>
    <xf numFmtId="165" fontId="8" fillId="0" borderId="0" xfId="5" applyNumberFormat="1" applyFont="1" applyFill="1" applyBorder="1" applyAlignment="1"/>
    <xf numFmtId="43" fontId="3" fillId="0" borderId="0" xfId="4" applyFont="1" applyFill="1" applyBorder="1" applyAlignment="1"/>
    <xf numFmtId="3" fontId="3" fillId="0" borderId="0" xfId="0" applyNumberFormat="1" applyFont="1" applyAlignment="1" applyProtection="1">
      <alignment horizontal="fill"/>
      <protection locked="0"/>
    </xf>
    <xf numFmtId="42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3" fillId="0" borderId="0" xfId="7" applyNumberFormat="1" applyFont="1"/>
    <xf numFmtId="167" fontId="3" fillId="0" borderId="0" xfId="0" applyNumberFormat="1" applyFont="1" applyProtection="1">
      <protection locked="0"/>
    </xf>
    <xf numFmtId="3" fontId="3" fillId="0" borderId="0" xfId="8" applyNumberFormat="1" applyFont="1"/>
    <xf numFmtId="165" fontId="3" fillId="0" borderId="0" xfId="4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0" xfId="8" applyNumberFormat="1" applyFont="1" applyBorder="1" applyAlignment="1" applyProtection="1">
      <alignment horizontal="center"/>
      <protection locked="0"/>
    </xf>
    <xf numFmtId="0" fontId="3" fillId="0" borderId="0" xfId="8" applyNumberFormat="1" applyFont="1"/>
    <xf numFmtId="43" fontId="3" fillId="0" borderId="0" xfId="5" applyFont="1" applyBorder="1" applyAlignment="1">
      <alignment horizontal="center"/>
    </xf>
    <xf numFmtId="164" fontId="5" fillId="7" borderId="0" xfId="3" applyFont="1" applyFill="1"/>
    <xf numFmtId="164" fontId="3" fillId="7" borderId="0" xfId="3" applyFont="1" applyFill="1"/>
    <xf numFmtId="0" fontId="3" fillId="0" borderId="0" xfId="9" applyFont="1"/>
    <xf numFmtId="3" fontId="3" fillId="0" borderId="0" xfId="9" applyNumberFormat="1" applyFont="1"/>
    <xf numFmtId="165" fontId="8" fillId="4" borderId="0" xfId="5" applyNumberFormat="1" applyFont="1" applyFill="1" applyBorder="1" applyAlignment="1"/>
    <xf numFmtId="169" fontId="8" fillId="4" borderId="0" xfId="5" applyNumberFormat="1" applyFont="1" applyFill="1" applyBorder="1" applyAlignment="1"/>
    <xf numFmtId="164" fontId="3" fillId="0" borderId="0" xfId="8" applyFont="1"/>
    <xf numFmtId="168" fontId="3" fillId="0" borderId="0" xfId="8" applyNumberFormat="1" applyFont="1" applyAlignment="1">
      <alignment horizontal="center"/>
    </xf>
    <xf numFmtId="169" fontId="3" fillId="0" borderId="0" xfId="5" applyNumberFormat="1" applyFont="1" applyFill="1" applyBorder="1" applyAlignment="1"/>
    <xf numFmtId="3" fontId="3" fillId="0" borderId="0" xfId="8" quotePrefix="1" applyNumberFormat="1" applyFont="1" applyAlignment="1">
      <alignment horizontal="left"/>
    </xf>
    <xf numFmtId="41" fontId="3" fillId="6" borderId="0" xfId="6" applyNumberFormat="1" applyFont="1" applyFill="1" applyBorder="1" applyAlignment="1" applyProtection="1">
      <protection locked="0"/>
    </xf>
    <xf numFmtId="170" fontId="3" fillId="0" borderId="0" xfId="0" applyNumberFormat="1" applyFont="1" applyAlignment="1">
      <alignment horizontal="left"/>
    </xf>
    <xf numFmtId="165" fontId="3" fillId="4" borderId="0" xfId="4" applyNumberFormat="1" applyFont="1" applyFill="1" applyBorder="1" applyAlignment="1"/>
    <xf numFmtId="3" fontId="3" fillId="0" borderId="0" xfId="0" quotePrefix="1" applyNumberFormat="1" applyFont="1"/>
    <xf numFmtId="165" fontId="3" fillId="4" borderId="0" xfId="5" applyNumberFormat="1" applyFont="1" applyFill="1" applyBorder="1" applyAlignment="1"/>
    <xf numFmtId="0" fontId="3" fillId="0" borderId="10" xfId="9" applyFont="1" applyBorder="1" applyAlignment="1" applyProtection="1">
      <alignment horizontal="center"/>
      <protection locked="0"/>
    </xf>
    <xf numFmtId="3" fontId="5" fillId="0" borderId="0" xfId="8" applyNumberFormat="1" applyFont="1" applyAlignment="1">
      <alignment horizontal="left"/>
    </xf>
    <xf numFmtId="166" fontId="3" fillId="0" borderId="0" xfId="0" applyNumberFormat="1" applyFont="1" applyAlignment="1" applyProtection="1">
      <alignment horizontal="right"/>
      <protection locked="0"/>
    </xf>
    <xf numFmtId="168" fontId="3" fillId="0" borderId="0" xfId="0" applyNumberFormat="1" applyFont="1" applyAlignment="1" applyProtection="1">
      <alignment horizontal="left"/>
      <protection locked="0"/>
    </xf>
    <xf numFmtId="10" fontId="3" fillId="0" borderId="0" xfId="0" applyNumberFormat="1" applyFont="1" applyAlignment="1">
      <alignment horizontal="right"/>
    </xf>
    <xf numFmtId="43" fontId="3" fillId="0" borderId="0" xfId="5" applyFont="1" applyFill="1" applyBorder="1" applyAlignment="1"/>
    <xf numFmtId="164" fontId="9" fillId="7" borderId="0" xfId="3" applyFont="1" applyFill="1"/>
    <xf numFmtId="0" fontId="3" fillId="0" borderId="0" xfId="8" applyNumberFormat="1" applyFont="1" applyAlignment="1">
      <alignment wrapText="1"/>
    </xf>
    <xf numFmtId="10" fontId="3" fillId="0" borderId="0" xfId="0" applyNumberFormat="1" applyFont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10" fontId="3" fillId="0" borderId="0" xfId="8" applyNumberFormat="1" applyFont="1" applyAlignment="1">
      <alignment horizontal="left"/>
    </xf>
    <xf numFmtId="171" fontId="3" fillId="0" borderId="0" xfId="0" applyNumberFormat="1" applyFont="1" applyProtection="1">
      <protection locked="0"/>
    </xf>
    <xf numFmtId="168" fontId="10" fillId="0" borderId="0" xfId="8" applyNumberFormat="1" applyFont="1" applyAlignment="1">
      <alignment horizontal="left"/>
    </xf>
    <xf numFmtId="3" fontId="8" fillId="2" borderId="0" xfId="0" applyNumberFormat="1" applyFont="1" applyFill="1" applyProtection="1">
      <protection locked="0"/>
    </xf>
    <xf numFmtId="164" fontId="11" fillId="0" borderId="0" xfId="3" applyFont="1" applyProtection="1">
      <protection locked="0"/>
    </xf>
    <xf numFmtId="0" fontId="3" fillId="7" borderId="0" xfId="3" applyNumberFormat="1" applyFont="1" applyFill="1" applyProtection="1">
      <protection locked="0"/>
    </xf>
    <xf numFmtId="3" fontId="12" fillId="0" borderId="0" xfId="3" applyNumberFormat="1" applyFont="1" applyProtection="1">
      <protection locked="0"/>
    </xf>
    <xf numFmtId="173" fontId="3" fillId="0" borderId="0" xfId="3" applyNumberFormat="1" applyFont="1" applyProtection="1">
      <protection locked="0"/>
    </xf>
    <xf numFmtId="164" fontId="12" fillId="0" borderId="0" xfId="3" applyFont="1" applyProtection="1">
      <protection locked="0"/>
    </xf>
    <xf numFmtId="164" fontId="13" fillId="0" borderId="0" xfId="3" applyFont="1" applyProtection="1">
      <protection locked="0"/>
    </xf>
    <xf numFmtId="164" fontId="14" fillId="0" borderId="0" xfId="3" applyFont="1" applyProtection="1">
      <protection locked="0"/>
    </xf>
    <xf numFmtId="164" fontId="12" fillId="0" borderId="0" xfId="3" applyFont="1" applyAlignment="1" applyProtection="1">
      <alignment horizontal="left" wrapText="1"/>
      <protection locked="0"/>
    </xf>
    <xf numFmtId="3" fontId="8" fillId="2" borderId="0" xfId="3" applyNumberFormat="1" applyFont="1" applyFill="1" applyProtection="1">
      <protection locked="0"/>
    </xf>
    <xf numFmtId="4" fontId="3" fillId="0" borderId="0" xfId="0" applyNumberFormat="1" applyFont="1" applyProtection="1">
      <protection locked="0"/>
    </xf>
    <xf numFmtId="2" fontId="3" fillId="0" borderId="0" xfId="0" applyNumberFormat="1" applyFont="1"/>
    <xf numFmtId="168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13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5" fillId="7" borderId="1" xfId="3" applyFont="1" applyFill="1" applyBorder="1" applyProtection="1">
      <protection locked="0"/>
    </xf>
    <xf numFmtId="164" fontId="3" fillId="0" borderId="1" xfId="3" applyFont="1" applyBorder="1" applyProtection="1">
      <protection locked="0"/>
    </xf>
    <xf numFmtId="164" fontId="3" fillId="7" borderId="1" xfId="3" applyFont="1" applyFill="1" applyBorder="1" applyProtection="1">
      <protection locked="0"/>
    </xf>
    <xf numFmtId="164" fontId="5" fillId="8" borderId="0" xfId="3" applyFont="1" applyFill="1" applyProtection="1">
      <protection locked="0"/>
    </xf>
    <xf numFmtId="164" fontId="3" fillId="8" borderId="0" xfId="3" applyFont="1" applyFill="1" applyProtection="1">
      <protection locked="0"/>
    </xf>
    <xf numFmtId="164" fontId="3" fillId="7" borderId="0" xfId="3" applyFont="1" applyFill="1" applyAlignment="1" applyProtection="1">
      <alignment horizontal="right"/>
      <protection locked="0"/>
    </xf>
    <xf numFmtId="164" fontId="4" fillId="0" borderId="0" xfId="3" applyFont="1" applyAlignment="1" applyProtection="1">
      <alignment horizontal="right"/>
      <protection locked="0"/>
    </xf>
    <xf numFmtId="164" fontId="3" fillId="0" borderId="15" xfId="3" applyFont="1" applyBorder="1" applyProtection="1">
      <protection locked="0"/>
    </xf>
    <xf numFmtId="164" fontId="3" fillId="0" borderId="18" xfId="3" applyFont="1" applyBorder="1" applyProtection="1">
      <protection locked="0"/>
    </xf>
    <xf numFmtId="42" fontId="3" fillId="0" borderId="10" xfId="0" applyNumberFormat="1" applyFont="1" applyBorder="1"/>
    <xf numFmtId="3" fontId="3" fillId="0" borderId="13" xfId="0" applyNumberFormat="1" applyFont="1" applyBorder="1"/>
    <xf numFmtId="164" fontId="3" fillId="0" borderId="13" xfId="3" applyFont="1" applyBorder="1" applyProtection="1">
      <protection locked="0"/>
    </xf>
    <xf numFmtId="164" fontId="3" fillId="0" borderId="11" xfId="3" applyFont="1" applyBorder="1" applyAlignment="1" applyProtection="1">
      <alignment horizontal="center"/>
      <protection locked="0"/>
    </xf>
    <xf numFmtId="9" fontId="3" fillId="0" borderId="11" xfId="2" applyFont="1" applyFill="1" applyBorder="1" applyAlignment="1" applyProtection="1">
      <alignment horizontal="center"/>
      <protection locked="0"/>
    </xf>
    <xf numFmtId="164" fontId="3" fillId="0" borderId="17" xfId="3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17" fillId="5" borderId="4" xfId="3" applyFont="1" applyFill="1" applyBorder="1" applyProtection="1">
      <protection locked="0"/>
    </xf>
    <xf numFmtId="164" fontId="18" fillId="5" borderId="4" xfId="3" applyFont="1" applyFill="1" applyBorder="1" applyProtection="1">
      <protection locked="0"/>
    </xf>
    <xf numFmtId="44" fontId="3" fillId="0" borderId="0" xfId="6" applyFont="1" applyAlignment="1" applyProtection="1">
      <protection locked="0"/>
    </xf>
    <xf numFmtId="43" fontId="3" fillId="0" borderId="0" xfId="1" applyFont="1" applyProtection="1">
      <protection locked="0"/>
    </xf>
    <xf numFmtId="169" fontId="3" fillId="0" borderId="0" xfId="1" applyNumberFormat="1" applyFont="1" applyProtection="1">
      <protection locked="0"/>
    </xf>
    <xf numFmtId="165" fontId="3" fillId="0" borderId="0" xfId="5" applyNumberFormat="1" applyFont="1" applyFill="1" applyAlignment="1"/>
    <xf numFmtId="165" fontId="3" fillId="0" borderId="0" xfId="5" applyNumberFormat="1" applyFont="1" applyAlignment="1"/>
    <xf numFmtId="165" fontId="3" fillId="3" borderId="0" xfId="4" applyNumberFormat="1" applyFont="1" applyFill="1" applyAlignment="1"/>
    <xf numFmtId="10" fontId="3" fillId="0" borderId="0" xfId="2" applyNumberFormat="1" applyFont="1" applyAlignment="1">
      <alignment horizontal="right"/>
    </xf>
    <xf numFmtId="42" fontId="3" fillId="0" borderId="14" xfId="0" applyNumberFormat="1" applyFont="1" applyBorder="1" applyAlignment="1">
      <alignment horizontal="right"/>
    </xf>
    <xf numFmtId="174" fontId="3" fillId="0" borderId="10" xfId="3" applyNumberFormat="1" applyFont="1" applyBorder="1" applyProtection="1">
      <protection locked="0"/>
    </xf>
    <xf numFmtId="164" fontId="5" fillId="0" borderId="10" xfId="3" applyFont="1" applyBorder="1" applyProtection="1">
      <protection locked="0"/>
    </xf>
    <xf numFmtId="164" fontId="5" fillId="0" borderId="12" xfId="3" applyFont="1" applyBorder="1" applyProtection="1">
      <protection locked="0"/>
    </xf>
    <xf numFmtId="164" fontId="3" fillId="0" borderId="10" xfId="3" applyFont="1" applyBorder="1"/>
    <xf numFmtId="164" fontId="3" fillId="0" borderId="11" xfId="3" applyFont="1" applyBorder="1" applyAlignment="1">
      <alignment horizontal="center"/>
    </xf>
    <xf numFmtId="3" fontId="8" fillId="0" borderId="10" xfId="0" applyNumberFormat="1" applyFont="1" applyBorder="1" applyProtection="1">
      <protection locked="0"/>
    </xf>
    <xf numFmtId="3" fontId="8" fillId="0" borderId="13" xfId="0" applyNumberFormat="1" applyFont="1" applyBorder="1" applyProtection="1">
      <protection locked="0"/>
    </xf>
    <xf numFmtId="167" fontId="3" fillId="0" borderId="10" xfId="0" applyNumberFormat="1" applyFont="1" applyBorder="1" applyAlignment="1">
      <alignment horizontal="right"/>
    </xf>
    <xf numFmtId="3" fontId="3" fillId="0" borderId="13" xfId="0" applyNumberFormat="1" applyFont="1" applyBorder="1" applyProtection="1">
      <protection locked="0"/>
    </xf>
    <xf numFmtId="175" fontId="3" fillId="0" borderId="0" xfId="1" applyNumberFormat="1" applyFont="1" applyProtection="1">
      <protection locked="0"/>
    </xf>
    <xf numFmtId="43" fontId="3" fillId="0" borderId="2" xfId="5" applyFont="1" applyFill="1" applyBorder="1" applyAlignment="1"/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9" borderId="19" xfId="0" applyFont="1" applyFill="1" applyBorder="1" applyAlignment="1" applyProtection="1">
      <alignment horizontal="center" vertical="center"/>
      <protection locked="0"/>
    </xf>
    <xf numFmtId="0" fontId="4" fillId="9" borderId="20" xfId="0" applyFont="1" applyFill="1" applyBorder="1" applyAlignment="1" applyProtection="1">
      <alignment horizontal="center" vertical="center"/>
      <protection locked="0"/>
    </xf>
    <xf numFmtId="3" fontId="4" fillId="9" borderId="19" xfId="0" applyNumberFormat="1" applyFont="1" applyFill="1" applyBorder="1" applyAlignment="1" applyProtection="1">
      <alignment horizontal="center" wrapText="1"/>
      <protection locked="0"/>
    </xf>
    <xf numFmtId="3" fontId="4" fillId="9" borderId="20" xfId="0" applyNumberFormat="1" applyFont="1" applyFill="1" applyBorder="1" applyAlignment="1" applyProtection="1">
      <alignment horizontal="center" wrapText="1"/>
      <protection locked="0"/>
    </xf>
    <xf numFmtId="164" fontId="15" fillId="0" borderId="0" xfId="8" applyFont="1" applyAlignment="1">
      <alignment horizontal="left" vertical="top" wrapText="1"/>
    </xf>
    <xf numFmtId="164" fontId="16" fillId="5" borderId="7" xfId="3" applyFont="1" applyFill="1" applyBorder="1" applyAlignment="1" applyProtection="1">
      <alignment horizontal="center"/>
      <protection locked="0"/>
    </xf>
    <xf numFmtId="164" fontId="16" fillId="5" borderId="8" xfId="3" applyFont="1" applyFill="1" applyBorder="1" applyAlignment="1" applyProtection="1">
      <alignment horizontal="center"/>
      <protection locked="0"/>
    </xf>
    <xf numFmtId="164" fontId="16" fillId="5" borderId="9" xfId="3" applyFont="1" applyFill="1" applyBorder="1" applyAlignment="1" applyProtection="1">
      <alignment horizontal="center"/>
      <protection locked="0"/>
    </xf>
    <xf numFmtId="165" fontId="16" fillId="5" borderId="7" xfId="1" applyNumberFormat="1" applyFont="1" applyFill="1" applyBorder="1" applyAlignment="1" applyProtection="1">
      <alignment horizontal="center"/>
      <protection locked="0"/>
    </xf>
    <xf numFmtId="165" fontId="16" fillId="5" borderId="9" xfId="1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top"/>
    </xf>
    <xf numFmtId="0" fontId="4" fillId="0" borderId="0" xfId="3" applyNumberFormat="1" applyFont="1" applyAlignment="1" applyProtection="1">
      <alignment horizontal="right"/>
      <protection locked="0"/>
    </xf>
    <xf numFmtId="0" fontId="3" fillId="0" borderId="0" xfId="3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</cellXfs>
  <cellStyles count="11">
    <cellStyle name="Comma" xfId="1" builtinId="3"/>
    <cellStyle name="Comma 10" xfId="5" xr:uid="{9996DE65-FF5C-4FEB-AEA6-2DF7C4F87583}"/>
    <cellStyle name="Comma 2" xfId="4" xr:uid="{41B7C728-5BBB-42D4-A451-DC022A8D4D04}"/>
    <cellStyle name="Currency 2" xfId="6" xr:uid="{0D14D0ED-62A4-4FA1-94AA-190D1A800105}"/>
    <cellStyle name="Normal" xfId="0" builtinId="0"/>
    <cellStyle name="Normal 14" xfId="10" xr:uid="{0FC521FF-C25C-4BE4-9582-C20687A9A675}"/>
    <cellStyle name="Normal 2" xfId="3" xr:uid="{A58F4611-8FAE-413B-A60D-54E048524F3E}"/>
    <cellStyle name="Normal 3_Attach O, GG, Support -New Method 2-14-11" xfId="7" xr:uid="{A28556EE-97B5-49BA-8063-3908BAE7134D}"/>
    <cellStyle name="Normal_21 Exh B" xfId="9" xr:uid="{74B979F1-9279-48C0-8150-35CDD7F06F8B}"/>
    <cellStyle name="Normal_Attachment Os for 2002 True-up" xfId="8" xr:uid="{B6A0E933-8CD6-40DD-AA11-48188169ED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A79C-19A3-49FF-953A-191055C13465}">
  <dimension ref="A1:V207"/>
  <sheetViews>
    <sheetView tabSelected="1" topLeftCell="A70" zoomScale="80" zoomScaleNormal="80" workbookViewId="0">
      <selection activeCell="T31" sqref="T31"/>
    </sheetView>
    <sheetView tabSelected="1" topLeftCell="A34" workbookViewId="1">
      <selection activeCell="J51" sqref="J51"/>
    </sheetView>
  </sheetViews>
  <sheetFormatPr defaultColWidth="10.5546875" defaultRowHeight="13.2"/>
  <cols>
    <col min="1" max="1" width="5.109375" style="1" customWidth="1"/>
    <col min="2" max="2" width="25.77734375" style="1" customWidth="1"/>
    <col min="3" max="3" width="28.5546875" style="1" hidden="1" customWidth="1"/>
    <col min="4" max="4" width="17.21875" style="1" customWidth="1"/>
    <col min="5" max="5" width="5.33203125" style="1" customWidth="1"/>
    <col min="6" max="6" width="4.33203125" style="1" customWidth="1"/>
    <col min="7" max="7" width="14.109375" style="1" customWidth="1"/>
    <col min="8" max="8" width="2.44140625" style="1" customWidth="1"/>
    <col min="9" max="9" width="15.44140625" style="1" customWidth="1"/>
    <col min="10" max="10" width="1.77734375" style="1" customWidth="1"/>
    <col min="11" max="11" width="10.88671875" style="1" bestFit="1" customWidth="1"/>
    <col min="12" max="12" width="2.77734375" style="142" customWidth="1"/>
    <col min="13" max="13" width="14.44140625" style="1" bestFit="1" customWidth="1"/>
    <col min="14" max="14" width="5.77734375" style="1" customWidth="1"/>
    <col min="15" max="15" width="6.109375" style="1" customWidth="1"/>
    <col min="16" max="16" width="10.5546875" style="1"/>
    <col min="17" max="17" width="5" style="1" customWidth="1"/>
    <col min="18" max="18" width="16.44140625" style="1" customWidth="1"/>
    <col min="19" max="19" width="2.77734375" style="143" customWidth="1"/>
    <col min="20" max="20" width="20" style="1" customWidth="1"/>
    <col min="21" max="21" width="19.5546875" style="1" customWidth="1"/>
    <col min="22" max="22" width="13.44140625" style="1" bestFit="1" customWidth="1"/>
    <col min="23" max="16384" width="10.5546875" style="1"/>
  </cols>
  <sheetData>
    <row r="1" spans="1:22" ht="16.2" thickBot="1">
      <c r="A1" s="183" t="s">
        <v>283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  <c r="L1" s="155"/>
      <c r="M1" s="183" t="s">
        <v>284</v>
      </c>
      <c r="N1" s="184"/>
      <c r="O1" s="184"/>
      <c r="P1" s="184"/>
      <c r="Q1" s="184"/>
      <c r="R1" s="185"/>
      <c r="S1" s="156"/>
      <c r="T1" s="186" t="s">
        <v>279</v>
      </c>
      <c r="U1" s="187"/>
    </row>
    <row r="2" spans="1:22" s="2" customFormat="1">
      <c r="A2" s="34"/>
      <c r="B2" s="58"/>
      <c r="C2" s="58"/>
      <c r="D2" s="59"/>
      <c r="E2" s="58"/>
      <c r="F2" s="58"/>
      <c r="G2" s="58"/>
      <c r="H2" s="58"/>
      <c r="I2" s="190" t="s">
        <v>0</v>
      </c>
      <c r="J2" s="190"/>
      <c r="K2" s="190"/>
      <c r="L2" s="60"/>
      <c r="M2" s="1"/>
      <c r="N2" s="1"/>
      <c r="O2" s="1"/>
      <c r="P2" s="1"/>
      <c r="Q2" s="1"/>
      <c r="R2" s="145" t="s">
        <v>281</v>
      </c>
      <c r="S2" s="144"/>
      <c r="T2" s="146"/>
      <c r="U2" s="147"/>
      <c r="V2" s="1"/>
    </row>
    <row r="3" spans="1:22" s="2" customFormat="1">
      <c r="A3" s="34"/>
      <c r="B3" s="58"/>
      <c r="C3" s="58"/>
      <c r="D3" s="59"/>
      <c r="E3" s="58"/>
      <c r="F3" s="58"/>
      <c r="G3" s="58"/>
      <c r="H3" s="58"/>
      <c r="I3" s="58"/>
      <c r="J3" s="191" t="s">
        <v>1</v>
      </c>
      <c r="K3" s="191"/>
      <c r="L3" s="60"/>
      <c r="M3" s="1"/>
      <c r="N3" s="1"/>
      <c r="O3" s="1"/>
      <c r="P3" s="1"/>
      <c r="Q3" s="1"/>
      <c r="R3" s="1"/>
      <c r="S3" s="61"/>
      <c r="T3" s="34"/>
      <c r="U3" s="151"/>
      <c r="V3" s="1"/>
    </row>
    <row r="4" spans="1:22" s="2" customFormat="1">
      <c r="A4" s="34"/>
      <c r="B4" s="58"/>
      <c r="C4" s="1"/>
      <c r="D4" s="59"/>
      <c r="E4" s="58"/>
      <c r="F4" s="58"/>
      <c r="G4" s="58"/>
      <c r="H4" s="58"/>
      <c r="I4" s="58"/>
      <c r="J4" s="58"/>
      <c r="K4" s="62"/>
      <c r="L4" s="60"/>
      <c r="M4" s="1"/>
      <c r="N4" s="1"/>
      <c r="O4" s="1"/>
      <c r="P4" s="1"/>
      <c r="Q4" s="1"/>
      <c r="R4" s="1"/>
      <c r="S4" s="61"/>
      <c r="T4" s="34"/>
      <c r="U4" s="151"/>
      <c r="V4" s="1"/>
    </row>
    <row r="5" spans="1:22" s="2" customFormat="1">
      <c r="A5" s="34"/>
      <c r="B5" s="59" t="s">
        <v>2</v>
      </c>
      <c r="C5" s="63" t="s">
        <v>3</v>
      </c>
      <c r="D5" s="1"/>
      <c r="E5" s="58"/>
      <c r="F5" s="58"/>
      <c r="G5" s="58"/>
      <c r="H5" s="58"/>
      <c r="I5" s="58"/>
      <c r="J5" s="58"/>
      <c r="K5" s="58"/>
      <c r="L5" s="60"/>
      <c r="M5" s="1"/>
      <c r="N5" s="1"/>
      <c r="O5" s="1"/>
      <c r="P5" s="1"/>
      <c r="Q5" s="1"/>
      <c r="R5" s="1"/>
      <c r="S5" s="61"/>
      <c r="T5" s="34"/>
      <c r="U5" s="151"/>
      <c r="V5" s="1"/>
    </row>
    <row r="6" spans="1:22" s="2" customFormat="1">
      <c r="A6" s="34"/>
      <c r="B6" s="58"/>
      <c r="C6" s="64" t="s">
        <v>4</v>
      </c>
      <c r="D6" s="1"/>
      <c r="E6" s="65"/>
      <c r="F6" s="65"/>
      <c r="G6" s="65"/>
      <c r="H6" s="58"/>
      <c r="I6" s="58"/>
      <c r="J6" s="58"/>
      <c r="K6" s="58"/>
      <c r="L6" s="60"/>
      <c r="M6" s="1"/>
      <c r="N6" s="1"/>
      <c r="O6" s="1"/>
      <c r="P6" s="1"/>
      <c r="Q6" s="1"/>
      <c r="R6" s="1"/>
      <c r="S6" s="61"/>
      <c r="T6" s="34"/>
      <c r="U6" s="151"/>
      <c r="V6" s="1"/>
    </row>
    <row r="7" spans="1:22" s="2" customFormat="1">
      <c r="A7" s="34"/>
      <c r="B7" s="58"/>
      <c r="C7" s="65"/>
      <c r="D7" s="65"/>
      <c r="E7" s="65"/>
      <c r="F7" s="65"/>
      <c r="G7" s="65"/>
      <c r="H7" s="58"/>
      <c r="I7" s="58"/>
      <c r="J7" s="58"/>
      <c r="K7" s="58"/>
      <c r="L7" s="60"/>
      <c r="M7" s="1"/>
      <c r="N7" s="1"/>
      <c r="O7" s="1"/>
      <c r="P7" s="1"/>
      <c r="Q7" s="1"/>
      <c r="R7" s="1"/>
      <c r="S7" s="61"/>
      <c r="T7" s="34"/>
      <c r="U7" s="151"/>
      <c r="V7" s="1"/>
    </row>
    <row r="8" spans="1:22" s="2" customFormat="1" ht="13.8" thickBot="1">
      <c r="A8" s="34"/>
      <c r="B8" s="58"/>
      <c r="C8" s="66" t="s">
        <v>5</v>
      </c>
      <c r="D8" s="1"/>
      <c r="E8" s="65"/>
      <c r="F8" s="65"/>
      <c r="G8" s="65"/>
      <c r="H8" s="65"/>
      <c r="I8" s="65"/>
      <c r="J8" s="65"/>
      <c r="K8" s="65"/>
      <c r="L8" s="60"/>
      <c r="M8" s="1"/>
      <c r="N8" s="1"/>
      <c r="O8" s="1"/>
      <c r="P8" s="1"/>
      <c r="Q8" s="1"/>
      <c r="R8" s="1"/>
      <c r="S8" s="61"/>
      <c r="U8" s="151"/>
      <c r="V8" s="1"/>
    </row>
    <row r="9" spans="1:22" s="2" customFormat="1">
      <c r="A9" s="67" t="s">
        <v>6</v>
      </c>
      <c r="B9" s="35"/>
      <c r="C9" s="35"/>
      <c r="D9" s="68"/>
      <c r="E9" s="35"/>
      <c r="F9" s="35"/>
      <c r="G9" s="35"/>
      <c r="H9" s="35"/>
      <c r="I9" s="84" t="s">
        <v>7</v>
      </c>
      <c r="J9" s="35"/>
      <c r="K9" s="35"/>
      <c r="L9" s="60"/>
      <c r="M9" s="68"/>
      <c r="N9" s="35"/>
      <c r="O9" s="35"/>
      <c r="P9" s="35"/>
      <c r="Q9" s="35"/>
      <c r="R9" s="84" t="s">
        <v>7</v>
      </c>
      <c r="S9" s="61"/>
      <c r="T9" s="180" t="s">
        <v>282</v>
      </c>
      <c r="U9" s="178" t="s">
        <v>280</v>
      </c>
      <c r="V9" s="1"/>
    </row>
    <row r="10" spans="1:22" s="2" customFormat="1" ht="13.8" thickBot="1">
      <c r="A10" s="40" t="s">
        <v>8</v>
      </c>
      <c r="B10" s="35"/>
      <c r="C10" s="35"/>
      <c r="D10" s="35"/>
      <c r="E10" s="35"/>
      <c r="F10" s="35"/>
      <c r="G10" s="35"/>
      <c r="H10" s="35"/>
      <c r="I10" s="154" t="s">
        <v>9</v>
      </c>
      <c r="J10" s="35"/>
      <c r="K10" s="35"/>
      <c r="L10" s="60"/>
      <c r="M10" s="35"/>
      <c r="N10" s="35"/>
      <c r="O10" s="35"/>
      <c r="P10" s="35"/>
      <c r="Q10" s="35"/>
      <c r="R10" s="154" t="s">
        <v>9</v>
      </c>
      <c r="S10" s="61"/>
      <c r="T10" s="181"/>
      <c r="U10" s="179"/>
      <c r="V10" s="1"/>
    </row>
    <row r="11" spans="1:22" s="2" customFormat="1">
      <c r="A11" s="67">
        <v>1</v>
      </c>
      <c r="B11" s="35" t="s">
        <v>10</v>
      </c>
      <c r="C11" s="35"/>
      <c r="D11" s="39"/>
      <c r="E11" s="35"/>
      <c r="F11" s="35"/>
      <c r="G11" s="35"/>
      <c r="H11" s="35"/>
      <c r="I11" s="38">
        <v>32080123.189188451</v>
      </c>
      <c r="J11" s="35"/>
      <c r="K11" s="35"/>
      <c r="L11" s="60"/>
      <c r="M11" s="39"/>
      <c r="N11" s="35"/>
      <c r="O11" s="35"/>
      <c r="P11" s="35"/>
      <c r="Q11" s="35"/>
      <c r="R11" s="38">
        <v>32447858.704528175</v>
      </c>
      <c r="S11" s="61"/>
      <c r="T11" s="148">
        <f>+I11-R11</f>
        <v>-367735.51533972472</v>
      </c>
      <c r="U11" s="152">
        <f>+T11/R11</f>
        <v>-1.1333121198792892E-2</v>
      </c>
      <c r="V11" s="1"/>
    </row>
    <row r="12" spans="1:22" s="2" customFormat="1">
      <c r="A12" s="67"/>
      <c r="B12" s="35"/>
      <c r="C12" s="35"/>
      <c r="D12" s="35"/>
      <c r="E12" s="35"/>
      <c r="F12" s="35"/>
      <c r="G12" s="35"/>
      <c r="H12" s="35"/>
      <c r="I12" s="39"/>
      <c r="J12" s="35"/>
      <c r="K12" s="35"/>
      <c r="L12" s="60"/>
      <c r="M12" s="35"/>
      <c r="N12" s="35"/>
      <c r="O12" s="35"/>
      <c r="P12" s="35"/>
      <c r="Q12" s="35"/>
      <c r="R12" s="39"/>
      <c r="S12" s="61"/>
      <c r="T12" s="45"/>
      <c r="U12" s="151"/>
      <c r="V12" s="1"/>
    </row>
    <row r="13" spans="1:22" s="2" customFormat="1" ht="13.8" thickBot="1">
      <c r="A13" s="67" t="s">
        <v>11</v>
      </c>
      <c r="B13" s="35" t="s">
        <v>12</v>
      </c>
      <c r="C13" s="39" t="s">
        <v>13</v>
      </c>
      <c r="D13" s="3" t="s">
        <v>14</v>
      </c>
      <c r="E13" s="39"/>
      <c r="F13" s="192" t="s">
        <v>15</v>
      </c>
      <c r="G13" s="192"/>
      <c r="H13" s="35"/>
      <c r="I13" s="39"/>
      <c r="J13" s="35"/>
      <c r="K13" s="35"/>
      <c r="L13" s="60"/>
      <c r="M13" s="3" t="s">
        <v>14</v>
      </c>
      <c r="N13" s="39"/>
      <c r="O13" s="30" t="s">
        <v>15</v>
      </c>
      <c r="P13" s="30"/>
      <c r="Q13" s="35"/>
      <c r="R13" s="39"/>
      <c r="S13" s="61"/>
      <c r="T13" s="45"/>
      <c r="U13" s="151"/>
      <c r="V13" s="1"/>
    </row>
    <row r="14" spans="1:22" s="2" customFormat="1">
      <c r="A14" s="67">
        <v>2</v>
      </c>
      <c r="B14" s="35" t="s">
        <v>16</v>
      </c>
      <c r="C14" s="39" t="s">
        <v>17</v>
      </c>
      <c r="D14" s="69">
        <v>1167.2601353369137</v>
      </c>
      <c r="E14" s="39"/>
      <c r="F14" s="42" t="s">
        <v>18</v>
      </c>
      <c r="G14" s="70">
        <v>1</v>
      </c>
      <c r="H14" s="39"/>
      <c r="I14" s="7">
        <v>1166.4899168608256</v>
      </c>
      <c r="J14" s="35"/>
      <c r="K14" s="35"/>
      <c r="L14" s="60"/>
      <c r="M14" s="69">
        <v>502.17343589929112</v>
      </c>
      <c r="N14" s="39"/>
      <c r="O14" s="39" t="s">
        <v>18</v>
      </c>
      <c r="P14" s="70">
        <v>1</v>
      </c>
      <c r="Q14" s="39"/>
      <c r="R14" s="7">
        <v>502.17343589929112</v>
      </c>
      <c r="S14" s="61"/>
      <c r="T14" s="47">
        <f>+I14-R14</f>
        <v>664.31648096153447</v>
      </c>
      <c r="U14" s="152"/>
      <c r="V14" s="1"/>
    </row>
    <row r="15" spans="1:22" s="2" customFormat="1">
      <c r="A15" s="67">
        <v>3</v>
      </c>
      <c r="B15" s="35" t="s">
        <v>19</v>
      </c>
      <c r="C15" s="39" t="s">
        <v>20</v>
      </c>
      <c r="D15" s="69">
        <v>1170542.6399999997</v>
      </c>
      <c r="E15" s="39"/>
      <c r="F15" s="42" t="s">
        <v>18</v>
      </c>
      <c r="G15" s="70">
        <v>1</v>
      </c>
      <c r="H15" s="39"/>
      <c r="I15" s="7">
        <v>1170542.6399999997</v>
      </c>
      <c r="J15" s="35"/>
      <c r="K15" s="35"/>
      <c r="L15" s="60"/>
      <c r="M15" s="69">
        <v>468959</v>
      </c>
      <c r="N15" s="39"/>
      <c r="O15" s="42" t="s">
        <v>18</v>
      </c>
      <c r="P15" s="70">
        <v>1</v>
      </c>
      <c r="Q15" s="39"/>
      <c r="R15" s="7">
        <v>468959</v>
      </c>
      <c r="S15" s="61"/>
      <c r="T15" s="47">
        <f>+I15-R15</f>
        <v>701583.63999999966</v>
      </c>
      <c r="U15" s="152">
        <f>+T15/R15</f>
        <v>1.496044728856893</v>
      </c>
      <c r="V15" s="1"/>
    </row>
    <row r="16" spans="1:22" s="2" customFormat="1">
      <c r="A16" s="67">
        <v>4</v>
      </c>
      <c r="B16" s="71" t="s">
        <v>21</v>
      </c>
      <c r="C16" s="39"/>
      <c r="D16" s="72"/>
      <c r="E16" s="39"/>
      <c r="F16" s="42"/>
      <c r="G16" s="70"/>
      <c r="H16" s="39"/>
      <c r="I16" s="7"/>
      <c r="J16" s="35"/>
      <c r="K16" s="35"/>
      <c r="L16" s="60"/>
      <c r="M16" s="73"/>
      <c r="N16" s="39"/>
      <c r="O16" s="42"/>
      <c r="P16" s="43"/>
      <c r="Q16" s="39"/>
      <c r="R16" s="7"/>
      <c r="S16" s="61"/>
      <c r="T16" s="47"/>
      <c r="U16" s="151"/>
      <c r="V16" s="1"/>
    </row>
    <row r="17" spans="1:22" s="2" customFormat="1" ht="13.8" thickBot="1">
      <c r="A17" s="67">
        <v>5</v>
      </c>
      <c r="B17" s="71" t="s">
        <v>21</v>
      </c>
      <c r="C17" s="39"/>
      <c r="D17" s="72"/>
      <c r="E17" s="39"/>
      <c r="F17" s="42"/>
      <c r="G17" s="70"/>
      <c r="H17" s="39"/>
      <c r="I17" s="4"/>
      <c r="J17" s="35"/>
      <c r="K17" s="35"/>
      <c r="L17" s="60"/>
      <c r="M17" s="73"/>
      <c r="N17" s="39"/>
      <c r="O17" s="42"/>
      <c r="P17" s="43"/>
      <c r="Q17" s="39"/>
      <c r="R17" s="4"/>
      <c r="S17" s="61"/>
      <c r="T17" s="48"/>
      <c r="U17" s="151"/>
      <c r="V17" s="1"/>
    </row>
    <row r="18" spans="1:22" s="2" customFormat="1">
      <c r="A18" s="67">
        <v>6</v>
      </c>
      <c r="B18" s="35" t="s">
        <v>22</v>
      </c>
      <c r="C18" s="35"/>
      <c r="D18" s="74" t="s">
        <v>11</v>
      </c>
      <c r="E18" s="39"/>
      <c r="F18" s="39"/>
      <c r="G18" s="44"/>
      <c r="H18" s="39"/>
      <c r="I18" s="7">
        <f>SUM(I14:I17)</f>
        <v>1171709.1299168605</v>
      </c>
      <c r="J18" s="35"/>
      <c r="K18" s="35"/>
      <c r="L18" s="60"/>
      <c r="M18" s="74" t="s">
        <v>11</v>
      </c>
      <c r="N18" s="39"/>
      <c r="O18" s="39"/>
      <c r="P18" s="44"/>
      <c r="Q18" s="39"/>
      <c r="R18" s="7">
        <f>SUM(R14:R17)</f>
        <v>469461.17343589931</v>
      </c>
      <c r="S18" s="61"/>
      <c r="T18" s="47">
        <f>+I18-R18</f>
        <v>702247.95648096118</v>
      </c>
      <c r="U18" s="152">
        <f>+T18/R18</f>
        <v>1.4958595006725233</v>
      </c>
      <c r="V18" s="1"/>
    </row>
    <row r="19" spans="1:22" s="2" customFormat="1">
      <c r="A19" s="67"/>
      <c r="B19" s="35"/>
      <c r="C19" s="35"/>
      <c r="D19" s="35"/>
      <c r="E19" s="35"/>
      <c r="F19" s="35"/>
      <c r="G19" s="35"/>
      <c r="H19" s="35"/>
      <c r="I19" s="7"/>
      <c r="J19" s="35"/>
      <c r="K19" s="35"/>
      <c r="L19" s="60"/>
      <c r="M19" s="35"/>
      <c r="N19" s="35"/>
      <c r="O19" s="35"/>
      <c r="P19" s="35"/>
      <c r="Q19" s="35"/>
      <c r="R19" s="7"/>
      <c r="S19" s="61"/>
      <c r="T19" s="47"/>
      <c r="U19" s="151"/>
      <c r="V19" s="1"/>
    </row>
    <row r="20" spans="1:22" s="2" customFormat="1" ht="13.8" thickBot="1">
      <c r="A20" s="67">
        <v>7</v>
      </c>
      <c r="B20" s="35" t="s">
        <v>23</v>
      </c>
      <c r="C20" s="35" t="s">
        <v>24</v>
      </c>
      <c r="D20" s="74"/>
      <c r="E20" s="39"/>
      <c r="F20" s="39"/>
      <c r="G20" s="39"/>
      <c r="H20" s="39"/>
      <c r="I20" s="5">
        <f>I11-I18</f>
        <v>30908414.059271589</v>
      </c>
      <c r="J20" s="35"/>
      <c r="K20" s="35"/>
      <c r="L20" s="60"/>
      <c r="M20" s="74"/>
      <c r="N20" s="39"/>
      <c r="O20" s="39"/>
      <c r="P20" s="39"/>
      <c r="Q20" s="39"/>
      <c r="R20" s="5">
        <f>R11-R18</f>
        <v>31978397.531092275</v>
      </c>
      <c r="S20" s="61"/>
      <c r="T20" s="164">
        <f>+I20-R20</f>
        <v>-1069983.471820686</v>
      </c>
      <c r="U20" s="152">
        <f>+T20/R20</f>
        <v>-3.3459571286533409E-2</v>
      </c>
      <c r="V20" s="1"/>
    </row>
    <row r="21" spans="1:22" s="2" customFormat="1" ht="13.8" thickTop="1">
      <c r="A21" s="67"/>
      <c r="B21" s="35"/>
      <c r="C21" s="35"/>
      <c r="D21" s="74"/>
      <c r="E21" s="39"/>
      <c r="F21" s="39"/>
      <c r="G21" s="39"/>
      <c r="H21" s="39"/>
      <c r="I21" s="75"/>
      <c r="J21" s="35"/>
      <c r="K21" s="35"/>
      <c r="L21" s="60"/>
      <c r="M21" s="74"/>
      <c r="N21" s="39"/>
      <c r="O21" s="39"/>
      <c r="P21" s="39"/>
      <c r="Q21" s="39"/>
      <c r="R21" s="35"/>
      <c r="S21" s="61"/>
      <c r="T21" s="37"/>
      <c r="U21" s="151"/>
      <c r="V21" s="1"/>
    </row>
    <row r="22" spans="1:22" s="2" customFormat="1">
      <c r="A22" s="67"/>
      <c r="B22" s="35" t="s">
        <v>25</v>
      </c>
      <c r="C22" s="35"/>
      <c r="D22" s="39"/>
      <c r="E22" s="35"/>
      <c r="F22" s="35"/>
      <c r="G22" s="35"/>
      <c r="H22" s="35"/>
      <c r="I22" s="39"/>
      <c r="J22" s="35"/>
      <c r="K22" s="35"/>
      <c r="L22" s="60"/>
      <c r="M22" s="39"/>
      <c r="N22" s="35"/>
      <c r="O22" s="35"/>
      <c r="P22" s="35"/>
      <c r="Q22" s="35"/>
      <c r="R22" s="39"/>
      <c r="S22" s="61"/>
      <c r="T22" s="45"/>
      <c r="U22" s="151"/>
      <c r="V22" s="1"/>
    </row>
    <row r="23" spans="1:22" s="2" customFormat="1">
      <c r="A23" s="67">
        <v>8</v>
      </c>
      <c r="B23" s="35" t="s">
        <v>26</v>
      </c>
      <c r="C23" s="35" t="s">
        <v>27</v>
      </c>
      <c r="D23" s="39"/>
      <c r="E23" s="35"/>
      <c r="F23" s="35"/>
      <c r="G23" s="35"/>
      <c r="H23" s="35"/>
      <c r="I23" s="69">
        <v>379000</v>
      </c>
      <c r="J23" s="35"/>
      <c r="K23" s="35"/>
      <c r="L23" s="60"/>
      <c r="M23" s="39"/>
      <c r="N23" s="35"/>
      <c r="O23" s="35"/>
      <c r="P23" s="35"/>
      <c r="Q23" s="35"/>
      <c r="R23" s="69">
        <v>390969.88224637677</v>
      </c>
      <c r="S23" s="61"/>
      <c r="T23" s="41">
        <f>+I23-R23</f>
        <v>-11969.882246376772</v>
      </c>
      <c r="U23" s="152">
        <f>+T23/R23</f>
        <v>-3.0615867845374681E-2</v>
      </c>
      <c r="V23" s="1"/>
    </row>
    <row r="24" spans="1:22" s="2" customFormat="1">
      <c r="A24" s="67">
        <v>9</v>
      </c>
      <c r="B24" s="35"/>
      <c r="C24" s="39"/>
      <c r="D24" s="39"/>
      <c r="E24" s="39"/>
      <c r="F24" s="39"/>
      <c r="G24" s="39"/>
      <c r="H24" s="39"/>
      <c r="I24" s="39"/>
      <c r="J24" s="35"/>
      <c r="K24" s="35"/>
      <c r="L24" s="60"/>
      <c r="M24" s="1"/>
      <c r="N24" s="1"/>
      <c r="O24" s="1"/>
      <c r="P24" s="1"/>
      <c r="Q24" s="1"/>
      <c r="R24" s="1"/>
      <c r="S24" s="61"/>
      <c r="T24" s="34"/>
      <c r="U24" s="151"/>
      <c r="V24" s="1"/>
    </row>
    <row r="25" spans="1:22" s="2" customFormat="1">
      <c r="A25" s="67">
        <v>10</v>
      </c>
      <c r="B25" s="39" t="s">
        <v>28</v>
      </c>
      <c r="C25" s="39"/>
      <c r="D25" s="39"/>
      <c r="E25" s="39"/>
      <c r="F25" s="39"/>
      <c r="G25" s="39"/>
      <c r="H25" s="39"/>
      <c r="I25" s="39"/>
      <c r="J25" s="39"/>
      <c r="K25" s="35"/>
      <c r="L25" s="60"/>
      <c r="M25" s="1"/>
      <c r="N25" s="1"/>
      <c r="O25" s="1"/>
      <c r="P25" s="1"/>
      <c r="Q25" s="1"/>
      <c r="R25" s="1"/>
      <c r="S25" s="61"/>
      <c r="T25" s="34"/>
      <c r="U25" s="151"/>
      <c r="V25" s="1"/>
    </row>
    <row r="26" spans="1:22" s="2" customFormat="1">
      <c r="A26" s="67">
        <v>11</v>
      </c>
      <c r="B26" s="35" t="s">
        <v>29</v>
      </c>
      <c r="C26" s="35"/>
      <c r="D26" s="157">
        <f>ROUND(I20/I23,2)</f>
        <v>81.55</v>
      </c>
      <c r="E26" s="35" t="s">
        <v>30</v>
      </c>
      <c r="F26" s="39"/>
      <c r="G26" s="39"/>
      <c r="H26" s="39"/>
      <c r="I26" s="39"/>
      <c r="J26" s="39"/>
      <c r="K26" s="35"/>
      <c r="L26" s="60"/>
      <c r="M26" s="157">
        <f>ROUND(R20/R23,2)</f>
        <v>81.790000000000006</v>
      </c>
      <c r="N26" s="1" t="s">
        <v>30</v>
      </c>
      <c r="O26" s="1"/>
      <c r="P26" s="1"/>
      <c r="Q26" s="1"/>
      <c r="R26" s="1"/>
      <c r="S26" s="61"/>
      <c r="T26" s="34">
        <f t="shared" ref="T26:T32" si="0">+D26-M26</f>
        <v>-0.24000000000000909</v>
      </c>
      <c r="U26" s="152">
        <f t="shared" ref="U26:U32" si="1">+T26/M26</f>
        <v>-2.934344051840189E-3</v>
      </c>
      <c r="V26" s="1"/>
    </row>
    <row r="27" spans="1:22" s="2" customFormat="1">
      <c r="A27" s="67">
        <v>12</v>
      </c>
      <c r="B27" s="35" t="s">
        <v>31</v>
      </c>
      <c r="C27" s="35" t="s">
        <v>32</v>
      </c>
      <c r="D27" s="157">
        <f>ROUND(D26/12,2)</f>
        <v>6.8</v>
      </c>
      <c r="E27" s="35" t="s">
        <v>33</v>
      </c>
      <c r="F27" s="39"/>
      <c r="G27" s="39"/>
      <c r="H27" s="39"/>
      <c r="I27" s="39"/>
      <c r="J27" s="39"/>
      <c r="K27" s="35"/>
      <c r="L27" s="60"/>
      <c r="M27" s="157">
        <f>ROUND(M26/12,2)</f>
        <v>6.82</v>
      </c>
      <c r="N27" s="1" t="s">
        <v>33</v>
      </c>
      <c r="O27" s="1"/>
      <c r="P27" s="1"/>
      <c r="Q27" s="1"/>
      <c r="R27" s="1"/>
      <c r="S27" s="61"/>
      <c r="T27" s="34">
        <f t="shared" si="0"/>
        <v>-2.0000000000000462E-2</v>
      </c>
      <c r="U27" s="152">
        <f t="shared" si="1"/>
        <v>-2.9325513196481615E-3</v>
      </c>
      <c r="V27" s="1"/>
    </row>
    <row r="28" spans="1:22" s="2" customFormat="1">
      <c r="A28" s="67">
        <v>13</v>
      </c>
      <c r="B28" s="35" t="s">
        <v>34</v>
      </c>
      <c r="C28" s="35" t="s">
        <v>35</v>
      </c>
      <c r="D28" s="157">
        <f>ROUND(D26/52,2)</f>
        <v>1.57</v>
      </c>
      <c r="E28" s="35" t="s">
        <v>36</v>
      </c>
      <c r="F28" s="39"/>
      <c r="G28" s="39"/>
      <c r="H28" s="39"/>
      <c r="I28" s="39"/>
      <c r="J28" s="39"/>
      <c r="K28" s="35"/>
      <c r="L28" s="60"/>
      <c r="M28" s="157">
        <f>ROUND(M26/52,2)</f>
        <v>1.57</v>
      </c>
      <c r="N28" s="1" t="s">
        <v>36</v>
      </c>
      <c r="O28" s="1"/>
      <c r="P28" s="1"/>
      <c r="Q28" s="1"/>
      <c r="R28" s="1"/>
      <c r="S28" s="61"/>
      <c r="T28" s="34">
        <f t="shared" si="0"/>
        <v>0</v>
      </c>
      <c r="U28" s="152">
        <f t="shared" si="1"/>
        <v>0</v>
      </c>
      <c r="V28" s="1"/>
    </row>
    <row r="29" spans="1:22" s="2" customFormat="1">
      <c r="A29" s="67">
        <v>14</v>
      </c>
      <c r="B29" s="35" t="s">
        <v>37</v>
      </c>
      <c r="C29" s="35" t="s">
        <v>38</v>
      </c>
      <c r="D29" s="157">
        <f>+D28/6</f>
        <v>0.26166666666666666</v>
      </c>
      <c r="E29" s="35" t="s">
        <v>39</v>
      </c>
      <c r="F29" s="39"/>
      <c r="G29" s="39"/>
      <c r="H29" s="39"/>
      <c r="I29" s="39"/>
      <c r="J29" s="39"/>
      <c r="K29" s="35"/>
      <c r="L29" s="60"/>
      <c r="M29" s="157">
        <f>+M28/6</f>
        <v>0.26166666666666666</v>
      </c>
      <c r="N29" s="1" t="s">
        <v>39</v>
      </c>
      <c r="O29" s="1"/>
      <c r="P29" s="1"/>
      <c r="Q29" s="1"/>
      <c r="R29" s="1"/>
      <c r="S29" s="61"/>
      <c r="T29" s="165">
        <f t="shared" si="0"/>
        <v>0</v>
      </c>
      <c r="U29" s="152">
        <f t="shared" si="1"/>
        <v>0</v>
      </c>
      <c r="V29" s="1"/>
    </row>
    <row r="30" spans="1:22" s="2" customFormat="1">
      <c r="A30" s="67">
        <v>15</v>
      </c>
      <c r="B30" s="35" t="s">
        <v>40</v>
      </c>
      <c r="C30" s="35" t="s">
        <v>41</v>
      </c>
      <c r="D30" s="157">
        <f>+D28/7</f>
        <v>0.22428571428571428</v>
      </c>
      <c r="E30" s="35" t="s">
        <v>39</v>
      </c>
      <c r="F30" s="39"/>
      <c r="G30" s="39"/>
      <c r="H30" s="39"/>
      <c r="I30" s="39"/>
      <c r="J30" s="39"/>
      <c r="K30" s="35"/>
      <c r="L30" s="60"/>
      <c r="M30" s="157">
        <f>+M28/7</f>
        <v>0.22428571428571428</v>
      </c>
      <c r="N30" s="1" t="s">
        <v>39</v>
      </c>
      <c r="O30" s="1"/>
      <c r="P30" s="1"/>
      <c r="Q30" s="1"/>
      <c r="R30" s="1"/>
      <c r="S30" s="61"/>
      <c r="T30" s="165">
        <f t="shared" si="0"/>
        <v>0</v>
      </c>
      <c r="U30" s="152">
        <f t="shared" si="1"/>
        <v>0</v>
      </c>
      <c r="V30" s="1"/>
    </row>
    <row r="31" spans="1:22" s="2" customFormat="1">
      <c r="A31" s="67">
        <v>16</v>
      </c>
      <c r="B31" s="35" t="s">
        <v>42</v>
      </c>
      <c r="C31" s="35" t="s">
        <v>43</v>
      </c>
      <c r="D31" s="157">
        <f>+D29/16*1000</f>
        <v>16.354166666666668</v>
      </c>
      <c r="E31" s="35" t="s">
        <v>44</v>
      </c>
      <c r="F31" s="39"/>
      <c r="G31" s="39"/>
      <c r="H31" s="39"/>
      <c r="I31" s="39"/>
      <c r="J31" s="39"/>
      <c r="K31" s="35"/>
      <c r="L31" s="60"/>
      <c r="M31" s="157">
        <f>+M29/16*1000</f>
        <v>16.354166666666668</v>
      </c>
      <c r="N31" s="1" t="s">
        <v>44</v>
      </c>
      <c r="O31" s="1"/>
      <c r="P31" s="1"/>
      <c r="Q31" s="1"/>
      <c r="R31" s="1"/>
      <c r="S31" s="61"/>
      <c r="T31" s="34">
        <f t="shared" si="0"/>
        <v>0</v>
      </c>
      <c r="U31" s="152">
        <f t="shared" si="1"/>
        <v>0</v>
      </c>
      <c r="V31" s="1"/>
    </row>
    <row r="32" spans="1:22" s="2" customFormat="1">
      <c r="A32" s="67">
        <v>17</v>
      </c>
      <c r="B32" s="35" t="s">
        <v>45</v>
      </c>
      <c r="C32" s="35" t="s">
        <v>46</v>
      </c>
      <c r="D32" s="157">
        <f>+D30/24*1000</f>
        <v>9.3452380952380949</v>
      </c>
      <c r="E32" s="35" t="s">
        <v>44</v>
      </c>
      <c r="F32" s="39"/>
      <c r="G32" s="39"/>
      <c r="H32" s="39"/>
      <c r="I32" s="39"/>
      <c r="J32" s="39"/>
      <c r="K32" s="35"/>
      <c r="L32" s="60"/>
      <c r="M32" s="157">
        <f>+M30/24*1000</f>
        <v>9.3452380952380949</v>
      </c>
      <c r="N32" s="1" t="s">
        <v>44</v>
      </c>
      <c r="O32" s="1"/>
      <c r="P32" s="1"/>
      <c r="Q32" s="1"/>
      <c r="R32" s="1"/>
      <c r="S32" s="61"/>
      <c r="T32" s="34">
        <f t="shared" si="0"/>
        <v>0</v>
      </c>
      <c r="U32" s="152">
        <f t="shared" si="1"/>
        <v>0</v>
      </c>
      <c r="V32" s="1"/>
    </row>
    <row r="33" spans="1:22" s="2" customFormat="1">
      <c r="A33" s="37"/>
      <c r="B33" s="35"/>
      <c r="C33" s="35"/>
      <c r="D33" s="76"/>
      <c r="E33" s="35"/>
      <c r="F33" s="35"/>
      <c r="G33" s="35"/>
      <c r="H33" s="35"/>
      <c r="I33" s="177" t="str">
        <f>I2</f>
        <v>Actual Attachment H</v>
      </c>
      <c r="J33" s="177"/>
      <c r="K33" s="177"/>
      <c r="L33" s="60"/>
      <c r="M33" s="1"/>
      <c r="N33" s="1"/>
      <c r="O33" s="1"/>
      <c r="P33" s="1"/>
      <c r="Q33" s="1"/>
      <c r="R33" s="1"/>
      <c r="S33" s="61"/>
      <c r="T33" s="34"/>
      <c r="U33" s="151"/>
      <c r="V33" s="1"/>
    </row>
    <row r="34" spans="1:22" s="2" customFormat="1">
      <c r="A34" s="37"/>
      <c r="B34" s="35"/>
      <c r="C34" s="35"/>
      <c r="D34" s="76"/>
      <c r="E34" s="35"/>
      <c r="F34" s="35"/>
      <c r="G34" s="35"/>
      <c r="H34" s="35"/>
      <c r="I34" s="35"/>
      <c r="J34" s="176" t="s">
        <v>47</v>
      </c>
      <c r="K34" s="176"/>
      <c r="L34" s="60"/>
      <c r="M34" s="1"/>
      <c r="N34" s="1"/>
      <c r="O34" s="1"/>
      <c r="P34" s="1"/>
      <c r="Q34" s="1"/>
      <c r="R34" s="1"/>
      <c r="S34" s="61"/>
      <c r="T34" s="34"/>
      <c r="U34" s="151"/>
      <c r="V34" s="1"/>
    </row>
    <row r="35" spans="1:22" s="2" customFormat="1">
      <c r="A35" s="37"/>
      <c r="B35" s="35"/>
      <c r="C35" s="35"/>
      <c r="D35" s="76"/>
      <c r="E35" s="35"/>
      <c r="F35" s="35"/>
      <c r="G35" s="35"/>
      <c r="H35" s="35"/>
      <c r="I35" s="35"/>
      <c r="J35" s="35"/>
      <c r="K35" s="77"/>
      <c r="L35" s="60"/>
      <c r="M35" s="1"/>
      <c r="N35" s="1"/>
      <c r="O35" s="1"/>
      <c r="P35" s="1"/>
      <c r="Q35" s="1"/>
      <c r="R35" s="1"/>
      <c r="S35" s="61"/>
      <c r="T35" s="34"/>
      <c r="U35" s="151"/>
      <c r="V35" s="1"/>
    </row>
    <row r="36" spans="1:22" s="2" customFormat="1">
      <c r="A36" s="37"/>
      <c r="B36" s="76" t="s">
        <v>2</v>
      </c>
      <c r="C36" s="36" t="s">
        <v>48</v>
      </c>
      <c r="D36" s="35"/>
      <c r="E36" s="35"/>
      <c r="F36" s="35"/>
      <c r="G36" s="35"/>
      <c r="H36" s="35"/>
      <c r="I36" s="35"/>
      <c r="J36" s="35"/>
      <c r="K36" s="78">
        <f>K5</f>
        <v>0</v>
      </c>
      <c r="L36" s="60"/>
      <c r="M36" s="1"/>
      <c r="N36" s="1"/>
      <c r="O36" s="1"/>
      <c r="P36" s="1"/>
      <c r="Q36" s="1"/>
      <c r="R36" s="1"/>
      <c r="S36" s="61"/>
      <c r="T36" s="34"/>
      <c r="U36" s="151"/>
      <c r="V36" s="1"/>
    </row>
    <row r="37" spans="1:22" s="2" customFormat="1">
      <c r="A37" s="37"/>
      <c r="B37" s="35"/>
      <c r="C37" s="79" t="s">
        <v>49</v>
      </c>
      <c r="D37" s="35"/>
      <c r="E37" s="39"/>
      <c r="F37" s="39"/>
      <c r="G37" s="39"/>
      <c r="H37" s="35"/>
      <c r="I37" s="35"/>
      <c r="J37" s="35"/>
      <c r="K37" s="35"/>
      <c r="L37" s="60"/>
      <c r="M37" s="1"/>
      <c r="N37" s="1"/>
      <c r="O37" s="1"/>
      <c r="P37" s="1"/>
      <c r="Q37" s="1"/>
      <c r="R37" s="1"/>
      <c r="S37" s="61"/>
      <c r="T37" s="34"/>
      <c r="U37" s="151"/>
      <c r="V37" s="1"/>
    </row>
    <row r="38" spans="1:22" s="2" customFormat="1">
      <c r="A38" s="37"/>
      <c r="B38" s="35"/>
      <c r="C38" s="35"/>
      <c r="D38" s="39"/>
      <c r="E38" s="39"/>
      <c r="F38" s="39"/>
      <c r="G38" s="39"/>
      <c r="H38" s="35"/>
      <c r="I38" s="35"/>
      <c r="J38" s="35"/>
      <c r="K38" s="35"/>
      <c r="L38" s="60"/>
      <c r="M38" s="1"/>
      <c r="N38" s="1"/>
      <c r="O38" s="1"/>
      <c r="P38" s="1"/>
      <c r="Q38" s="1"/>
      <c r="R38" s="1"/>
      <c r="S38" s="61"/>
      <c r="T38" s="34"/>
      <c r="U38" s="151"/>
      <c r="V38" s="1"/>
    </row>
    <row r="39" spans="1:22" s="2" customFormat="1">
      <c r="A39" s="67"/>
      <c r="B39" s="35"/>
      <c r="C39" s="80" t="str">
        <f>C8</f>
        <v>Black Hills Colorado Electric, LLC</v>
      </c>
      <c r="D39" s="35"/>
      <c r="E39" s="35"/>
      <c r="F39" s="35"/>
      <c r="G39" s="35"/>
      <c r="H39" s="35"/>
      <c r="I39" s="35"/>
      <c r="J39" s="39"/>
      <c r="K39" s="39"/>
      <c r="L39" s="60"/>
      <c r="M39" s="1"/>
      <c r="N39" s="1"/>
      <c r="O39" s="1"/>
      <c r="P39" s="1"/>
      <c r="Q39" s="1"/>
      <c r="R39" s="1"/>
      <c r="S39" s="61"/>
      <c r="T39" s="34"/>
      <c r="U39" s="151"/>
      <c r="V39" s="1"/>
    </row>
    <row r="40" spans="1:22" s="2" customFormat="1">
      <c r="A40" s="3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60"/>
      <c r="M40" s="1"/>
      <c r="N40" s="1"/>
      <c r="O40" s="1"/>
      <c r="P40" s="1"/>
      <c r="Q40" s="1"/>
      <c r="R40" s="1"/>
      <c r="S40" s="61"/>
      <c r="T40" s="34"/>
      <c r="U40" s="151"/>
      <c r="V40" s="1"/>
    </row>
    <row r="41" spans="1:22" s="2" customFormat="1">
      <c r="A41" s="37"/>
      <c r="B41" s="36" t="s">
        <v>50</v>
      </c>
      <c r="C41" s="36" t="s">
        <v>51</v>
      </c>
      <c r="D41" s="36" t="s">
        <v>52</v>
      </c>
      <c r="E41" s="39" t="s">
        <v>11</v>
      </c>
      <c r="F41" s="39"/>
      <c r="G41" s="81" t="s">
        <v>53</v>
      </c>
      <c r="H41" s="39"/>
      <c r="I41" s="82" t="s">
        <v>54</v>
      </c>
      <c r="J41" s="39"/>
      <c r="K41" s="36"/>
      <c r="L41" s="60"/>
      <c r="M41" s="1"/>
      <c r="N41" s="1"/>
      <c r="O41" s="1"/>
      <c r="P41" s="1"/>
      <c r="Q41" s="1"/>
      <c r="R41" s="1"/>
      <c r="S41" s="61"/>
      <c r="T41" s="34"/>
      <c r="U41" s="151"/>
      <c r="V41" s="1"/>
    </row>
    <row r="42" spans="1:22" s="2" customFormat="1">
      <c r="A42" s="37"/>
      <c r="B42" s="35"/>
      <c r="C42" s="83" t="s">
        <v>55</v>
      </c>
      <c r="D42" s="39"/>
      <c r="E42" s="39"/>
      <c r="F42" s="39"/>
      <c r="G42" s="36"/>
      <c r="H42" s="39"/>
      <c r="I42" s="84" t="s">
        <v>56</v>
      </c>
      <c r="J42" s="39"/>
      <c r="K42" s="36"/>
      <c r="L42" s="60"/>
      <c r="M42" s="1"/>
      <c r="N42" s="1"/>
      <c r="O42" s="1"/>
      <c r="P42" s="1"/>
      <c r="Q42" s="1"/>
      <c r="R42" s="1"/>
      <c r="S42" s="61"/>
      <c r="T42" s="34"/>
      <c r="U42" s="151"/>
      <c r="V42" s="1"/>
    </row>
    <row r="43" spans="1:22" s="2" customFormat="1">
      <c r="A43" s="67" t="s">
        <v>6</v>
      </c>
      <c r="B43" s="35"/>
      <c r="C43" s="84" t="s">
        <v>57</v>
      </c>
      <c r="D43" s="84" t="s">
        <v>58</v>
      </c>
      <c r="E43" s="85"/>
      <c r="F43" s="84" t="s">
        <v>59</v>
      </c>
      <c r="G43" s="35"/>
      <c r="H43" s="85"/>
      <c r="I43" s="36" t="s">
        <v>60</v>
      </c>
      <c r="J43" s="39"/>
      <c r="K43" s="36"/>
      <c r="L43" s="60"/>
      <c r="M43" s="84" t="s">
        <v>58</v>
      </c>
      <c r="N43" s="1"/>
      <c r="O43" s="1"/>
      <c r="P43" s="1"/>
      <c r="Q43" s="1"/>
      <c r="R43" s="84" t="s">
        <v>56</v>
      </c>
      <c r="S43" s="61"/>
      <c r="T43" s="34"/>
      <c r="U43" s="151"/>
      <c r="V43" s="1"/>
    </row>
    <row r="44" spans="1:22" s="2" customFormat="1" ht="13.8" thickBot="1">
      <c r="A44" s="40" t="s">
        <v>8</v>
      </c>
      <c r="B44" s="86" t="s">
        <v>61</v>
      </c>
      <c r="C44" s="39"/>
      <c r="D44" s="39"/>
      <c r="E44" s="39"/>
      <c r="F44" s="39"/>
      <c r="G44" s="39"/>
      <c r="H44" s="39"/>
      <c r="I44" s="39"/>
      <c r="J44" s="39"/>
      <c r="K44" s="39"/>
      <c r="L44" s="60"/>
      <c r="M44" s="1"/>
      <c r="N44" s="1"/>
      <c r="O44" s="1"/>
      <c r="P44" s="1"/>
      <c r="Q44" s="1"/>
      <c r="R44" s="1"/>
      <c r="S44" s="61"/>
      <c r="T44" s="34"/>
      <c r="U44" s="151"/>
      <c r="V44" s="1"/>
    </row>
    <row r="45" spans="1:22" s="2" customFormat="1">
      <c r="A45" s="67"/>
      <c r="B45" s="35" t="s">
        <v>62</v>
      </c>
      <c r="C45" s="39"/>
      <c r="D45" s="39"/>
      <c r="E45" s="39"/>
      <c r="F45" s="39"/>
      <c r="G45" s="39"/>
      <c r="H45" s="39"/>
      <c r="I45" s="39"/>
      <c r="J45" s="39"/>
      <c r="K45" s="39"/>
      <c r="L45" s="60"/>
      <c r="M45" s="1"/>
      <c r="N45" s="1"/>
      <c r="O45" s="1"/>
      <c r="P45" s="1"/>
      <c r="Q45" s="1"/>
      <c r="R45" s="1"/>
      <c r="S45" s="61"/>
      <c r="T45" s="34"/>
      <c r="U45" s="151"/>
      <c r="V45" s="1"/>
    </row>
    <row r="46" spans="1:22" s="2" customFormat="1">
      <c r="A46" s="67">
        <v>1</v>
      </c>
      <c r="B46" s="35" t="s">
        <v>63</v>
      </c>
      <c r="C46" s="87" t="s">
        <v>64</v>
      </c>
      <c r="D46" s="69">
        <v>430152844.51230776</v>
      </c>
      <c r="E46" s="39"/>
      <c r="F46" s="39" t="s">
        <v>65</v>
      </c>
      <c r="G46" s="88" t="s">
        <v>11</v>
      </c>
      <c r="H46" s="39"/>
      <c r="I46" s="7">
        <v>0</v>
      </c>
      <c r="J46" s="39"/>
      <c r="K46" s="39"/>
      <c r="L46" s="60"/>
      <c r="M46" s="1"/>
      <c r="N46" s="1"/>
      <c r="O46" s="1"/>
      <c r="P46" s="70"/>
      <c r="Q46" s="1"/>
      <c r="R46" s="1"/>
      <c r="S46" s="61"/>
      <c r="T46" s="166">
        <f t="shared" ref="T46:T51" si="2">+I46-R46</f>
        <v>0</v>
      </c>
      <c r="U46" s="152"/>
      <c r="V46" s="1"/>
    </row>
    <row r="47" spans="1:22" s="2" customFormat="1">
      <c r="A47" s="67">
        <v>2</v>
      </c>
      <c r="B47" s="35" t="s">
        <v>66</v>
      </c>
      <c r="C47" s="87" t="s">
        <v>67</v>
      </c>
      <c r="D47" s="69">
        <v>323128352.09307694</v>
      </c>
      <c r="E47" s="39"/>
      <c r="F47" s="39" t="s">
        <v>68</v>
      </c>
      <c r="G47" s="70">
        <v>0.93495713255492408</v>
      </c>
      <c r="H47" s="39"/>
      <c r="I47" s="7">
        <f>+D47*G47</f>
        <v>302111157.52014112</v>
      </c>
      <c r="J47" s="39"/>
      <c r="K47" s="39"/>
      <c r="L47" s="60"/>
      <c r="M47" s="69">
        <v>316090895.07231909</v>
      </c>
      <c r="O47" s="2" t="s">
        <v>68</v>
      </c>
      <c r="P47" s="88">
        <v>0.93124420194583424</v>
      </c>
      <c r="R47" s="2">
        <v>294357813.32396621</v>
      </c>
      <c r="S47" s="60"/>
      <c r="T47" s="166">
        <f t="shared" si="2"/>
        <v>7753344.1961749196</v>
      </c>
      <c r="U47" s="152">
        <f>+T47/R47</f>
        <v>2.6339862049599119E-2</v>
      </c>
    </row>
    <row r="48" spans="1:22" s="2" customFormat="1">
      <c r="A48" s="67">
        <v>3</v>
      </c>
      <c r="B48" s="35" t="s">
        <v>69</v>
      </c>
      <c r="C48" s="87" t="s">
        <v>70</v>
      </c>
      <c r="D48" s="69">
        <v>462030307.14813</v>
      </c>
      <c r="E48" s="39"/>
      <c r="F48" s="39" t="s">
        <v>65</v>
      </c>
      <c r="G48" s="88" t="s">
        <v>11</v>
      </c>
      <c r="H48" s="39"/>
      <c r="I48" s="7">
        <v>0</v>
      </c>
      <c r="J48" s="39"/>
      <c r="K48" s="39"/>
      <c r="L48" s="60"/>
      <c r="M48" s="69"/>
      <c r="N48" s="1"/>
      <c r="O48" s="1"/>
      <c r="P48" s="51"/>
      <c r="Q48" s="1"/>
      <c r="R48" s="1"/>
      <c r="S48" s="61"/>
      <c r="T48" s="34">
        <f t="shared" si="2"/>
        <v>0</v>
      </c>
      <c r="U48" s="152"/>
      <c r="V48" s="1"/>
    </row>
    <row r="49" spans="1:22" s="2" customFormat="1">
      <c r="A49" s="67">
        <v>4</v>
      </c>
      <c r="B49" s="35" t="s">
        <v>71</v>
      </c>
      <c r="C49" s="87" t="s">
        <v>72</v>
      </c>
      <c r="D49" s="69">
        <v>47750153.816923074</v>
      </c>
      <c r="E49" s="39"/>
      <c r="F49" s="39" t="s">
        <v>73</v>
      </c>
      <c r="G49" s="51">
        <v>0.1248254792149225</v>
      </c>
      <c r="H49" s="39"/>
      <c r="I49" s="7">
        <f>+D49*G49</f>
        <v>5960435.8327836832</v>
      </c>
      <c r="J49" s="39"/>
      <c r="K49" s="39"/>
      <c r="L49" s="60"/>
      <c r="M49" s="69">
        <v>44386551.700000055</v>
      </c>
      <c r="N49" s="1"/>
      <c r="O49" s="1" t="s">
        <v>73</v>
      </c>
      <c r="P49" s="51">
        <v>0.12706661096257854</v>
      </c>
      <c r="R49" s="1">
        <v>5640048.6968342857</v>
      </c>
      <c r="S49" s="60"/>
      <c r="T49" s="34">
        <f t="shared" si="2"/>
        <v>320387.13594939746</v>
      </c>
      <c r="U49" s="152">
        <f>+T49/R49</f>
        <v>5.6805739306688648E-2</v>
      </c>
    </row>
    <row r="50" spans="1:22" s="2" customFormat="1">
      <c r="A50" s="67">
        <v>5</v>
      </c>
      <c r="B50" s="35" t="s">
        <v>74</v>
      </c>
      <c r="C50" s="87" t="s">
        <v>75</v>
      </c>
      <c r="D50" s="69">
        <v>25710603.076923076</v>
      </c>
      <c r="E50" s="39"/>
      <c r="F50" s="39" t="s">
        <v>76</v>
      </c>
      <c r="G50" s="51">
        <v>0.12201673244143903</v>
      </c>
      <c r="H50" s="39"/>
      <c r="I50" s="7">
        <f>+D50*G50</f>
        <v>3137123.7765449621</v>
      </c>
      <c r="J50" s="39"/>
      <c r="K50" s="39"/>
      <c r="L50" s="60"/>
      <c r="M50" s="69">
        <v>22745275</v>
      </c>
      <c r="O50" s="2" t="s">
        <v>76</v>
      </c>
      <c r="P50" s="70">
        <v>0.12451406279937895</v>
      </c>
      <c r="R50" s="31">
        <v>2832106.5997391441</v>
      </c>
      <c r="S50" s="60"/>
      <c r="T50" s="167">
        <f t="shared" si="2"/>
        <v>305017.17680581799</v>
      </c>
      <c r="U50" s="152">
        <f>+T50/R50</f>
        <v>0.10769975142669845</v>
      </c>
    </row>
    <row r="51" spans="1:22" s="2" customFormat="1">
      <c r="A51" s="67">
        <v>6</v>
      </c>
      <c r="B51" s="35" t="s">
        <v>77</v>
      </c>
      <c r="C51" s="89" t="s">
        <v>78</v>
      </c>
      <c r="D51" s="6">
        <f>SUM(D46:D50)</f>
        <v>1288772260.647361</v>
      </c>
      <c r="E51" s="39"/>
      <c r="F51" s="39" t="s">
        <v>79</v>
      </c>
      <c r="G51" s="70">
        <v>0.2414768897603051</v>
      </c>
      <c r="H51" s="39"/>
      <c r="I51" s="6">
        <f>SUM(I46:I50)</f>
        <v>311208717.12946981</v>
      </c>
      <c r="J51" s="39"/>
      <c r="K51" s="90"/>
      <c r="L51" s="60"/>
      <c r="M51" s="6">
        <v>383222721.77231914</v>
      </c>
      <c r="O51" s="2" t="s">
        <v>98</v>
      </c>
      <c r="P51" s="70">
        <v>0.25172374063863684</v>
      </c>
      <c r="Q51" s="1"/>
      <c r="R51" s="6">
        <v>302829968.62053961</v>
      </c>
      <c r="S51" s="60"/>
      <c r="T51" s="166">
        <f t="shared" si="2"/>
        <v>8378748.5089302063</v>
      </c>
      <c r="U51" s="152">
        <f>+T51/R51</f>
        <v>2.7668161599386412E-2</v>
      </c>
    </row>
    <row r="52" spans="1:22" s="2" customFormat="1">
      <c r="A52" s="37"/>
      <c r="B52" s="35"/>
      <c r="C52" s="39"/>
      <c r="D52" s="39"/>
      <c r="E52" s="39"/>
      <c r="F52" s="39"/>
      <c r="G52" s="50"/>
      <c r="H52" s="39"/>
      <c r="I52" s="7"/>
      <c r="J52" s="39"/>
      <c r="K52" s="50"/>
      <c r="L52" s="60"/>
      <c r="M52" s="1"/>
      <c r="N52" s="1"/>
      <c r="O52" s="1"/>
      <c r="P52" s="70"/>
      <c r="Q52" s="1"/>
      <c r="R52" s="1"/>
      <c r="S52" s="61"/>
      <c r="T52" s="34"/>
      <c r="U52" s="151"/>
      <c r="V52" s="1"/>
    </row>
    <row r="53" spans="1:22" s="2" customFormat="1">
      <c r="A53" s="37"/>
      <c r="B53" s="35" t="s">
        <v>80</v>
      </c>
      <c r="C53" s="39"/>
      <c r="D53" s="39"/>
      <c r="E53" s="39"/>
      <c r="F53" s="39"/>
      <c r="G53" s="39"/>
      <c r="H53" s="39"/>
      <c r="I53" s="39"/>
      <c r="J53" s="39"/>
      <c r="K53" s="39"/>
      <c r="L53" s="60"/>
      <c r="M53" s="1"/>
      <c r="N53" s="1"/>
      <c r="O53" s="1"/>
      <c r="P53" s="88"/>
      <c r="Q53" s="1"/>
      <c r="R53" s="1"/>
      <c r="S53" s="61"/>
      <c r="T53" s="34"/>
      <c r="U53" s="151"/>
      <c r="V53" s="1"/>
    </row>
    <row r="54" spans="1:22" s="2" customFormat="1">
      <c r="A54" s="67">
        <v>7</v>
      </c>
      <c r="B54" s="91" t="str">
        <f>+B46</f>
        <v xml:space="preserve">  Production</v>
      </c>
      <c r="C54" s="87" t="s">
        <v>81</v>
      </c>
      <c r="D54" s="69">
        <v>147803253.15692309</v>
      </c>
      <c r="E54" s="39"/>
      <c r="F54" s="42" t="s">
        <v>65</v>
      </c>
      <c r="G54" s="51"/>
      <c r="H54" s="39"/>
      <c r="I54" s="7">
        <v>0</v>
      </c>
      <c r="J54" s="39"/>
      <c r="K54" s="39"/>
      <c r="L54" s="60"/>
      <c r="M54" s="1"/>
      <c r="N54" s="1"/>
      <c r="O54" s="1"/>
      <c r="P54" s="51"/>
      <c r="Q54" s="1"/>
      <c r="R54" s="1"/>
      <c r="S54" s="61"/>
      <c r="T54" s="166">
        <f t="shared" ref="T54:T59" si="3">+I54-R54</f>
        <v>0</v>
      </c>
      <c r="U54" s="152"/>
      <c r="V54" s="1"/>
    </row>
    <row r="55" spans="1:22" s="2" customFormat="1">
      <c r="A55" s="67">
        <v>8</v>
      </c>
      <c r="B55" s="91" t="str">
        <f>+B47</f>
        <v xml:space="preserve">  Transmission</v>
      </c>
      <c r="C55" s="87" t="s">
        <v>82</v>
      </c>
      <c r="D55" s="69">
        <v>54277966.761538468</v>
      </c>
      <c r="E55" s="39"/>
      <c r="F55" s="42" t="s">
        <v>68</v>
      </c>
      <c r="G55" s="70">
        <v>0.93495713255492408</v>
      </c>
      <c r="H55" s="39"/>
      <c r="I55" s="7">
        <f>+D55*G55</f>
        <v>50747572.164279483</v>
      </c>
      <c r="J55" s="39"/>
      <c r="K55" s="39"/>
      <c r="L55" s="60"/>
      <c r="M55" s="69">
        <v>56437514.541661449</v>
      </c>
      <c r="N55" s="1"/>
      <c r="O55" s="1" t="s">
        <v>68</v>
      </c>
      <c r="P55" s="70">
        <v>0.93124420194583424</v>
      </c>
      <c r="Q55" s="1"/>
      <c r="R55" s="1">
        <v>52557108.189155929</v>
      </c>
      <c r="S55" s="61"/>
      <c r="T55" s="166">
        <f t="shared" si="3"/>
        <v>-1809536.0248764455</v>
      </c>
      <c r="U55" s="152">
        <f>+T55/R55</f>
        <v>-3.442990086828647E-2</v>
      </c>
      <c r="V55" s="1"/>
    </row>
    <row r="56" spans="1:22" s="2" customFormat="1">
      <c r="A56" s="67">
        <v>9</v>
      </c>
      <c r="B56" s="91" t="str">
        <f>+B48</f>
        <v xml:space="preserve">  Distribution</v>
      </c>
      <c r="C56" s="87" t="s">
        <v>83</v>
      </c>
      <c r="D56" s="69">
        <v>168700029.42043775</v>
      </c>
      <c r="E56" s="39"/>
      <c r="F56" s="42" t="s">
        <v>65</v>
      </c>
      <c r="G56" s="51"/>
      <c r="H56" s="39"/>
      <c r="I56" s="7">
        <v>0</v>
      </c>
      <c r="J56" s="39"/>
      <c r="K56" s="39"/>
      <c r="L56" s="60"/>
      <c r="M56" s="69"/>
      <c r="N56" s="1"/>
      <c r="O56" s="1"/>
      <c r="P56" s="70"/>
      <c r="Q56" s="1"/>
      <c r="R56" s="1"/>
      <c r="S56" s="61"/>
      <c r="T56" s="34">
        <f t="shared" si="3"/>
        <v>0</v>
      </c>
      <c r="U56" s="152"/>
      <c r="V56" s="1"/>
    </row>
    <row r="57" spans="1:22" s="2" customFormat="1">
      <c r="A57" s="67">
        <v>10</v>
      </c>
      <c r="B57" s="91" t="str">
        <f>+B49</f>
        <v xml:space="preserve">  General &amp; Intangible</v>
      </c>
      <c r="C57" s="87" t="s">
        <v>84</v>
      </c>
      <c r="D57" s="69">
        <v>24468564.619999997</v>
      </c>
      <c r="E57" s="39"/>
      <c r="F57" s="42" t="s">
        <v>73</v>
      </c>
      <c r="G57" s="51">
        <v>0.1248254792149225</v>
      </c>
      <c r="H57" s="39"/>
      <c r="I57" s="7">
        <f>+D57*G57</f>
        <v>3054300.3043927979</v>
      </c>
      <c r="J57" s="39"/>
      <c r="K57" s="39"/>
      <c r="L57" s="60"/>
      <c r="M57" s="69">
        <v>22580427.327506546</v>
      </c>
      <c r="N57" s="1"/>
      <c r="O57" s="1" t="s">
        <v>73</v>
      </c>
      <c r="P57" s="70">
        <v>0.12706661096257854</v>
      </c>
      <c r="Q57" s="1"/>
      <c r="R57" s="1">
        <v>2869218.3745930512</v>
      </c>
      <c r="S57" s="61"/>
      <c r="T57" s="34">
        <f t="shared" si="3"/>
        <v>185081.92979974672</v>
      </c>
      <c r="U57" s="152">
        <f>+T57/R57</f>
        <v>6.4506045074382803E-2</v>
      </c>
      <c r="V57" s="1"/>
    </row>
    <row r="58" spans="1:22" s="2" customFormat="1">
      <c r="A58" s="67">
        <v>11</v>
      </c>
      <c r="B58" s="91" t="str">
        <f>+B50</f>
        <v xml:space="preserve">  Other</v>
      </c>
      <c r="C58" s="87" t="s">
        <v>85</v>
      </c>
      <c r="D58" s="69">
        <v>9289862.384615384</v>
      </c>
      <c r="E58" s="39"/>
      <c r="F58" s="42" t="s">
        <v>76</v>
      </c>
      <c r="G58" s="51">
        <v>0.12201673244143903</v>
      </c>
      <c r="H58" s="39"/>
      <c r="I58" s="7">
        <f>+D58*G58</f>
        <v>1133518.6530014041</v>
      </c>
      <c r="J58" s="39"/>
      <c r="K58" s="39"/>
      <c r="L58" s="60"/>
      <c r="M58" s="69">
        <v>6269229</v>
      </c>
      <c r="N58" s="1"/>
      <c r="O58" s="1" t="s">
        <v>76</v>
      </c>
      <c r="P58" s="70">
        <v>0.12451406279937895</v>
      </c>
      <c r="Q58" s="1"/>
      <c r="R58" s="7">
        <v>780607.1734096877</v>
      </c>
      <c r="S58" s="61"/>
      <c r="T58" s="167">
        <f t="shared" si="3"/>
        <v>352911.47959171643</v>
      </c>
      <c r="U58" s="152">
        <f>+T58/R58</f>
        <v>0.45209868883243937</v>
      </c>
      <c r="V58" s="1"/>
    </row>
    <row r="59" spans="1:22" s="2" customFormat="1">
      <c r="A59" s="67">
        <v>12</v>
      </c>
      <c r="B59" s="35" t="s">
        <v>86</v>
      </c>
      <c r="C59" s="89" t="s">
        <v>87</v>
      </c>
      <c r="D59" s="6">
        <f>SUM(D54:D58)</f>
        <v>404539676.34351468</v>
      </c>
      <c r="E59" s="39"/>
      <c r="F59" s="39"/>
      <c r="G59" s="39"/>
      <c r="H59" s="39"/>
      <c r="I59" s="6">
        <f>SUM(I54:I58)</f>
        <v>54935391.121673688</v>
      </c>
      <c r="J59" s="39"/>
      <c r="K59" s="39"/>
      <c r="L59" s="60"/>
      <c r="M59" s="6">
        <v>85287170.869167998</v>
      </c>
      <c r="N59" s="1"/>
      <c r="O59" s="1"/>
      <c r="P59" s="1"/>
      <c r="Q59" s="1"/>
      <c r="R59" s="6">
        <v>56206933.737158664</v>
      </c>
      <c r="S59" s="61"/>
      <c r="T59" s="166">
        <f t="shared" si="3"/>
        <v>-1271542.6154849753</v>
      </c>
      <c r="U59" s="152">
        <f>+T59/R59</f>
        <v>-2.2622522364075387E-2</v>
      </c>
      <c r="V59" s="1"/>
    </row>
    <row r="60" spans="1:22" s="2" customFormat="1">
      <c r="A60" s="67"/>
      <c r="B60" s="35"/>
      <c r="C60" s="39" t="s">
        <v>11</v>
      </c>
      <c r="D60" s="35"/>
      <c r="E60" s="39"/>
      <c r="F60" s="39"/>
      <c r="G60" s="50"/>
      <c r="H60" s="39"/>
      <c r="I60" s="35"/>
      <c r="J60" s="39"/>
      <c r="K60" s="50"/>
      <c r="L60" s="60"/>
      <c r="M60" s="1"/>
      <c r="N60" s="1"/>
      <c r="O60" s="1"/>
      <c r="P60" s="1"/>
      <c r="Q60" s="1"/>
      <c r="R60" s="1"/>
      <c r="S60" s="61"/>
      <c r="T60" s="34"/>
      <c r="U60" s="151"/>
      <c r="V60" s="1"/>
    </row>
    <row r="61" spans="1:22" s="2" customFormat="1">
      <c r="A61" s="67"/>
      <c r="B61" s="35" t="s">
        <v>88</v>
      </c>
      <c r="C61" s="39"/>
      <c r="D61" s="39"/>
      <c r="E61" s="39"/>
      <c r="F61" s="39"/>
      <c r="G61" s="39"/>
      <c r="H61" s="39"/>
      <c r="I61" s="39"/>
      <c r="J61" s="39"/>
      <c r="K61" s="39"/>
      <c r="L61" s="60"/>
      <c r="M61" s="1"/>
      <c r="N61" s="1"/>
      <c r="O61" s="1"/>
      <c r="P61" s="1"/>
      <c r="Q61" s="1"/>
      <c r="R61" s="1"/>
      <c r="S61" s="61"/>
      <c r="T61" s="34"/>
      <c r="U61" s="151"/>
      <c r="V61" s="1"/>
    </row>
    <row r="62" spans="1:22" s="2" customFormat="1">
      <c r="A62" s="67">
        <v>13</v>
      </c>
      <c r="B62" s="91" t="str">
        <f>+B54</f>
        <v xml:space="preserve">  Production</v>
      </c>
      <c r="C62" s="89" t="str">
        <f>"(Line "&amp;A46&amp;" - Line "&amp;A54&amp;")"</f>
        <v>(Line 1 - Line 7)</v>
      </c>
      <c r="D62" s="160">
        <v>282349591.35538471</v>
      </c>
      <c r="E62" s="39"/>
      <c r="F62" s="39"/>
      <c r="G62" s="50"/>
      <c r="H62" s="39"/>
      <c r="I62" s="39" t="s">
        <v>11</v>
      </c>
      <c r="J62" s="39"/>
      <c r="K62" s="50"/>
      <c r="L62" s="60"/>
      <c r="M62" s="1"/>
      <c r="N62" s="1"/>
      <c r="O62" s="1"/>
      <c r="P62" s="1"/>
      <c r="Q62" s="1"/>
      <c r="R62" s="1"/>
      <c r="S62" s="61"/>
      <c r="T62" s="33"/>
      <c r="U62" s="152"/>
      <c r="V62" s="1"/>
    </row>
    <row r="63" spans="1:22" s="2" customFormat="1">
      <c r="A63" s="67">
        <v>14</v>
      </c>
      <c r="B63" s="91" t="str">
        <f>+B55</f>
        <v xml:space="preserve">  Transmission</v>
      </c>
      <c r="C63" s="89" t="str">
        <f>"(Line "&amp;A47&amp;" - Line "&amp;A55&amp;")"</f>
        <v>(Line 2 - Line 8)</v>
      </c>
      <c r="D63" s="160">
        <v>268850385.3315385</v>
      </c>
      <c r="E63" s="39"/>
      <c r="F63" s="39"/>
      <c r="G63" s="88"/>
      <c r="H63" s="39"/>
      <c r="I63" s="160">
        <f>I47-I55</f>
        <v>251363585.35586163</v>
      </c>
      <c r="J63" s="39"/>
      <c r="K63" s="50"/>
      <c r="L63" s="60"/>
      <c r="M63" s="7">
        <v>259653380.53065765</v>
      </c>
      <c r="N63" s="1"/>
      <c r="O63" s="1"/>
      <c r="P63" s="1"/>
      <c r="Q63" s="1"/>
      <c r="R63" s="7">
        <v>241800705.13481027</v>
      </c>
      <c r="S63" s="61"/>
      <c r="T63" s="47">
        <f>+I63-R63</f>
        <v>9562880.2210513651</v>
      </c>
      <c r="U63" s="152">
        <f>+T63/R63</f>
        <v>3.9548603531655575E-2</v>
      </c>
      <c r="V63" s="1"/>
    </row>
    <row r="64" spans="1:22" s="2" customFormat="1">
      <c r="A64" s="67">
        <v>15</v>
      </c>
      <c r="B64" s="91" t="str">
        <f>+B56</f>
        <v xml:space="preserve">  Distribution</v>
      </c>
      <c r="C64" s="89" t="str">
        <f>"(Line "&amp;A48&amp;" - Line "&amp;A56&amp;")"</f>
        <v>(Line 3 - Line 9)</v>
      </c>
      <c r="D64" s="160">
        <v>293330277.72769225</v>
      </c>
      <c r="E64" s="39"/>
      <c r="F64" s="39"/>
      <c r="G64" s="50"/>
      <c r="H64" s="39"/>
      <c r="I64" s="160" t="s">
        <v>11</v>
      </c>
      <c r="J64" s="39"/>
      <c r="K64" s="50"/>
      <c r="L64" s="60"/>
      <c r="M64" s="7"/>
      <c r="N64" s="1"/>
      <c r="O64" s="1"/>
      <c r="P64" s="1"/>
      <c r="Q64" s="1"/>
      <c r="R64" s="7"/>
      <c r="S64" s="61"/>
      <c r="T64" s="47"/>
      <c r="U64" s="152"/>
      <c r="V64" s="1"/>
    </row>
    <row r="65" spans="1:22" s="2" customFormat="1">
      <c r="A65" s="67">
        <v>16</v>
      </c>
      <c r="B65" s="91" t="str">
        <f>+B57</f>
        <v xml:space="preserve">  General &amp; Intangible</v>
      </c>
      <c r="C65" s="89" t="str">
        <f>"(Line "&amp;A49&amp;" - Line "&amp;A57&amp;")"</f>
        <v>(Line 4 - Line 10)</v>
      </c>
      <c r="D65" s="160">
        <v>23281589.196923077</v>
      </c>
      <c r="E65" s="39"/>
      <c r="F65" s="39"/>
      <c r="G65" s="50"/>
      <c r="H65" s="39"/>
      <c r="I65" s="160">
        <f>I49-I57</f>
        <v>2906135.5283908853</v>
      </c>
      <c r="J65" s="39"/>
      <c r="K65" s="50"/>
      <c r="L65" s="60"/>
      <c r="M65" s="7">
        <v>21806124.372493509</v>
      </c>
      <c r="N65" s="1"/>
      <c r="O65" s="1"/>
      <c r="P65" s="1"/>
      <c r="Q65" s="1"/>
      <c r="R65" s="7">
        <v>2770830.3222412346</v>
      </c>
      <c r="S65" s="61"/>
      <c r="T65" s="47">
        <f>+I65-R65</f>
        <v>135305.20614965074</v>
      </c>
      <c r="U65" s="152">
        <f>+T65/R65</f>
        <v>4.8832007165349176E-2</v>
      </c>
      <c r="V65" s="1"/>
    </row>
    <row r="66" spans="1:22" ht="13.8" thickBot="1">
      <c r="A66" s="67">
        <v>17</v>
      </c>
      <c r="B66" s="91" t="str">
        <f>+B58</f>
        <v xml:space="preserve">  Other</v>
      </c>
      <c r="C66" s="89" t="str">
        <f>"(Line "&amp;A50&amp;" - Line "&amp;A58&amp;")"</f>
        <v>(Line 5 - Line 11)</v>
      </c>
      <c r="D66" s="4">
        <v>16420740.692307692</v>
      </c>
      <c r="E66" s="39"/>
      <c r="F66" s="39"/>
      <c r="G66" s="50"/>
      <c r="H66" s="39"/>
      <c r="I66" s="7">
        <f>I50-I58</f>
        <v>2003605.1235435579</v>
      </c>
      <c r="J66" s="39"/>
      <c r="K66" s="50"/>
      <c r="L66" s="60"/>
      <c r="M66" s="4">
        <v>16476046</v>
      </c>
      <c r="R66" s="4">
        <v>2051499.4263294563</v>
      </c>
      <c r="S66" s="61"/>
      <c r="T66" s="48">
        <f>+I66-R66</f>
        <v>-47894.302785898326</v>
      </c>
      <c r="U66" s="152">
        <f>+T66/R66</f>
        <v>-2.3345998624816015E-2</v>
      </c>
    </row>
    <row r="67" spans="1:22">
      <c r="A67" s="67">
        <v>18</v>
      </c>
      <c r="B67" s="35" t="s">
        <v>89</v>
      </c>
      <c r="C67" s="89" t="s">
        <v>90</v>
      </c>
      <c r="D67" s="7">
        <f>SUM(D62:D66)</f>
        <v>884232584.30384636</v>
      </c>
      <c r="E67" s="39"/>
      <c r="F67" s="39" t="s">
        <v>91</v>
      </c>
      <c r="G67" s="70">
        <v>0.28982569808017855</v>
      </c>
      <c r="H67" s="39"/>
      <c r="I67" s="6">
        <f>SUM(I63:I66)</f>
        <v>256273326.00779608</v>
      </c>
      <c r="J67" s="39"/>
      <c r="K67" s="39"/>
      <c r="L67" s="60"/>
      <c r="M67" s="7">
        <v>297935550.90315115</v>
      </c>
      <c r="O67" s="1" t="s">
        <v>91</v>
      </c>
      <c r="P67" s="159">
        <v>0.29252080305545519</v>
      </c>
      <c r="R67" s="7">
        <v>246623034.88338098</v>
      </c>
      <c r="S67" s="61"/>
      <c r="T67" s="47">
        <f>+I67-R67</f>
        <v>9650291.1244150996</v>
      </c>
      <c r="U67" s="152">
        <f>+T67/R67</f>
        <v>3.9129723340637544E-2</v>
      </c>
    </row>
    <row r="68" spans="1:22" s="8" customFormat="1">
      <c r="A68" s="92"/>
      <c r="B68" s="93"/>
      <c r="C68" s="89"/>
      <c r="D68" s="9"/>
      <c r="E68" s="87"/>
      <c r="F68" s="87"/>
      <c r="G68" s="94"/>
      <c r="H68" s="87"/>
      <c r="I68" s="7"/>
      <c r="J68" s="89"/>
      <c r="K68" s="89"/>
      <c r="L68" s="95"/>
      <c r="S68" s="96"/>
      <c r="T68" s="168"/>
      <c r="U68" s="169"/>
    </row>
    <row r="69" spans="1:22" s="8" customFormat="1">
      <c r="A69" s="92" t="s">
        <v>92</v>
      </c>
      <c r="B69" s="97" t="s">
        <v>93</v>
      </c>
      <c r="C69" s="98" t="s">
        <v>94</v>
      </c>
      <c r="D69" s="69">
        <v>0</v>
      </c>
      <c r="E69" s="98"/>
      <c r="F69" s="99"/>
      <c r="G69" s="100"/>
      <c r="H69" s="98"/>
      <c r="I69" s="9">
        <v>0</v>
      </c>
      <c r="J69" s="89"/>
      <c r="K69" s="89"/>
      <c r="L69" s="95"/>
      <c r="M69" s="69">
        <v>0</v>
      </c>
      <c r="N69" s="98"/>
      <c r="O69" s="99"/>
      <c r="P69" s="100">
        <v>0</v>
      </c>
      <c r="S69" s="96"/>
      <c r="T69" s="168"/>
      <c r="U69" s="169"/>
    </row>
    <row r="70" spans="1:22" s="8" customFormat="1">
      <c r="A70" s="92"/>
      <c r="B70" s="101"/>
      <c r="C70" s="89"/>
      <c r="D70" s="9"/>
      <c r="E70" s="89"/>
      <c r="F70" s="101"/>
      <c r="G70" s="101"/>
      <c r="H70" s="89"/>
      <c r="I70" s="9"/>
      <c r="J70" s="89"/>
      <c r="K70" s="102"/>
      <c r="L70" s="95"/>
      <c r="S70" s="96"/>
      <c r="T70" s="168"/>
      <c r="U70" s="169"/>
    </row>
    <row r="71" spans="1:22">
      <c r="A71" s="67"/>
      <c r="B71" s="35" t="s">
        <v>95</v>
      </c>
      <c r="C71" s="39"/>
      <c r="D71" s="39"/>
      <c r="E71" s="39"/>
      <c r="F71" s="39"/>
      <c r="G71" s="39"/>
      <c r="H71" s="39"/>
      <c r="I71" s="39"/>
      <c r="J71" s="39"/>
      <c r="K71" s="39"/>
      <c r="L71" s="60"/>
      <c r="S71" s="61"/>
      <c r="T71" s="168"/>
      <c r="U71" s="169"/>
    </row>
    <row r="72" spans="1:22">
      <c r="A72" s="92">
        <f>+A67+1</f>
        <v>19</v>
      </c>
      <c r="B72" s="93" t="s">
        <v>96</v>
      </c>
      <c r="C72" s="89" t="s">
        <v>97</v>
      </c>
      <c r="D72" s="69">
        <v>0</v>
      </c>
      <c r="E72" s="89"/>
      <c r="F72" s="35" t="s">
        <v>98</v>
      </c>
      <c r="G72" s="103">
        <v>0.2414768897603051</v>
      </c>
      <c r="H72" s="87"/>
      <c r="I72" s="9">
        <v>0</v>
      </c>
      <c r="J72" s="39"/>
      <c r="K72" s="50"/>
      <c r="L72" s="60"/>
      <c r="M72" s="69">
        <v>0</v>
      </c>
      <c r="O72" s="1" t="s">
        <v>98</v>
      </c>
      <c r="P72" s="174">
        <v>0.25172374063863684</v>
      </c>
      <c r="R72" s="9">
        <v>0</v>
      </c>
      <c r="S72" s="61"/>
      <c r="T72" s="168"/>
      <c r="U72" s="169"/>
    </row>
    <row r="73" spans="1:22">
      <c r="A73" s="92">
        <f t="shared" ref="A73:A76" si="4">+A72+1</f>
        <v>20</v>
      </c>
      <c r="B73" s="93" t="s">
        <v>99</v>
      </c>
      <c r="C73" s="89" t="s">
        <v>100</v>
      </c>
      <c r="D73" s="69">
        <v>-140121497</v>
      </c>
      <c r="E73" s="89"/>
      <c r="F73" s="35" t="s">
        <v>98</v>
      </c>
      <c r="G73" s="103">
        <v>0.2414768897603051</v>
      </c>
      <c r="H73" s="87"/>
      <c r="I73" s="9">
        <f>+D73*G73</f>
        <v>-33836103.284117922</v>
      </c>
      <c r="J73" s="39"/>
      <c r="K73" s="50"/>
      <c r="L73" s="60"/>
      <c r="M73" s="69">
        <v>-34428871.308606967</v>
      </c>
      <c r="O73" s="1" t="s">
        <v>68</v>
      </c>
      <c r="P73" s="174">
        <v>0.93124420194583424</v>
      </c>
      <c r="R73" s="9">
        <v>-32061686.785679527</v>
      </c>
      <c r="S73" s="61"/>
      <c r="T73" s="47">
        <f>+I73-R73</f>
        <v>-1774416.4984383956</v>
      </c>
      <c r="U73" s="152">
        <f>+T73/R73</f>
        <v>5.5343828610756228E-2</v>
      </c>
    </row>
    <row r="74" spans="1:22">
      <c r="A74" s="92">
        <f t="shared" si="4"/>
        <v>21</v>
      </c>
      <c r="B74" s="93" t="s">
        <v>101</v>
      </c>
      <c r="C74" s="89" t="s">
        <v>102</v>
      </c>
      <c r="D74" s="69">
        <v>-60494522</v>
      </c>
      <c r="E74" s="89"/>
      <c r="F74" s="35" t="s">
        <v>98</v>
      </c>
      <c r="G74" s="103">
        <v>0.2414768897603051</v>
      </c>
      <c r="H74" s="87"/>
      <c r="I74" s="9">
        <f>+D74*G74</f>
        <v>-14608029.020096352</v>
      </c>
      <c r="J74" s="39"/>
      <c r="K74" s="50"/>
      <c r="L74" s="60"/>
      <c r="M74" s="69">
        <v>-56136196</v>
      </c>
      <c r="O74" s="1" t="s">
        <v>98</v>
      </c>
      <c r="P74" s="174">
        <v>0.25172374063863684</v>
      </c>
      <c r="R74" s="9">
        <v>-14130813.242343683</v>
      </c>
      <c r="S74" s="61"/>
      <c r="T74" s="47">
        <f>+I74-R74</f>
        <v>-477215.77775266953</v>
      </c>
      <c r="U74" s="152">
        <f>+T74/R74</f>
        <v>3.3771288995786089E-2</v>
      </c>
    </row>
    <row r="75" spans="1:22">
      <c r="A75" s="92">
        <f t="shared" si="4"/>
        <v>22</v>
      </c>
      <c r="B75" s="93" t="s">
        <v>103</v>
      </c>
      <c r="C75" s="89" t="s">
        <v>104</v>
      </c>
      <c r="D75" s="69">
        <v>76211509</v>
      </c>
      <c r="E75" s="89"/>
      <c r="F75" s="35" t="s">
        <v>98</v>
      </c>
      <c r="G75" s="103">
        <v>0.2414768897603051</v>
      </c>
      <c r="H75" s="87"/>
      <c r="I75" s="9">
        <f>+D75*G75</f>
        <v>18403318.157259502</v>
      </c>
      <c r="J75" s="39"/>
      <c r="K75" s="50"/>
      <c r="L75" s="60"/>
      <c r="M75" s="69">
        <v>70988734.984520003</v>
      </c>
      <c r="O75" s="1" t="s">
        <v>98</v>
      </c>
      <c r="P75" s="174">
        <v>0.25172374063863684</v>
      </c>
      <c r="R75" s="9">
        <v>17869549.91350824</v>
      </c>
      <c r="S75" s="61"/>
      <c r="T75" s="47">
        <f>+I75-R75</f>
        <v>533768.24375126138</v>
      </c>
      <c r="U75" s="152">
        <f>+T75/R75</f>
        <v>2.987026793258887E-2</v>
      </c>
    </row>
    <row r="76" spans="1:22">
      <c r="A76" s="92">
        <f t="shared" si="4"/>
        <v>23</v>
      </c>
      <c r="B76" s="101" t="s">
        <v>105</v>
      </c>
      <c r="C76" s="101" t="s">
        <v>106</v>
      </c>
      <c r="D76" s="46">
        <v>0</v>
      </c>
      <c r="E76" s="89"/>
      <c r="F76" s="89"/>
      <c r="G76" s="10">
        <v>0</v>
      </c>
      <c r="H76" s="87"/>
      <c r="I76" s="9">
        <v>0</v>
      </c>
      <c r="J76" s="39"/>
      <c r="K76" s="50"/>
      <c r="L76" s="60"/>
      <c r="M76" s="46"/>
      <c r="P76" s="174"/>
      <c r="R76" s="9"/>
      <c r="S76" s="61"/>
      <c r="T76" s="47"/>
      <c r="U76" s="152"/>
    </row>
    <row r="77" spans="1:22">
      <c r="A77" s="92" t="s">
        <v>107</v>
      </c>
      <c r="B77" s="97" t="s">
        <v>108</v>
      </c>
      <c r="C77" s="98" t="s">
        <v>109</v>
      </c>
      <c r="D77" s="69">
        <v>0</v>
      </c>
      <c r="E77" s="98"/>
      <c r="F77" s="99"/>
      <c r="G77" s="100"/>
      <c r="H77" s="98"/>
      <c r="I77" s="9">
        <v>0</v>
      </c>
      <c r="J77" s="39"/>
      <c r="K77" s="50"/>
      <c r="L77" s="60"/>
      <c r="M77" s="69">
        <v>0</v>
      </c>
      <c r="P77" s="174"/>
      <c r="R77" s="9">
        <v>0</v>
      </c>
      <c r="S77" s="61"/>
      <c r="T77" s="47"/>
      <c r="U77" s="152"/>
    </row>
    <row r="78" spans="1:22">
      <c r="A78" s="92" t="s">
        <v>110</v>
      </c>
      <c r="B78" s="97" t="s">
        <v>111</v>
      </c>
      <c r="C78" s="98" t="s">
        <v>112</v>
      </c>
      <c r="D78" s="69">
        <v>0</v>
      </c>
      <c r="E78" s="98"/>
      <c r="F78" s="99"/>
      <c r="G78" s="100"/>
      <c r="H78" s="98"/>
      <c r="I78" s="9">
        <v>0</v>
      </c>
      <c r="J78" s="39"/>
      <c r="K78" s="50"/>
      <c r="L78" s="60"/>
      <c r="M78" s="69">
        <v>0</v>
      </c>
      <c r="P78" s="174"/>
      <c r="R78" s="9">
        <v>0</v>
      </c>
      <c r="S78" s="61"/>
      <c r="T78" s="47"/>
      <c r="U78" s="152"/>
    </row>
    <row r="79" spans="1:22">
      <c r="A79" s="92" t="s">
        <v>113</v>
      </c>
      <c r="B79" s="97" t="s">
        <v>114</v>
      </c>
      <c r="C79" s="98" t="s">
        <v>115</v>
      </c>
      <c r="D79" s="69">
        <v>0</v>
      </c>
      <c r="E79" s="98"/>
      <c r="F79" s="99"/>
      <c r="G79" s="100"/>
      <c r="H79" s="98"/>
      <c r="I79" s="9">
        <v>0</v>
      </c>
      <c r="J79" s="39"/>
      <c r="K79" s="50"/>
      <c r="L79" s="60"/>
      <c r="M79" s="69">
        <v>0</v>
      </c>
      <c r="P79" s="174"/>
      <c r="R79" s="9">
        <v>0</v>
      </c>
      <c r="S79" s="61"/>
      <c r="T79" s="47"/>
      <c r="U79" s="152"/>
    </row>
    <row r="80" spans="1:22">
      <c r="A80" s="92" t="s">
        <v>116</v>
      </c>
      <c r="B80" s="97" t="s">
        <v>117</v>
      </c>
      <c r="C80" s="98" t="s">
        <v>118</v>
      </c>
      <c r="D80" s="69">
        <v>-882125.06942508172</v>
      </c>
      <c r="E80" s="98"/>
      <c r="F80" s="98"/>
      <c r="G80" s="10"/>
      <c r="H80" s="98"/>
      <c r="I80" s="9">
        <v>-882125.06942508172</v>
      </c>
      <c r="J80" s="39"/>
      <c r="K80" s="50"/>
      <c r="L80" s="60"/>
      <c r="M80" s="69">
        <v>-763487.19957563549</v>
      </c>
      <c r="P80" s="174"/>
      <c r="R80" s="9">
        <v>-763487.19957563549</v>
      </c>
      <c r="S80" s="61"/>
      <c r="T80" s="41">
        <f>+I80-R80</f>
        <v>-118637.86984944623</v>
      </c>
      <c r="U80" s="152">
        <f>+T80/R80</f>
        <v>0.15538946810815951</v>
      </c>
    </row>
    <row r="81" spans="1:22">
      <c r="A81" s="92">
        <v>24</v>
      </c>
      <c r="B81" s="91" t="s">
        <v>119</v>
      </c>
      <c r="C81" s="91" t="s">
        <v>120</v>
      </c>
      <c r="D81" s="69">
        <v>-3322070.5900000017</v>
      </c>
      <c r="E81" s="39"/>
      <c r="F81" s="35" t="s">
        <v>98</v>
      </c>
      <c r="G81" s="103">
        <v>0.2414768897603051</v>
      </c>
      <c r="H81" s="39"/>
      <c r="I81" s="9">
        <f>+D81*G81</f>
        <v>-802203.27363738208</v>
      </c>
      <c r="J81" s="39"/>
      <c r="K81" s="50"/>
      <c r="L81" s="60"/>
      <c r="M81" s="69">
        <v>2895605.8200000105</v>
      </c>
      <c r="O81" s="1" t="s">
        <v>98</v>
      </c>
      <c r="P81" s="174">
        <v>0.25172374063863684</v>
      </c>
      <c r="R81" s="9">
        <v>728892.72842540999</v>
      </c>
      <c r="S81" s="61"/>
      <c r="T81" s="41">
        <f>+I81-R81</f>
        <v>-1531096.002062792</v>
      </c>
      <c r="U81" s="152">
        <f>+T81/R81</f>
        <v>-2.1005779620964815</v>
      </c>
    </row>
    <row r="82" spans="1:22" s="2" customFormat="1" ht="13.8" thickBot="1">
      <c r="A82" s="67">
        <v>25</v>
      </c>
      <c r="B82" s="91" t="s">
        <v>121</v>
      </c>
      <c r="C82" s="91" t="s">
        <v>122</v>
      </c>
      <c r="D82" s="11">
        <v>-38528297.539999992</v>
      </c>
      <c r="E82" s="39"/>
      <c r="F82" s="39"/>
      <c r="G82" s="39"/>
      <c r="H82" s="39"/>
      <c r="I82" s="11">
        <v>-8738531.8594845477</v>
      </c>
      <c r="J82" s="39"/>
      <c r="K82" s="50"/>
      <c r="L82" s="60"/>
      <c r="M82" s="11">
        <v>-8653269.5480635036</v>
      </c>
      <c r="N82" s="1"/>
      <c r="O82" s="1"/>
      <c r="P82" s="1"/>
      <c r="Q82" s="1"/>
      <c r="R82" s="11">
        <v>-8653269.5480635036</v>
      </c>
      <c r="S82" s="61"/>
      <c r="T82" s="49">
        <f>+I82-R82</f>
        <v>-85262.311421044171</v>
      </c>
      <c r="U82" s="152">
        <f>+T82/R82</f>
        <v>9.8531902822933375E-3</v>
      </c>
      <c r="V82" s="1"/>
    </row>
    <row r="83" spans="1:22" s="2" customFormat="1">
      <c r="A83" s="67">
        <v>26</v>
      </c>
      <c r="B83" s="35" t="s">
        <v>123</v>
      </c>
      <c r="C83" s="89" t="s">
        <v>124</v>
      </c>
      <c r="D83" s="7">
        <f>SUM(D72:D82)</f>
        <v>-167137003.19942507</v>
      </c>
      <c r="E83" s="39"/>
      <c r="F83" s="39"/>
      <c r="G83" s="39"/>
      <c r="H83" s="39"/>
      <c r="I83" s="7">
        <f>SUM(I72:I82)</f>
        <v>-40463674.349501781</v>
      </c>
      <c r="J83" s="39"/>
      <c r="K83" s="39"/>
      <c r="L83" s="60"/>
      <c r="M83" s="7">
        <v>-25642847.717535146</v>
      </c>
      <c r="N83" s="1"/>
      <c r="O83" s="1"/>
      <c r="P83" s="1"/>
      <c r="Q83" s="1"/>
      <c r="R83" s="7">
        <v>-36556178.59953776</v>
      </c>
      <c r="S83" s="61"/>
      <c r="T83" s="47">
        <f>+I83-R83</f>
        <v>-3907495.7499640211</v>
      </c>
      <c r="U83" s="152">
        <f>+T83/R83</f>
        <v>0.10689015919222558</v>
      </c>
      <c r="V83" s="1"/>
    </row>
    <row r="84" spans="1:22" s="2" customFormat="1">
      <c r="A84" s="67"/>
      <c r="B84" s="35"/>
      <c r="C84" s="39"/>
      <c r="D84" s="35"/>
      <c r="E84" s="39"/>
      <c r="F84" s="39"/>
      <c r="G84" s="50"/>
      <c r="H84" s="39"/>
      <c r="I84" s="35"/>
      <c r="J84" s="39"/>
      <c r="K84" s="50"/>
      <c r="L84" s="60"/>
      <c r="M84" s="1"/>
      <c r="N84" s="1"/>
      <c r="O84" s="1"/>
      <c r="P84" s="1"/>
      <c r="Q84" s="1"/>
      <c r="R84" s="1"/>
      <c r="S84" s="61"/>
      <c r="T84" s="34"/>
      <c r="U84" s="151"/>
      <c r="V84" s="1"/>
    </row>
    <row r="85" spans="1:22" s="2" customFormat="1">
      <c r="A85" s="67">
        <v>27</v>
      </c>
      <c r="B85" s="35" t="s">
        <v>125</v>
      </c>
      <c r="C85" s="104" t="s">
        <v>126</v>
      </c>
      <c r="D85" s="69">
        <v>0</v>
      </c>
      <c r="E85" s="39"/>
      <c r="F85" s="42" t="s">
        <v>68</v>
      </c>
      <c r="G85" s="70">
        <v>0.93495713255492408</v>
      </c>
      <c r="H85" s="39"/>
      <c r="I85" s="7">
        <v>0</v>
      </c>
      <c r="J85" s="39"/>
      <c r="K85" s="39"/>
      <c r="L85" s="60"/>
      <c r="M85" s="1"/>
      <c r="N85" s="1"/>
      <c r="O85" s="1"/>
      <c r="P85" s="1"/>
      <c r="Q85" s="1"/>
      <c r="R85" s="1"/>
      <c r="S85" s="61"/>
      <c r="T85" s="34"/>
      <c r="U85" s="151"/>
      <c r="V85" s="1"/>
    </row>
    <row r="86" spans="1:22" s="2" customFormat="1">
      <c r="A86" s="67"/>
      <c r="B86" s="35"/>
      <c r="C86" s="39"/>
      <c r="D86" s="39"/>
      <c r="E86" s="39"/>
      <c r="F86" s="39"/>
      <c r="G86" s="39"/>
      <c r="H86" s="39"/>
      <c r="I86" s="39"/>
      <c r="J86" s="39"/>
      <c r="K86" s="39"/>
      <c r="L86" s="60"/>
      <c r="M86" s="1"/>
      <c r="N86" s="1"/>
      <c r="O86" s="1"/>
      <c r="P86" s="1"/>
      <c r="Q86" s="1"/>
      <c r="R86" s="1"/>
      <c r="S86" s="61"/>
      <c r="T86" s="34"/>
      <c r="U86" s="151"/>
      <c r="V86" s="1"/>
    </row>
    <row r="87" spans="1:22" s="2" customFormat="1">
      <c r="A87" s="67"/>
      <c r="B87" s="35" t="s">
        <v>127</v>
      </c>
      <c r="C87" s="89" t="s">
        <v>128</v>
      </c>
      <c r="D87" s="39"/>
      <c r="E87" s="39"/>
      <c r="F87" s="39"/>
      <c r="G87" s="39"/>
      <c r="H87" s="39"/>
      <c r="I87" s="39"/>
      <c r="J87" s="39"/>
      <c r="K87" s="39"/>
      <c r="L87" s="60"/>
      <c r="M87" s="1"/>
      <c r="N87" s="1"/>
      <c r="O87" s="1"/>
      <c r="P87" s="1"/>
      <c r="Q87" s="1"/>
      <c r="R87" s="1"/>
      <c r="S87" s="61"/>
      <c r="T87" s="34"/>
      <c r="U87" s="151"/>
      <c r="V87" s="1"/>
    </row>
    <row r="88" spans="1:22" s="2" customFormat="1">
      <c r="A88" s="67">
        <v>28</v>
      </c>
      <c r="B88" s="35" t="s">
        <v>129</v>
      </c>
      <c r="C88" s="101" t="s">
        <v>130</v>
      </c>
      <c r="D88" s="7">
        <v>3700515.4123499999</v>
      </c>
      <c r="E88" s="39"/>
      <c r="F88" s="39"/>
      <c r="G88" s="50"/>
      <c r="H88" s="39"/>
      <c r="I88" s="160">
        <f>+I118/8</f>
        <v>722839.4328097729</v>
      </c>
      <c r="J88" s="35"/>
      <c r="K88" s="50"/>
      <c r="L88" s="60"/>
      <c r="M88" s="7">
        <v>4511580.5704152398</v>
      </c>
      <c r="N88" s="39"/>
      <c r="O88" s="39"/>
      <c r="P88" s="50"/>
      <c r="Q88" s="39"/>
      <c r="R88" s="7">
        <v>844344.83547378029</v>
      </c>
      <c r="S88" s="61"/>
      <c r="T88" s="47">
        <f>+I88-R88</f>
        <v>-121505.40266400739</v>
      </c>
      <c r="U88" s="152">
        <f>+T88/R88</f>
        <v>-0.14390495157802211</v>
      </c>
      <c r="V88" s="1"/>
    </row>
    <row r="89" spans="1:22" s="2" customFormat="1">
      <c r="A89" s="67">
        <v>29</v>
      </c>
      <c r="B89" s="35" t="s">
        <v>131</v>
      </c>
      <c r="C89" s="104" t="s">
        <v>132</v>
      </c>
      <c r="D89" s="69">
        <v>88416.417875596409</v>
      </c>
      <c r="E89" s="39"/>
      <c r="F89" s="39" t="s">
        <v>133</v>
      </c>
      <c r="G89" s="51">
        <v>0.93495713255492408</v>
      </c>
      <c r="H89" s="39"/>
      <c r="I89" s="7">
        <f>+D89*G89</f>
        <v>82665.560527745547</v>
      </c>
      <c r="J89" s="39" t="s">
        <v>11</v>
      </c>
      <c r="K89" s="50"/>
      <c r="L89" s="60"/>
      <c r="M89" s="69">
        <v>166099.40547235648</v>
      </c>
      <c r="N89" s="39"/>
      <c r="O89" s="39"/>
      <c r="P89" s="51"/>
      <c r="Q89" s="39"/>
      <c r="R89" s="7">
        <v>166099.40547235648</v>
      </c>
      <c r="S89" s="61"/>
      <c r="T89" s="47">
        <f>+I89-R89</f>
        <v>-83433.84494461093</v>
      </c>
      <c r="U89" s="152">
        <f>+T89/R89</f>
        <v>-0.50231272476466882</v>
      </c>
      <c r="V89" s="1"/>
    </row>
    <row r="90" spans="1:22" s="2" customFormat="1" ht="13.8" thickBot="1">
      <c r="A90" s="67">
        <v>30</v>
      </c>
      <c r="B90" s="35" t="s">
        <v>134</v>
      </c>
      <c r="C90" s="87" t="s">
        <v>135</v>
      </c>
      <c r="D90" s="69">
        <v>286564.39069452288</v>
      </c>
      <c r="E90" s="39"/>
      <c r="F90" s="39"/>
      <c r="G90" s="51"/>
      <c r="H90" s="39"/>
      <c r="I90" s="4">
        <f>+D90</f>
        <v>286564.39069452288</v>
      </c>
      <c r="J90" s="39"/>
      <c r="K90" s="50"/>
      <c r="L90" s="60"/>
      <c r="M90" s="69">
        <v>176248.09127380204</v>
      </c>
      <c r="N90" s="39"/>
      <c r="O90" s="39"/>
      <c r="P90" s="51"/>
      <c r="Q90" s="39"/>
      <c r="R90" s="4">
        <v>176248.09127380204</v>
      </c>
      <c r="S90" s="61"/>
      <c r="T90" s="48">
        <f>+I90-R90</f>
        <v>110316.29942072084</v>
      </c>
      <c r="U90" s="152">
        <f>+T90/R90</f>
        <v>0.62591486025992804</v>
      </c>
      <c r="V90" s="1"/>
    </row>
    <row r="91" spans="1:22" s="2" customFormat="1">
      <c r="A91" s="67">
        <v>31</v>
      </c>
      <c r="B91" s="35" t="s">
        <v>136</v>
      </c>
      <c r="C91" s="89" t="s">
        <v>137</v>
      </c>
      <c r="D91" s="6">
        <f>D88+D89+D90</f>
        <v>4075496.220920119</v>
      </c>
      <c r="E91" s="35"/>
      <c r="F91" s="35"/>
      <c r="G91" s="35"/>
      <c r="H91" s="35"/>
      <c r="I91" s="6">
        <f>I88+I89+I90</f>
        <v>1092069.3840320413</v>
      </c>
      <c r="J91" s="35"/>
      <c r="K91" s="35"/>
      <c r="L91" s="60"/>
      <c r="M91" s="6">
        <v>4853928.0671613989</v>
      </c>
      <c r="N91" s="35"/>
      <c r="O91" s="35"/>
      <c r="P91" s="35"/>
      <c r="Q91" s="35"/>
      <c r="R91" s="7">
        <v>1186692.3322199387</v>
      </c>
      <c r="S91" s="61"/>
      <c r="T91" s="47">
        <f>+I91-R91</f>
        <v>-94622.948187897447</v>
      </c>
      <c r="U91" s="152">
        <f>+T91/R91</f>
        <v>-7.9736714916567142E-2</v>
      </c>
      <c r="V91" s="1"/>
    </row>
    <row r="92" spans="1:22" s="2" customFormat="1" ht="13.8" thickBot="1">
      <c r="A92" s="37"/>
      <c r="B92" s="35"/>
      <c r="C92" s="39"/>
      <c r="D92" s="35"/>
      <c r="E92" s="39"/>
      <c r="F92" s="39"/>
      <c r="G92" s="39"/>
      <c r="H92" s="39"/>
      <c r="I92" s="12"/>
      <c r="J92" s="39"/>
      <c r="K92" s="39"/>
      <c r="L92" s="60"/>
      <c r="M92" s="35"/>
      <c r="N92" s="39"/>
      <c r="O92" s="39"/>
      <c r="P92" s="39"/>
      <c r="Q92" s="39"/>
      <c r="R92" s="12"/>
      <c r="S92" s="61"/>
      <c r="T92" s="137"/>
      <c r="U92" s="151"/>
      <c r="V92" s="1"/>
    </row>
    <row r="93" spans="1:22" s="2" customFormat="1" ht="13.8" thickBot="1">
      <c r="A93" s="67">
        <v>32</v>
      </c>
      <c r="B93" s="35" t="s">
        <v>138</v>
      </c>
      <c r="C93" s="35" t="s">
        <v>139</v>
      </c>
      <c r="D93" s="13">
        <f>+D91+D85+D83+D67</f>
        <v>721171077.32534146</v>
      </c>
      <c r="E93" s="39"/>
      <c r="F93" s="39"/>
      <c r="G93" s="50"/>
      <c r="H93" s="39"/>
      <c r="I93" s="175">
        <f>+I91+I85+I83+I67</f>
        <v>216901721.04232633</v>
      </c>
      <c r="J93" s="39"/>
      <c r="K93" s="50"/>
      <c r="L93" s="60"/>
      <c r="M93" s="13">
        <v>277146631.2527774</v>
      </c>
      <c r="N93" s="39"/>
      <c r="O93" s="39"/>
      <c r="P93" s="50"/>
      <c r="Q93" s="39"/>
      <c r="R93" s="13">
        <v>211253548.61606315</v>
      </c>
      <c r="S93" s="61"/>
      <c r="T93" s="52">
        <f>+I93-R93</f>
        <v>5648172.4262631834</v>
      </c>
      <c r="U93" s="152">
        <f>+T93/R93</f>
        <v>2.6736461769588053E-2</v>
      </c>
      <c r="V93" s="1"/>
    </row>
    <row r="94" spans="1:22" s="2" customFormat="1" ht="13.8" thickTop="1">
      <c r="A94" s="37"/>
      <c r="B94" s="35"/>
      <c r="C94" s="35"/>
      <c r="D94" s="76"/>
      <c r="E94" s="35"/>
      <c r="F94" s="35"/>
      <c r="G94" s="35"/>
      <c r="H94" s="35"/>
      <c r="I94" s="77"/>
      <c r="J94" s="77"/>
      <c r="K94" s="77"/>
      <c r="L94" s="60"/>
      <c r="M94" s="1"/>
      <c r="N94" s="1"/>
      <c r="O94" s="1"/>
      <c r="P94" s="1"/>
      <c r="Q94" s="1"/>
      <c r="R94" s="1"/>
      <c r="S94" s="61"/>
      <c r="T94" s="47"/>
      <c r="U94" s="151"/>
      <c r="V94" s="1"/>
    </row>
    <row r="95" spans="1:22" s="2" customFormat="1">
      <c r="A95" s="37"/>
      <c r="B95" s="35"/>
      <c r="C95" s="35"/>
      <c r="D95" s="76"/>
      <c r="E95" s="35"/>
      <c r="F95" s="35"/>
      <c r="G95" s="35"/>
      <c r="H95" s="35"/>
      <c r="I95" s="177" t="str">
        <f>I2</f>
        <v>Actual Attachment H</v>
      </c>
      <c r="J95" s="177"/>
      <c r="K95" s="177"/>
      <c r="L95" s="60"/>
      <c r="M95" s="1"/>
      <c r="N95" s="1"/>
      <c r="O95" s="1"/>
      <c r="P95" s="1"/>
      <c r="Q95" s="1"/>
      <c r="R95" s="1"/>
      <c r="S95" s="61"/>
      <c r="T95" s="34"/>
      <c r="U95" s="151"/>
      <c r="V95" s="1"/>
    </row>
    <row r="96" spans="1:22" s="2" customFormat="1">
      <c r="A96" s="37"/>
      <c r="B96" s="35"/>
      <c r="C96" s="35"/>
      <c r="D96" s="76"/>
      <c r="E96" s="35"/>
      <c r="F96" s="35"/>
      <c r="G96" s="35"/>
      <c r="H96" s="35"/>
      <c r="I96" s="35"/>
      <c r="J96" s="176" t="s">
        <v>140</v>
      </c>
      <c r="K96" s="176"/>
      <c r="L96" s="60"/>
      <c r="M96" s="1"/>
      <c r="N96" s="1"/>
      <c r="O96" s="1"/>
      <c r="P96" s="1"/>
      <c r="Q96" s="1"/>
      <c r="R96" s="1"/>
      <c r="S96" s="61"/>
      <c r="T96" s="34"/>
      <c r="U96" s="151"/>
      <c r="V96" s="1"/>
    </row>
    <row r="97" spans="1:22" s="2" customFormat="1">
      <c r="A97" s="37"/>
      <c r="B97" s="35"/>
      <c r="C97" s="35"/>
      <c r="D97" s="76"/>
      <c r="E97" s="35"/>
      <c r="F97" s="35"/>
      <c r="G97" s="35"/>
      <c r="H97" s="35"/>
      <c r="I97" s="35"/>
      <c r="J97" s="35"/>
      <c r="K97" s="77"/>
      <c r="L97" s="60"/>
      <c r="M97" s="1"/>
      <c r="N97" s="1"/>
      <c r="O97" s="1"/>
      <c r="P97" s="1"/>
      <c r="Q97" s="1"/>
      <c r="R97" s="1"/>
      <c r="S97" s="61"/>
      <c r="T97" s="34"/>
      <c r="U97" s="151"/>
      <c r="V97" s="1"/>
    </row>
    <row r="98" spans="1:22" s="2" customFormat="1">
      <c r="A98" s="37"/>
      <c r="B98" s="76" t="s">
        <v>2</v>
      </c>
      <c r="C98" s="36" t="s">
        <v>48</v>
      </c>
      <c r="D98" s="35"/>
      <c r="E98" s="35"/>
      <c r="F98" s="35"/>
      <c r="G98" s="35"/>
      <c r="H98" s="35"/>
      <c r="I98" s="35"/>
      <c r="J98" s="35"/>
      <c r="K98" s="78">
        <f>K5</f>
        <v>0</v>
      </c>
      <c r="L98" s="60"/>
      <c r="M98" s="1"/>
      <c r="N98" s="1"/>
      <c r="O98" s="1"/>
      <c r="P98" s="1"/>
      <c r="Q98" s="1"/>
      <c r="R98" s="1"/>
      <c r="S98" s="61"/>
      <c r="T98" s="34"/>
      <c r="U98" s="151"/>
      <c r="V98" s="1"/>
    </row>
    <row r="99" spans="1:22" s="2" customFormat="1">
      <c r="A99" s="37"/>
      <c r="B99" s="35"/>
      <c r="C99" s="79" t="s">
        <v>49</v>
      </c>
      <c r="D99" s="35"/>
      <c r="E99" s="39"/>
      <c r="F99" s="39"/>
      <c r="G99" s="39"/>
      <c r="H99" s="35"/>
      <c r="I99" s="35"/>
      <c r="J99" s="35"/>
      <c r="K99" s="35"/>
      <c r="L99" s="60"/>
      <c r="M99" s="1"/>
      <c r="N99" s="1"/>
      <c r="O99" s="1"/>
      <c r="P99" s="1"/>
      <c r="Q99" s="1"/>
      <c r="R99" s="1"/>
      <c r="S99" s="61"/>
      <c r="T99" s="34"/>
      <c r="U99" s="151"/>
      <c r="V99" s="1"/>
    </row>
    <row r="100" spans="1:22" s="2" customFormat="1">
      <c r="A100" s="37"/>
      <c r="B100" s="35"/>
      <c r="C100" s="39"/>
      <c r="D100" s="35"/>
      <c r="E100" s="39"/>
      <c r="F100" s="39"/>
      <c r="G100" s="39"/>
      <c r="H100" s="35"/>
      <c r="I100" s="35"/>
      <c r="J100" s="35"/>
      <c r="K100" s="35"/>
      <c r="L100" s="60"/>
      <c r="M100" s="1"/>
      <c r="N100" s="1"/>
      <c r="O100" s="1"/>
      <c r="P100" s="1"/>
      <c r="Q100" s="1"/>
      <c r="R100" s="1"/>
      <c r="S100" s="61"/>
      <c r="T100" s="34"/>
      <c r="U100" s="151"/>
      <c r="V100" s="1"/>
    </row>
    <row r="101" spans="1:22" s="2" customFormat="1">
      <c r="A101" s="67"/>
      <c r="B101" s="35"/>
      <c r="C101" s="80" t="str">
        <f>C8</f>
        <v>Black Hills Colorado Electric, LLC</v>
      </c>
      <c r="D101" s="35"/>
      <c r="E101" s="35"/>
      <c r="F101" s="35"/>
      <c r="G101" s="35"/>
      <c r="H101" s="35"/>
      <c r="I101" s="35"/>
      <c r="J101" s="39"/>
      <c r="K101" s="39"/>
      <c r="L101" s="60"/>
      <c r="M101" s="1"/>
      <c r="N101" s="1"/>
      <c r="O101" s="1"/>
      <c r="P101" s="1"/>
      <c r="Q101" s="1"/>
      <c r="R101" s="1"/>
      <c r="S101" s="61"/>
      <c r="T101" s="34"/>
      <c r="U101" s="151"/>
      <c r="V101" s="1"/>
    </row>
    <row r="102" spans="1:22" s="2" customFormat="1">
      <c r="A102" s="67"/>
      <c r="B102" s="35"/>
      <c r="C102" s="91"/>
      <c r="D102" s="35"/>
      <c r="E102" s="35"/>
      <c r="F102" s="35"/>
      <c r="G102" s="35"/>
      <c r="H102" s="35"/>
      <c r="I102" s="35"/>
      <c r="J102" s="39"/>
      <c r="K102" s="39"/>
      <c r="L102" s="60"/>
      <c r="M102" s="1"/>
      <c r="N102" s="1"/>
      <c r="O102" s="1"/>
      <c r="P102" s="1"/>
      <c r="Q102" s="1"/>
      <c r="R102" s="1"/>
      <c r="S102" s="61"/>
      <c r="T102" s="34"/>
      <c r="U102" s="151"/>
      <c r="V102" s="1"/>
    </row>
    <row r="103" spans="1:22" s="2" customFormat="1">
      <c r="A103" s="67"/>
      <c r="B103" s="36" t="s">
        <v>50</v>
      </c>
      <c r="C103" s="36" t="s">
        <v>51</v>
      </c>
      <c r="D103" s="36" t="s">
        <v>52</v>
      </c>
      <c r="E103" s="39" t="s">
        <v>11</v>
      </c>
      <c r="F103" s="39"/>
      <c r="G103" s="81" t="s">
        <v>53</v>
      </c>
      <c r="H103" s="39"/>
      <c r="I103" s="82" t="s">
        <v>54</v>
      </c>
      <c r="J103" s="39"/>
      <c r="K103" s="39"/>
      <c r="L103" s="60"/>
      <c r="M103" s="1"/>
      <c r="N103" s="1"/>
      <c r="O103" s="1"/>
      <c r="P103" s="1"/>
      <c r="Q103" s="1"/>
      <c r="R103" s="1"/>
      <c r="S103" s="61"/>
      <c r="T103" s="34"/>
      <c r="U103" s="151"/>
      <c r="V103" s="1"/>
    </row>
    <row r="104" spans="1:22" s="2" customFormat="1">
      <c r="A104" s="67" t="s">
        <v>6</v>
      </c>
      <c r="B104" s="35"/>
      <c r="C104" s="83" t="s">
        <v>55</v>
      </c>
      <c r="D104" s="39"/>
      <c r="E104" s="39"/>
      <c r="F104" s="39"/>
      <c r="G104" s="36"/>
      <c r="H104" s="39"/>
      <c r="I104" s="84" t="s">
        <v>56</v>
      </c>
      <c r="J104" s="39"/>
      <c r="K104" s="84"/>
      <c r="L104" s="60"/>
      <c r="M104" s="1"/>
      <c r="N104" s="1"/>
      <c r="O104" s="1"/>
      <c r="P104" s="1"/>
      <c r="Q104" s="1"/>
      <c r="S104" s="61"/>
      <c r="T104" s="34"/>
      <c r="U104" s="151"/>
      <c r="V104" s="1"/>
    </row>
    <row r="105" spans="1:22" s="2" customFormat="1" ht="13.8" thickBot="1">
      <c r="A105" s="40" t="s">
        <v>8</v>
      </c>
      <c r="B105" s="35"/>
      <c r="C105" s="84" t="s">
        <v>57</v>
      </c>
      <c r="D105" s="84" t="s">
        <v>58</v>
      </c>
      <c r="E105" s="85"/>
      <c r="F105" s="84" t="s">
        <v>59</v>
      </c>
      <c r="G105" s="35"/>
      <c r="H105" s="85"/>
      <c r="I105" s="36" t="s">
        <v>60</v>
      </c>
      <c r="J105" s="39"/>
      <c r="K105" s="84"/>
      <c r="L105" s="60"/>
      <c r="M105" s="84" t="s">
        <v>58</v>
      </c>
      <c r="N105" s="1"/>
      <c r="O105" s="1"/>
      <c r="P105" s="1"/>
      <c r="Q105" s="1"/>
      <c r="R105" s="84" t="s">
        <v>56</v>
      </c>
      <c r="S105" s="61"/>
      <c r="T105" s="34"/>
      <c r="U105" s="151"/>
      <c r="V105" s="1"/>
    </row>
    <row r="106" spans="1:22" s="2" customFormat="1">
      <c r="A106" s="67"/>
      <c r="B106" s="35" t="s">
        <v>141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60"/>
      <c r="M106" s="1"/>
      <c r="N106" s="1"/>
      <c r="O106" s="1"/>
      <c r="P106" s="1"/>
      <c r="Q106" s="1"/>
      <c r="R106" s="1"/>
      <c r="S106" s="61"/>
      <c r="T106" s="34"/>
      <c r="U106" s="151"/>
      <c r="V106" s="1"/>
    </row>
    <row r="107" spans="1:22" s="2" customFormat="1">
      <c r="A107" s="67">
        <v>1</v>
      </c>
      <c r="B107" s="35" t="s">
        <v>142</v>
      </c>
      <c r="C107" s="39" t="s">
        <v>143</v>
      </c>
      <c r="D107" s="99">
        <v>5464990</v>
      </c>
      <c r="E107" s="39"/>
      <c r="F107" s="39" t="s">
        <v>133</v>
      </c>
      <c r="G107" s="51">
        <v>0.93495713255492408</v>
      </c>
      <c r="H107" s="39"/>
      <c r="I107" s="160">
        <f>+G107*D107</f>
        <v>5109531.3798413342</v>
      </c>
      <c r="J107" s="35"/>
      <c r="K107" s="39"/>
      <c r="L107" s="60"/>
      <c r="M107" s="105">
        <v>6610061.1879192637</v>
      </c>
      <c r="N107" s="39"/>
      <c r="O107" s="39" t="s">
        <v>133</v>
      </c>
      <c r="P107" s="51">
        <v>0.93124420194583424</v>
      </c>
      <c r="Q107" s="39"/>
      <c r="R107" s="7">
        <v>6155581.1557570081</v>
      </c>
      <c r="S107" s="61"/>
      <c r="T107" s="47">
        <f>+I107-R107</f>
        <v>-1046049.7759156739</v>
      </c>
      <c r="U107" s="152">
        <f>+T107/R107</f>
        <v>-0.16993517743444186</v>
      </c>
      <c r="V107" s="1"/>
    </row>
    <row r="108" spans="1:22" s="2" customFormat="1">
      <c r="A108" s="67">
        <v>2</v>
      </c>
      <c r="B108" s="35" t="s">
        <v>144</v>
      </c>
      <c r="C108" s="39" t="s">
        <v>145</v>
      </c>
      <c r="D108" s="99">
        <v>834290</v>
      </c>
      <c r="E108" s="39"/>
      <c r="F108" s="39" t="s">
        <v>133</v>
      </c>
      <c r="G108" s="51">
        <v>0.93495713255492408</v>
      </c>
      <c r="H108" s="39"/>
      <c r="I108" s="161">
        <f t="shared" ref="I108:I117" si="5">+G108*D108</f>
        <v>780025.38611924765</v>
      </c>
      <c r="J108" s="35"/>
      <c r="K108" s="39"/>
      <c r="L108" s="60"/>
      <c r="M108" s="105">
        <v>1131129.64836778</v>
      </c>
      <c r="N108" s="39"/>
      <c r="O108" s="39" t="s">
        <v>133</v>
      </c>
      <c r="P108" s="51">
        <v>0.93124420194583424</v>
      </c>
      <c r="Q108" s="39"/>
      <c r="R108" s="9">
        <v>1053357.9266915254</v>
      </c>
      <c r="S108" s="61"/>
      <c r="T108" s="47">
        <f t="shared" ref="T108:T115" si="6">+I108-R108</f>
        <v>-273332.54057227774</v>
      </c>
      <c r="U108" s="152">
        <f>+T108/R108</f>
        <v>-0.25948685973321856</v>
      </c>
      <c r="V108" s="1"/>
    </row>
    <row r="109" spans="1:22" s="2" customFormat="1">
      <c r="A109" s="67" t="s">
        <v>146</v>
      </c>
      <c r="B109" s="35" t="s">
        <v>147</v>
      </c>
      <c r="C109" s="39" t="s">
        <v>148</v>
      </c>
      <c r="D109" s="99">
        <v>2195835</v>
      </c>
      <c r="E109" s="39"/>
      <c r="F109" s="39" t="s">
        <v>133</v>
      </c>
      <c r="G109" s="51">
        <v>0.93495713255492408</v>
      </c>
      <c r="H109" s="39"/>
      <c r="I109" s="161">
        <f t="shared" si="5"/>
        <v>2053011.5951637416</v>
      </c>
      <c r="J109" s="35"/>
      <c r="K109" s="39"/>
      <c r="L109" s="60"/>
      <c r="M109" s="105">
        <v>2782277.6128976829</v>
      </c>
      <c r="N109" s="39"/>
      <c r="O109" s="39" t="s">
        <v>133</v>
      </c>
      <c r="P109" s="51">
        <v>0.93124420194583424</v>
      </c>
      <c r="Q109" s="39"/>
      <c r="R109" s="9">
        <v>2590979.8952146634</v>
      </c>
      <c r="S109" s="61"/>
      <c r="T109" s="47">
        <f t="shared" si="6"/>
        <v>-537968.30005092174</v>
      </c>
      <c r="U109" s="152">
        <f>+T109/R109</f>
        <v>-0.20763121359780021</v>
      </c>
      <c r="V109" s="1"/>
    </row>
    <row r="110" spans="1:22" s="2" customFormat="1">
      <c r="A110" s="67">
        <v>3</v>
      </c>
      <c r="B110" s="35" t="s">
        <v>149</v>
      </c>
      <c r="C110" s="39" t="s">
        <v>150</v>
      </c>
      <c r="D110" s="99">
        <v>28786989</v>
      </c>
      <c r="E110" s="39"/>
      <c r="F110" s="39" t="s">
        <v>73</v>
      </c>
      <c r="G110" s="51">
        <v>0.1248254792149225</v>
      </c>
      <c r="H110" s="39"/>
      <c r="I110" s="160">
        <f t="shared" si="5"/>
        <v>3593349.6970797027</v>
      </c>
      <c r="J110" s="39"/>
      <c r="K110" s="39" t="s">
        <v>11</v>
      </c>
      <c r="L110" s="60"/>
      <c r="M110" s="105">
        <v>35135175.729516223</v>
      </c>
      <c r="N110" s="39"/>
      <c r="O110" s="39" t="s">
        <v>73</v>
      </c>
      <c r="P110" s="51">
        <v>0.12706661096257854</v>
      </c>
      <c r="Q110" s="39"/>
      <c r="R110" s="7">
        <v>4464507.7055242695</v>
      </c>
      <c r="S110" s="61"/>
      <c r="T110" s="47">
        <f t="shared" si="6"/>
        <v>-871158.00844456675</v>
      </c>
      <c r="U110" s="152">
        <f>+T110/R110</f>
        <v>-0.19512969086527004</v>
      </c>
      <c r="V110" s="1"/>
    </row>
    <row r="111" spans="1:22" s="2" customFormat="1">
      <c r="A111" s="67">
        <v>4</v>
      </c>
      <c r="B111" s="35" t="s">
        <v>151</v>
      </c>
      <c r="C111" s="39"/>
      <c r="D111" s="39"/>
      <c r="E111" s="39"/>
      <c r="F111" s="42"/>
      <c r="G111" s="51"/>
      <c r="H111" s="39"/>
      <c r="I111" s="160"/>
      <c r="J111" s="39"/>
      <c r="K111" s="39"/>
      <c r="L111" s="60"/>
      <c r="M111" s="39"/>
      <c r="N111" s="39"/>
      <c r="O111" s="42"/>
      <c r="P111" s="51"/>
      <c r="Q111" s="39"/>
      <c r="R111" s="9"/>
      <c r="S111" s="61"/>
      <c r="T111" s="47">
        <f t="shared" si="6"/>
        <v>0</v>
      </c>
      <c r="U111" s="152"/>
      <c r="V111" s="1"/>
    </row>
    <row r="112" spans="1:22" s="2" customFormat="1">
      <c r="A112" s="67">
        <v>5</v>
      </c>
      <c r="B112" s="35" t="s">
        <v>152</v>
      </c>
      <c r="C112" s="39" t="s">
        <v>153</v>
      </c>
      <c r="D112" s="69">
        <v>1727145</v>
      </c>
      <c r="E112" s="39"/>
      <c r="F112" s="42" t="s">
        <v>73</v>
      </c>
      <c r="G112" s="51">
        <v>0.1248254792149225</v>
      </c>
      <c r="H112" s="39"/>
      <c r="I112" s="161">
        <f t="shared" si="5"/>
        <v>215591.70229865733</v>
      </c>
      <c r="J112" s="39"/>
      <c r="K112" s="39"/>
      <c r="L112" s="60"/>
      <c r="M112" s="105">
        <v>2009606.3003414555</v>
      </c>
      <c r="N112" s="39"/>
      <c r="O112" s="42" t="s">
        <v>73</v>
      </c>
      <c r="P112" s="51">
        <v>0.12706661096257854</v>
      </c>
      <c r="Q112" s="39"/>
      <c r="R112" s="9">
        <v>255353.86195343451</v>
      </c>
      <c r="S112" s="61"/>
      <c r="T112" s="47">
        <f t="shared" si="6"/>
        <v>-39762.159654777177</v>
      </c>
      <c r="U112" s="152">
        <f>+T112/R112</f>
        <v>-0.15571395455153944</v>
      </c>
      <c r="V112" s="1"/>
    </row>
    <row r="113" spans="1:22" s="2" customFormat="1">
      <c r="A113" s="67" t="s">
        <v>154</v>
      </c>
      <c r="B113" s="35" t="s">
        <v>155</v>
      </c>
      <c r="C113" s="39" t="s">
        <v>156</v>
      </c>
      <c r="D113" s="69">
        <v>141712</v>
      </c>
      <c r="E113" s="39"/>
      <c r="F113" s="106" t="s">
        <v>133</v>
      </c>
      <c r="G113" s="51">
        <v>0.93495713255492408</v>
      </c>
      <c r="H113" s="39"/>
      <c r="I113" s="161">
        <f>+G113*D113</f>
        <v>132494.64516862339</v>
      </c>
      <c r="J113" s="39"/>
      <c r="K113" s="39"/>
      <c r="L113" s="60"/>
      <c r="M113" s="105">
        <v>0</v>
      </c>
      <c r="N113" s="39"/>
      <c r="O113" s="106" t="s">
        <v>133</v>
      </c>
      <c r="P113" s="51">
        <v>0.93124420194583424</v>
      </c>
      <c r="Q113" s="39"/>
      <c r="R113" s="9">
        <v>0</v>
      </c>
      <c r="S113" s="61"/>
      <c r="T113" s="47">
        <f t="shared" si="6"/>
        <v>132494.64516862339</v>
      </c>
      <c r="U113" s="152"/>
      <c r="V113" s="1"/>
    </row>
    <row r="114" spans="1:22">
      <c r="A114" s="67" t="s">
        <v>157</v>
      </c>
      <c r="B114" s="35" t="s">
        <v>158</v>
      </c>
      <c r="C114" s="39" t="s">
        <v>159</v>
      </c>
      <c r="D114" s="107">
        <v>302806.47460000002</v>
      </c>
      <c r="E114" s="39"/>
      <c r="F114" s="42" t="s">
        <v>73</v>
      </c>
      <c r="G114" s="51">
        <v>0.1248254792149225</v>
      </c>
      <c r="H114" s="39"/>
      <c r="I114" s="9">
        <f t="shared" ref="I114:I115" si="7">+G114*D114</f>
        <v>37797.963301326257</v>
      </c>
      <c r="J114" s="39"/>
      <c r="K114" s="39"/>
      <c r="L114" s="60"/>
      <c r="M114" s="105">
        <v>489249.84179999999</v>
      </c>
      <c r="N114" s="39"/>
      <c r="O114" s="42" t="s">
        <v>73</v>
      </c>
      <c r="P114" s="51">
        <v>0.12706661096257854</v>
      </c>
      <c r="Q114" s="39"/>
      <c r="R114" s="9">
        <v>62167.319311503699</v>
      </c>
      <c r="S114" s="61"/>
      <c r="T114" s="47">
        <f t="shared" si="6"/>
        <v>-24369.356010177442</v>
      </c>
      <c r="U114" s="152">
        <f>+T114/R114</f>
        <v>-0.39199624947746514</v>
      </c>
    </row>
    <row r="115" spans="1:22">
      <c r="A115" s="67" t="s">
        <v>160</v>
      </c>
      <c r="B115" s="35" t="s">
        <v>161</v>
      </c>
      <c r="C115" s="39" t="s">
        <v>162</v>
      </c>
      <c r="D115" s="69">
        <v>335104.17579999997</v>
      </c>
      <c r="E115" s="39"/>
      <c r="F115" s="42" t="s">
        <v>73</v>
      </c>
      <c r="G115" s="51">
        <v>0.1248254792149225</v>
      </c>
      <c r="H115" s="39"/>
      <c r="I115" s="9">
        <f t="shared" si="7"/>
        <v>41829.539331156629</v>
      </c>
      <c r="J115" s="39"/>
      <c r="K115" s="39"/>
      <c r="L115" s="60"/>
      <c r="M115" s="105">
        <v>218828.63430665349</v>
      </c>
      <c r="N115" s="39"/>
      <c r="O115" s="42" t="s">
        <v>73</v>
      </c>
      <c r="P115" s="51">
        <v>0.12706661096257854</v>
      </c>
      <c r="Q115" s="39"/>
      <c r="R115" s="9">
        <v>27805.812942915905</v>
      </c>
      <c r="S115" s="61"/>
      <c r="T115" s="47">
        <f t="shared" si="6"/>
        <v>14023.726388240724</v>
      </c>
      <c r="U115" s="152">
        <f>+T115/R115</f>
        <v>0.50434513161081851</v>
      </c>
    </row>
    <row r="116" spans="1:22">
      <c r="A116" s="67">
        <v>6</v>
      </c>
      <c r="B116" s="35" t="s">
        <v>74</v>
      </c>
      <c r="C116" s="108" t="s">
        <v>163</v>
      </c>
      <c r="D116" s="99">
        <v>0</v>
      </c>
      <c r="E116" s="39"/>
      <c r="F116" s="39" t="s">
        <v>76</v>
      </c>
      <c r="G116" s="51">
        <v>0.12201673244143903</v>
      </c>
      <c r="H116" s="39"/>
      <c r="I116" s="160">
        <f t="shared" si="5"/>
        <v>0</v>
      </c>
      <c r="J116" s="39"/>
      <c r="K116" s="39"/>
      <c r="L116" s="60"/>
      <c r="M116" s="105">
        <v>0</v>
      </c>
      <c r="N116" s="39"/>
      <c r="O116" s="39" t="s">
        <v>76</v>
      </c>
      <c r="P116" s="51">
        <v>0.12451406279937895</v>
      </c>
      <c r="Q116" s="39"/>
      <c r="R116" s="7">
        <v>0</v>
      </c>
      <c r="S116" s="61"/>
      <c r="T116" s="47">
        <f>+I116-R116</f>
        <v>0</v>
      </c>
      <c r="U116" s="152"/>
    </row>
    <row r="117" spans="1:22" ht="13.8" thickBot="1">
      <c r="A117" s="67">
        <v>7</v>
      </c>
      <c r="B117" s="35" t="s">
        <v>164</v>
      </c>
      <c r="C117" s="39" t="s">
        <v>165</v>
      </c>
      <c r="D117" s="99">
        <v>0</v>
      </c>
      <c r="E117" s="39"/>
      <c r="F117" s="39" t="s">
        <v>18</v>
      </c>
      <c r="G117" s="88">
        <v>1</v>
      </c>
      <c r="H117" s="39"/>
      <c r="I117" s="4">
        <f t="shared" si="5"/>
        <v>0</v>
      </c>
      <c r="J117" s="39"/>
      <c r="K117" s="39"/>
      <c r="L117" s="60"/>
      <c r="M117" s="105">
        <v>0</v>
      </c>
      <c r="N117" s="39"/>
      <c r="O117" s="39" t="s">
        <v>18</v>
      </c>
      <c r="P117" s="51">
        <v>1</v>
      </c>
      <c r="Q117" s="39"/>
      <c r="R117" s="4">
        <v>0</v>
      </c>
      <c r="S117" s="61"/>
      <c r="T117" s="48">
        <f>+I117-R117</f>
        <v>0</v>
      </c>
      <c r="U117" s="152"/>
    </row>
    <row r="118" spans="1:22">
      <c r="A118" s="67">
        <v>8</v>
      </c>
      <c r="B118" s="35" t="s">
        <v>166</v>
      </c>
      <c r="C118" s="39"/>
      <c r="D118" s="14">
        <f>+D107-D108-D109+D110-D112+D116+D117+D113+D114-D115</f>
        <v>29604123.298799999</v>
      </c>
      <c r="E118" s="39"/>
      <c r="F118" s="39"/>
      <c r="G118" s="39"/>
      <c r="H118" s="39"/>
      <c r="I118" s="14">
        <f>+I107-I108-I109+I110-I112+I116+I117+I113+I114-I115</f>
        <v>5782715.4624781832</v>
      </c>
      <c r="J118" s="39"/>
      <c r="K118" s="39"/>
      <c r="L118" s="60"/>
      <c r="M118" s="32">
        <v>36092644.563321918</v>
      </c>
      <c r="N118" s="39"/>
      <c r="O118" s="39"/>
      <c r="P118" s="51"/>
      <c r="Q118" s="39"/>
      <c r="R118" s="7">
        <v>6754758.6837902423</v>
      </c>
      <c r="S118" s="61"/>
      <c r="T118" s="53">
        <f>+I118-R118</f>
        <v>-972043.22131205909</v>
      </c>
      <c r="U118" s="152">
        <f>+T118/R118</f>
        <v>-0.14390495157802211</v>
      </c>
    </row>
    <row r="119" spans="1:22">
      <c r="A119" s="67"/>
      <c r="B119" s="35"/>
      <c r="C119" s="39"/>
      <c r="D119" s="35"/>
      <c r="E119" s="39"/>
      <c r="F119" s="39"/>
      <c r="G119" s="39"/>
      <c r="H119" s="39"/>
      <c r="I119" s="35"/>
      <c r="J119" s="39"/>
      <c r="K119" s="39"/>
      <c r="L119" s="60"/>
      <c r="M119" s="35"/>
      <c r="N119" s="39"/>
      <c r="O119" s="39"/>
      <c r="P119" s="51"/>
      <c r="Q119" s="39"/>
      <c r="R119" s="35"/>
      <c r="S119" s="61"/>
      <c r="T119" s="34"/>
      <c r="U119" s="151"/>
    </row>
    <row r="120" spans="1:22">
      <c r="A120" s="67"/>
      <c r="B120" s="35" t="s">
        <v>167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60"/>
      <c r="M120" s="39"/>
      <c r="N120" s="39"/>
      <c r="O120" s="39"/>
      <c r="P120" s="51"/>
      <c r="Q120" s="39"/>
      <c r="R120" s="39"/>
      <c r="S120" s="61"/>
      <c r="T120" s="34"/>
      <c r="U120" s="152"/>
    </row>
    <row r="121" spans="1:22">
      <c r="A121" s="67">
        <v>9</v>
      </c>
      <c r="B121" s="91" t="str">
        <f>+B107</f>
        <v xml:space="preserve">  Transmission </v>
      </c>
      <c r="C121" s="39" t="s">
        <v>168</v>
      </c>
      <c r="D121" s="109">
        <v>5660889</v>
      </c>
      <c r="E121" s="39"/>
      <c r="F121" s="39" t="s">
        <v>68</v>
      </c>
      <c r="G121" s="70">
        <v>0.93495713255492408</v>
      </c>
      <c r="H121" s="39"/>
      <c r="I121" s="160">
        <f>+G121*D121</f>
        <v>5292688.5471517118</v>
      </c>
      <c r="J121" s="39"/>
      <c r="K121" s="50"/>
      <c r="L121" s="60"/>
      <c r="M121" s="105">
        <v>5376777.0005999897</v>
      </c>
      <c r="N121" s="39"/>
      <c r="O121" s="39" t="s">
        <v>68</v>
      </c>
      <c r="P121" s="51">
        <v>0.93124420194583424</v>
      </c>
      <c r="Q121" s="39"/>
      <c r="R121" s="7">
        <v>5007092.4069644539</v>
      </c>
      <c r="S121" s="61"/>
      <c r="T121" s="47">
        <f>+I121-R121</f>
        <v>285596.1401872579</v>
      </c>
      <c r="U121" s="152">
        <f>+T121/R121</f>
        <v>5.7038320241507255E-2</v>
      </c>
    </row>
    <row r="122" spans="1:22">
      <c r="A122" s="67">
        <v>10</v>
      </c>
      <c r="B122" s="35" t="s">
        <v>169</v>
      </c>
      <c r="C122" s="39" t="s">
        <v>170</v>
      </c>
      <c r="D122" s="109">
        <v>3892369</v>
      </c>
      <c r="E122" s="39"/>
      <c r="F122" s="39" t="s">
        <v>73</v>
      </c>
      <c r="G122" s="51">
        <v>0.1248254792149225</v>
      </c>
      <c r="H122" s="39"/>
      <c r="I122" s="160">
        <f>+G122*D122</f>
        <v>485866.82570630865</v>
      </c>
      <c r="J122" s="39"/>
      <c r="K122" s="50"/>
      <c r="L122" s="60"/>
      <c r="M122" s="105">
        <v>4443300</v>
      </c>
      <c r="N122" s="39"/>
      <c r="O122" s="39" t="s">
        <v>73</v>
      </c>
      <c r="P122" s="51">
        <v>0.12706661096257854</v>
      </c>
      <c r="Q122" s="39"/>
      <c r="R122" s="7">
        <v>564595.0724900252</v>
      </c>
      <c r="S122" s="61"/>
      <c r="T122" s="47">
        <f>+I122-R122</f>
        <v>-78728.246783716546</v>
      </c>
      <c r="U122" s="152">
        <f>+T122/R122</f>
        <v>-0.13944196579063742</v>
      </c>
    </row>
    <row r="123" spans="1:22" s="8" customFormat="1">
      <c r="A123" s="67">
        <v>11</v>
      </c>
      <c r="B123" s="91" t="str">
        <f>+B116</f>
        <v xml:space="preserve">  Other</v>
      </c>
      <c r="C123" s="39" t="s">
        <v>171</v>
      </c>
      <c r="D123" s="99">
        <v>0</v>
      </c>
      <c r="E123" s="39"/>
      <c r="F123" s="39" t="s">
        <v>76</v>
      </c>
      <c r="G123" s="51">
        <v>0.12201673244143903</v>
      </c>
      <c r="H123" s="39"/>
      <c r="I123" s="160">
        <f>+G123*D123</f>
        <v>0</v>
      </c>
      <c r="J123" s="39"/>
      <c r="K123" s="50"/>
      <c r="L123" s="95"/>
      <c r="M123" s="105">
        <v>0</v>
      </c>
      <c r="N123" s="39"/>
      <c r="O123" s="51" t="s">
        <v>76</v>
      </c>
      <c r="P123" s="51">
        <v>0.12451406279937895</v>
      </c>
      <c r="Q123" s="39"/>
      <c r="R123" s="7">
        <v>0</v>
      </c>
      <c r="S123" s="96"/>
      <c r="T123" s="47">
        <f>+I123-R123</f>
        <v>0</v>
      </c>
      <c r="U123" s="152"/>
    </row>
    <row r="124" spans="1:22" ht="13.8" thickBot="1">
      <c r="A124" s="110" t="s">
        <v>172</v>
      </c>
      <c r="B124" s="97" t="s">
        <v>173</v>
      </c>
      <c r="C124" s="111" t="s">
        <v>174</v>
      </c>
      <c r="D124" s="99">
        <v>0</v>
      </c>
      <c r="E124" s="9"/>
      <c r="F124" s="99"/>
      <c r="G124" s="100"/>
      <c r="H124" s="9"/>
      <c r="I124" s="15">
        <f>+G124*D124</f>
        <v>0</v>
      </c>
      <c r="J124" s="89"/>
      <c r="K124" s="102"/>
      <c r="L124" s="60"/>
      <c r="M124" s="105">
        <v>0</v>
      </c>
      <c r="N124" s="9"/>
      <c r="O124" s="51"/>
      <c r="P124" s="51"/>
      <c r="Q124" s="9"/>
      <c r="R124" s="15">
        <v>0</v>
      </c>
      <c r="S124" s="61"/>
      <c r="T124" s="48">
        <f>+I124-R124</f>
        <v>0</v>
      </c>
      <c r="U124" s="152"/>
    </row>
    <row r="125" spans="1:22">
      <c r="A125" s="67">
        <v>12</v>
      </c>
      <c r="B125" s="35" t="s">
        <v>175</v>
      </c>
      <c r="C125" s="89" t="s">
        <v>176</v>
      </c>
      <c r="D125" s="14">
        <f>SUM(D121:D124)</f>
        <v>9553258</v>
      </c>
      <c r="E125" s="39"/>
      <c r="F125" s="39"/>
      <c r="G125" s="39"/>
      <c r="H125" s="39"/>
      <c r="I125" s="7">
        <f>SUM(I121:I124)</f>
        <v>5778555.3728580205</v>
      </c>
      <c r="J125" s="39"/>
      <c r="K125" s="39"/>
      <c r="L125" s="60"/>
      <c r="M125" s="32">
        <v>9820077.0005999897</v>
      </c>
      <c r="N125" s="39"/>
      <c r="O125" s="51"/>
      <c r="P125" s="51"/>
      <c r="Q125" s="39"/>
      <c r="R125" s="7">
        <v>5571687.4794544792</v>
      </c>
      <c r="S125" s="61"/>
      <c r="T125" s="47">
        <f>+I125-R125</f>
        <v>206867.8934035413</v>
      </c>
      <c r="U125" s="152">
        <f>+T125/R125</f>
        <v>3.7128409331349581E-2</v>
      </c>
    </row>
    <row r="126" spans="1:22">
      <c r="A126" s="67"/>
      <c r="B126" s="35"/>
      <c r="C126" s="39"/>
      <c r="D126" s="39"/>
      <c r="E126" s="39"/>
      <c r="F126" s="39"/>
      <c r="G126" s="39"/>
      <c r="H126" s="39"/>
      <c r="I126" s="39"/>
      <c r="J126" s="39"/>
      <c r="K126" s="39"/>
      <c r="L126" s="60"/>
      <c r="S126" s="61"/>
      <c r="T126" s="34"/>
      <c r="U126" s="151"/>
    </row>
    <row r="127" spans="1:22">
      <c r="A127" s="67" t="s">
        <v>11</v>
      </c>
      <c r="B127" s="35" t="s">
        <v>177</v>
      </c>
      <c r="C127" s="35"/>
      <c r="D127" s="39"/>
      <c r="E127" s="39"/>
      <c r="F127" s="39"/>
      <c r="G127" s="39"/>
      <c r="H127" s="39"/>
      <c r="I127" s="39"/>
      <c r="J127" s="39"/>
      <c r="K127" s="39"/>
      <c r="L127" s="60"/>
      <c r="S127" s="61"/>
      <c r="T127" s="34"/>
      <c r="U127" s="151"/>
    </row>
    <row r="128" spans="1:22">
      <c r="A128" s="67"/>
      <c r="B128" s="35" t="s">
        <v>178</v>
      </c>
      <c r="C128" s="35"/>
      <c r="D128" s="35"/>
      <c r="E128" s="39"/>
      <c r="F128" s="39"/>
      <c r="G128" s="35"/>
      <c r="H128" s="39"/>
      <c r="I128" s="35"/>
      <c r="J128" s="39"/>
      <c r="K128" s="50"/>
      <c r="L128" s="60"/>
      <c r="S128" s="61"/>
      <c r="T128" s="34"/>
      <c r="U128" s="151"/>
    </row>
    <row r="129" spans="1:21">
      <c r="A129" s="67">
        <v>13</v>
      </c>
      <c r="B129" s="35" t="s">
        <v>179</v>
      </c>
      <c r="C129" s="39" t="s">
        <v>180</v>
      </c>
      <c r="D129" s="99">
        <v>1679280</v>
      </c>
      <c r="E129" s="39"/>
      <c r="F129" s="39" t="s">
        <v>73</v>
      </c>
      <c r="G129" s="51">
        <v>0.1248254792149225</v>
      </c>
      <c r="H129" s="39"/>
      <c r="I129" s="160">
        <f>+G129*D129</f>
        <v>209616.93073603505</v>
      </c>
      <c r="J129" s="39"/>
      <c r="K129" s="50"/>
      <c r="L129" s="60"/>
      <c r="M129" s="105">
        <v>1891966.0561782345</v>
      </c>
      <c r="O129" s="1" t="s">
        <v>73</v>
      </c>
      <c r="P129" s="174">
        <v>0.12706661096257854</v>
      </c>
      <c r="R129" s="7">
        <v>240405.71481480374</v>
      </c>
      <c r="S129" s="61"/>
      <c r="T129" s="47">
        <f>+I129-R129</f>
        <v>-30788.784078768687</v>
      </c>
      <c r="U129" s="152">
        <f>+T129/R129</f>
        <v>-0.12807010059010782</v>
      </c>
    </row>
    <row r="130" spans="1:21">
      <c r="A130" s="67">
        <v>14</v>
      </c>
      <c r="B130" s="35" t="s">
        <v>181</v>
      </c>
      <c r="C130" s="39" t="s">
        <v>182</v>
      </c>
      <c r="D130" s="99">
        <v>0</v>
      </c>
      <c r="E130" s="39"/>
      <c r="F130" s="42" t="s">
        <v>73</v>
      </c>
      <c r="G130" s="51">
        <v>0.1248254792149225</v>
      </c>
      <c r="H130" s="39"/>
      <c r="I130" s="160">
        <f>+G130*D130</f>
        <v>0</v>
      </c>
      <c r="J130" s="39"/>
      <c r="K130" s="50"/>
      <c r="L130" s="60"/>
      <c r="M130" s="105">
        <v>0</v>
      </c>
      <c r="O130" s="1" t="s">
        <v>73</v>
      </c>
      <c r="P130" s="174">
        <v>0.12706661096257854</v>
      </c>
      <c r="R130" s="7">
        <v>0</v>
      </c>
      <c r="S130" s="61"/>
      <c r="T130" s="47">
        <f>+I130-R130</f>
        <v>0</v>
      </c>
      <c r="U130" s="152"/>
    </row>
    <row r="131" spans="1:21">
      <c r="A131" s="67">
        <v>15</v>
      </c>
      <c r="B131" s="35" t="s">
        <v>183</v>
      </c>
      <c r="C131" s="39" t="s">
        <v>11</v>
      </c>
      <c r="D131" s="35"/>
      <c r="E131" s="39"/>
      <c r="F131" s="39"/>
      <c r="G131" s="35"/>
      <c r="H131" s="39"/>
      <c r="I131" s="35"/>
      <c r="J131" s="39"/>
      <c r="K131" s="50"/>
      <c r="L131" s="60"/>
      <c r="M131" s="35" t="s">
        <v>11</v>
      </c>
      <c r="P131" s="174"/>
      <c r="R131" s="35"/>
      <c r="S131" s="61"/>
      <c r="T131" s="37"/>
      <c r="U131" s="152"/>
    </row>
    <row r="132" spans="1:21">
      <c r="A132" s="67">
        <v>16</v>
      </c>
      <c r="B132" s="35" t="s">
        <v>184</v>
      </c>
      <c r="C132" s="39" t="s">
        <v>185</v>
      </c>
      <c r="D132" s="99">
        <v>11497009</v>
      </c>
      <c r="E132" s="39"/>
      <c r="F132" s="39" t="s">
        <v>98</v>
      </c>
      <c r="G132" s="51">
        <v>0.2414768897603051</v>
      </c>
      <c r="H132" s="39"/>
      <c r="I132" s="160">
        <f>+G132*D132</f>
        <v>2776261.9748662356</v>
      </c>
      <c r="J132" s="39"/>
      <c r="K132" s="50"/>
      <c r="L132" s="60"/>
      <c r="M132" s="105">
        <v>14278589.13515674</v>
      </c>
      <c r="O132" s="1" t="s">
        <v>98</v>
      </c>
      <c r="P132" s="174">
        <v>0.25172374063863684</v>
      </c>
      <c r="R132" s="7">
        <v>3594259.8681438528</v>
      </c>
      <c r="S132" s="61"/>
      <c r="T132" s="47">
        <f>+I132-R132</f>
        <v>-817997.89327761717</v>
      </c>
      <c r="U132" s="152">
        <f>+T132/R132</f>
        <v>-0.227584516224768</v>
      </c>
    </row>
    <row r="133" spans="1:21">
      <c r="A133" s="67">
        <v>17</v>
      </c>
      <c r="B133" s="35" t="s">
        <v>186</v>
      </c>
      <c r="C133" s="39" t="s">
        <v>187</v>
      </c>
      <c r="D133" s="99">
        <v>-50378</v>
      </c>
      <c r="E133" s="39"/>
      <c r="F133" s="42" t="s">
        <v>65</v>
      </c>
      <c r="G133" s="112">
        <v>0</v>
      </c>
      <c r="H133" s="39"/>
      <c r="I133" s="160">
        <v>0</v>
      </c>
      <c r="J133" s="39"/>
      <c r="K133" s="50"/>
      <c r="L133" s="60"/>
      <c r="M133" s="105">
        <v>-63494.375681380589</v>
      </c>
      <c r="O133" s="1" t="s">
        <v>65</v>
      </c>
      <c r="P133" s="174">
        <v>0</v>
      </c>
      <c r="R133" s="7">
        <v>0</v>
      </c>
      <c r="S133" s="61"/>
      <c r="T133" s="47">
        <f t="shared" ref="T133:T135" si="8">+I133-R133</f>
        <v>0</v>
      </c>
      <c r="U133" s="152"/>
    </row>
    <row r="134" spans="1:21">
      <c r="A134" s="67">
        <v>18</v>
      </c>
      <c r="B134" s="35" t="s">
        <v>188</v>
      </c>
      <c r="C134" s="39" t="s">
        <v>182</v>
      </c>
      <c r="D134" s="99">
        <v>0</v>
      </c>
      <c r="E134" s="39"/>
      <c r="F134" s="99"/>
      <c r="G134" s="100"/>
      <c r="H134" s="39"/>
      <c r="I134" s="160">
        <f>+G134*D134</f>
        <v>0</v>
      </c>
      <c r="J134" s="39"/>
      <c r="K134" s="50"/>
      <c r="L134" s="60"/>
      <c r="M134" s="105">
        <v>0</v>
      </c>
      <c r="R134" s="7">
        <v>0</v>
      </c>
      <c r="S134" s="61"/>
      <c r="T134" s="47">
        <f t="shared" si="8"/>
        <v>0</v>
      </c>
      <c r="U134" s="152"/>
    </row>
    <row r="135" spans="1:21" ht="13.8" thickBot="1">
      <c r="A135" s="67">
        <v>19</v>
      </c>
      <c r="B135" s="35" t="s">
        <v>189</v>
      </c>
      <c r="C135" s="39"/>
      <c r="D135" s="72"/>
      <c r="E135" s="39"/>
      <c r="F135" s="39"/>
      <c r="G135" s="51"/>
      <c r="H135" s="39"/>
      <c r="I135" s="160"/>
      <c r="J135" s="39"/>
      <c r="K135" s="50"/>
      <c r="L135" s="60"/>
      <c r="M135" s="72"/>
      <c r="R135" s="7"/>
      <c r="S135" s="61"/>
      <c r="T135" s="47">
        <f t="shared" si="8"/>
        <v>0</v>
      </c>
      <c r="U135" s="152"/>
    </row>
    <row r="136" spans="1:21">
      <c r="A136" s="67">
        <v>20</v>
      </c>
      <c r="B136" s="35" t="s">
        <v>190</v>
      </c>
      <c r="C136" s="89" t="s">
        <v>191</v>
      </c>
      <c r="D136" s="14">
        <f>SUM(D129:D134)</f>
        <v>13125911</v>
      </c>
      <c r="E136" s="39"/>
      <c r="F136" s="39"/>
      <c r="G136" s="44"/>
      <c r="H136" s="39"/>
      <c r="I136" s="14">
        <f>SUM(I129:I135)</f>
        <v>2985878.9056022707</v>
      </c>
      <c r="J136" s="39"/>
      <c r="K136" s="39"/>
      <c r="L136" s="60"/>
      <c r="M136" s="14">
        <v>16107060.815653594</v>
      </c>
      <c r="R136" s="14">
        <v>3834665.5829586564</v>
      </c>
      <c r="S136" s="61"/>
      <c r="T136" s="53">
        <f>+I136-R136</f>
        <v>-848786.67735638563</v>
      </c>
      <c r="U136" s="152">
        <f>+T136/R136</f>
        <v>-0.22134568425690457</v>
      </c>
    </row>
    <row r="137" spans="1:21">
      <c r="A137" s="67"/>
      <c r="B137" s="35"/>
      <c r="C137" s="39"/>
      <c r="D137" s="39"/>
      <c r="E137" s="39"/>
      <c r="F137" s="39"/>
      <c r="G137" s="44"/>
      <c r="H137" s="39"/>
      <c r="I137" s="39"/>
      <c r="J137" s="39"/>
      <c r="K137" s="39"/>
      <c r="L137" s="60"/>
      <c r="S137" s="61"/>
      <c r="T137" s="34"/>
      <c r="U137" s="151"/>
    </row>
    <row r="138" spans="1:21">
      <c r="A138" s="67" t="s">
        <v>11</v>
      </c>
      <c r="B138" s="35" t="s">
        <v>192</v>
      </c>
      <c r="C138" s="39" t="s">
        <v>193</v>
      </c>
      <c r="D138" s="39"/>
      <c r="E138" s="39"/>
      <c r="F138" s="35"/>
      <c r="G138" s="54"/>
      <c r="H138" s="39"/>
      <c r="I138" s="35"/>
      <c r="J138" s="39"/>
      <c r="K138" s="35"/>
      <c r="L138" s="60"/>
      <c r="S138" s="61"/>
      <c r="T138" s="34"/>
      <c r="U138" s="151"/>
    </row>
    <row r="139" spans="1:21">
      <c r="A139" s="67">
        <v>21</v>
      </c>
      <c r="B139" s="113" t="s">
        <v>194</v>
      </c>
      <c r="C139" s="39"/>
      <c r="D139" s="114">
        <v>0.24475999999999998</v>
      </c>
      <c r="E139" s="39"/>
      <c r="F139" s="35"/>
      <c r="G139" s="54"/>
      <c r="H139" s="39"/>
      <c r="I139" s="35"/>
      <c r="J139" s="39"/>
      <c r="K139" s="35"/>
      <c r="L139" s="60"/>
      <c r="M139" s="163">
        <v>0.24475999999999998</v>
      </c>
      <c r="S139" s="61"/>
      <c r="T139" s="34"/>
      <c r="U139" s="151"/>
    </row>
    <row r="140" spans="1:21">
      <c r="A140" s="67">
        <v>22</v>
      </c>
      <c r="B140" s="35" t="s">
        <v>195</v>
      </c>
      <c r="C140" s="39"/>
      <c r="D140" s="114">
        <v>0.21798887795536198</v>
      </c>
      <c r="E140" s="39"/>
      <c r="F140" s="35"/>
      <c r="G140" s="54"/>
      <c r="H140" s="39"/>
      <c r="I140" s="35"/>
      <c r="J140" s="39"/>
      <c r="K140" s="35"/>
      <c r="L140" s="60"/>
      <c r="M140" s="163">
        <v>0.23160596182462684</v>
      </c>
      <c r="S140" s="61"/>
      <c r="T140" s="34"/>
      <c r="U140" s="151"/>
    </row>
    <row r="141" spans="1:21">
      <c r="A141" s="67"/>
      <c r="B141" s="35" t="s">
        <v>196</v>
      </c>
      <c r="C141" s="39"/>
      <c r="D141" s="39"/>
      <c r="E141" s="39"/>
      <c r="F141" s="35"/>
      <c r="G141" s="54"/>
      <c r="H141" s="39"/>
      <c r="I141" s="35"/>
      <c r="J141" s="39"/>
      <c r="K141" s="35"/>
      <c r="L141" s="60"/>
      <c r="S141" s="61"/>
      <c r="T141" s="34"/>
      <c r="U141" s="151"/>
    </row>
    <row r="142" spans="1:21">
      <c r="A142" s="67"/>
      <c r="B142" s="35" t="s">
        <v>197</v>
      </c>
      <c r="C142" s="39"/>
      <c r="D142" s="39"/>
      <c r="E142" s="39"/>
      <c r="F142" s="35"/>
      <c r="G142" s="54"/>
      <c r="H142" s="39"/>
      <c r="I142" s="35"/>
      <c r="J142" s="39"/>
      <c r="K142" s="35"/>
      <c r="L142" s="60"/>
      <c r="S142" s="61"/>
      <c r="T142" s="34"/>
      <c r="U142" s="151"/>
    </row>
    <row r="143" spans="1:21">
      <c r="A143" s="67">
        <v>23</v>
      </c>
      <c r="B143" s="113" t="s">
        <v>198</v>
      </c>
      <c r="C143" s="39"/>
      <c r="D143" s="115">
        <v>1.3240824108892537</v>
      </c>
      <c r="E143" s="39"/>
      <c r="F143" s="35"/>
      <c r="G143" s="54"/>
      <c r="H143" s="39"/>
      <c r="I143" s="35"/>
      <c r="J143" s="39"/>
      <c r="K143" s="35"/>
      <c r="L143" s="60"/>
      <c r="M143" s="115">
        <v>1.3240824108892537</v>
      </c>
      <c r="S143" s="61"/>
      <c r="T143" s="34"/>
      <c r="U143" s="151"/>
    </row>
    <row r="144" spans="1:21" ht="15">
      <c r="A144" s="67">
        <v>24</v>
      </c>
      <c r="B144" s="35" t="s">
        <v>199</v>
      </c>
      <c r="C144" s="39" t="s">
        <v>200</v>
      </c>
      <c r="D144" s="99">
        <v>748451</v>
      </c>
      <c r="E144" s="39"/>
      <c r="F144" s="35"/>
      <c r="G144" s="54"/>
      <c r="H144" s="39"/>
      <c r="I144" s="35"/>
      <c r="J144" s="39"/>
      <c r="K144" s="35"/>
      <c r="L144" s="116"/>
      <c r="M144" s="105">
        <v>486651</v>
      </c>
      <c r="S144" s="61"/>
      <c r="T144" s="34"/>
      <c r="U144" s="151"/>
    </row>
    <row r="145" spans="1:21" ht="52.8">
      <c r="A145" s="67" t="s">
        <v>201</v>
      </c>
      <c r="B145" s="117" t="s">
        <v>202</v>
      </c>
      <c r="C145" s="91" t="s">
        <v>203</v>
      </c>
      <c r="D145" s="69">
        <v>247963.97555122862</v>
      </c>
      <c r="E145" s="39"/>
      <c r="F145" s="35"/>
      <c r="G145" s="54"/>
      <c r="H145" s="39"/>
      <c r="I145" s="35"/>
      <c r="J145" s="39"/>
      <c r="K145" s="35"/>
      <c r="L145" s="116"/>
      <c r="M145" s="105">
        <v>243335.57745963894</v>
      </c>
      <c r="S145" s="61"/>
      <c r="T145" s="34"/>
      <c r="U145" s="151"/>
    </row>
    <row r="146" spans="1:21" ht="15">
      <c r="A146" s="67" t="s">
        <v>204</v>
      </c>
      <c r="B146" s="93" t="s">
        <v>205</v>
      </c>
      <c r="C146" s="89" t="s">
        <v>206</v>
      </c>
      <c r="D146" s="99">
        <v>31074.52</v>
      </c>
      <c r="E146" s="39"/>
      <c r="F146" s="35"/>
      <c r="G146" s="54"/>
      <c r="H146" s="39"/>
      <c r="I146" s="35"/>
      <c r="J146" s="39"/>
      <c r="K146" s="35"/>
      <c r="L146" s="116"/>
      <c r="M146" s="105">
        <v>6824</v>
      </c>
      <c r="S146" s="61"/>
      <c r="T146" s="34"/>
      <c r="U146" s="151"/>
    </row>
    <row r="147" spans="1:21" ht="15">
      <c r="A147" s="67" t="s">
        <v>207</v>
      </c>
      <c r="B147" s="93" t="s">
        <v>208</v>
      </c>
      <c r="C147" s="89" t="s">
        <v>209</v>
      </c>
      <c r="D147" s="7">
        <v>7605.7995151999994</v>
      </c>
      <c r="E147" s="39"/>
      <c r="F147" s="35"/>
      <c r="G147" s="54"/>
      <c r="H147" s="39"/>
      <c r="I147" s="35"/>
      <c r="J147" s="39"/>
      <c r="K147" s="35"/>
      <c r="L147" s="116"/>
      <c r="M147" s="7">
        <v>1670.2422399999998</v>
      </c>
      <c r="S147" s="61"/>
      <c r="T147" s="34"/>
      <c r="U147" s="151"/>
    </row>
    <row r="148" spans="1:21" ht="15">
      <c r="A148" s="67">
        <v>25</v>
      </c>
      <c r="B148" s="113" t="s">
        <v>210</v>
      </c>
      <c r="C148" s="118" t="s">
        <v>211</v>
      </c>
      <c r="D148" s="7">
        <v>10765090.755083004</v>
      </c>
      <c r="E148" s="39"/>
      <c r="F148" s="39"/>
      <c r="G148" s="44"/>
      <c r="H148" s="39"/>
      <c r="I148" s="160">
        <f>D140*I155</f>
        <v>3237743.1450230214</v>
      </c>
      <c r="J148" s="39"/>
      <c r="K148" s="119" t="s">
        <v>11</v>
      </c>
      <c r="L148" s="116"/>
      <c r="M148" s="7">
        <v>4137033.1285123876</v>
      </c>
      <c r="R148" s="7">
        <v>3153431.5434032436</v>
      </c>
      <c r="S148" s="61"/>
      <c r="T148" s="47">
        <f>+I148-R148</f>
        <v>84311.601619777735</v>
      </c>
      <c r="U148" s="152">
        <f>+T148/R148</f>
        <v>2.6736461679706242E-2</v>
      </c>
    </row>
    <row r="149" spans="1:21" ht="15">
      <c r="A149" s="67">
        <v>26</v>
      </c>
      <c r="B149" s="35" t="s">
        <v>212</v>
      </c>
      <c r="C149" s="118" t="s">
        <v>213</v>
      </c>
      <c r="D149" s="7">
        <v>991010.80451247282</v>
      </c>
      <c r="E149" s="39"/>
      <c r="F149" s="35" t="s">
        <v>98</v>
      </c>
      <c r="G149" s="103">
        <v>0.2414768897603051</v>
      </c>
      <c r="H149" s="39"/>
      <c r="I149" s="160">
        <f>G149*D149</f>
        <v>239306.20679252967</v>
      </c>
      <c r="J149" s="39"/>
      <c r="K149" s="119"/>
      <c r="L149" s="116"/>
      <c r="M149" s="7">
        <v>644366.02934166626</v>
      </c>
      <c r="O149" s="1" t="s">
        <v>98</v>
      </c>
      <c r="P149" s="158">
        <v>0.25172374063863684</v>
      </c>
      <c r="R149" s="7">
        <v>162202.22724634985</v>
      </c>
      <c r="S149" s="61"/>
      <c r="T149" s="47">
        <f>+I149-R149</f>
        <v>77103.97954617982</v>
      </c>
      <c r="U149" s="152">
        <f>+T149/R149</f>
        <v>0.47535709499892176</v>
      </c>
    </row>
    <row r="150" spans="1:21" ht="15">
      <c r="A150" s="67" t="s">
        <v>214</v>
      </c>
      <c r="B150" s="101" t="s">
        <v>215</v>
      </c>
      <c r="C150" s="120" t="s">
        <v>216</v>
      </c>
      <c r="D150" s="7">
        <v>328324.73856155475</v>
      </c>
      <c r="E150" s="39"/>
      <c r="F150" s="35"/>
      <c r="G150" s="10"/>
      <c r="H150" s="39"/>
      <c r="I150" s="160">
        <f>D150</f>
        <v>328324.73856155475</v>
      </c>
      <c r="J150" s="39"/>
      <c r="K150" s="119"/>
      <c r="L150" s="116"/>
      <c r="M150" s="7">
        <v>322196.35805788747</v>
      </c>
      <c r="R150" s="7">
        <v>322196.35805788747</v>
      </c>
      <c r="S150" s="61"/>
      <c r="T150" s="47">
        <f>+I150-R150</f>
        <v>6128.3805036672857</v>
      </c>
      <c r="U150" s="152">
        <f>+T150/R150</f>
        <v>1.9020638658386789E-2</v>
      </c>
    </row>
    <row r="151" spans="1:21" ht="15.6" thickBot="1">
      <c r="A151" s="67" t="s">
        <v>217</v>
      </c>
      <c r="B151" s="101" t="s">
        <v>218</v>
      </c>
      <c r="C151" s="120" t="s">
        <v>219</v>
      </c>
      <c r="D151" s="7">
        <v>10070.705358826332</v>
      </c>
      <c r="E151" s="39"/>
      <c r="F151" s="35"/>
      <c r="G151" s="10"/>
      <c r="H151" s="39"/>
      <c r="I151" s="160">
        <f>D151</f>
        <v>10070.705358826332</v>
      </c>
      <c r="J151" s="39"/>
      <c r="K151" s="119"/>
      <c r="L151" s="116"/>
      <c r="M151" s="7">
        <v>2211.5383719082674</v>
      </c>
      <c r="R151" s="7">
        <v>2211.5383719082674</v>
      </c>
      <c r="S151" s="61"/>
      <c r="T151" s="47">
        <f>+I151-R151</f>
        <v>7859.1669869180641</v>
      </c>
      <c r="U151" s="152">
        <f>+T151/R151</f>
        <v>3.5537104337631882</v>
      </c>
    </row>
    <row r="152" spans="1:21" ht="15">
      <c r="A152" s="67">
        <v>27</v>
      </c>
      <c r="B152" s="113" t="s">
        <v>220</v>
      </c>
      <c r="C152" s="101" t="s">
        <v>221</v>
      </c>
      <c r="D152" s="14">
        <f>D148+D151-D149-D150</f>
        <v>9455825.9173678029</v>
      </c>
      <c r="E152" s="39"/>
      <c r="F152" s="39"/>
      <c r="G152" s="44" t="s">
        <v>11</v>
      </c>
      <c r="H152" s="39"/>
      <c r="I152" s="14">
        <f>I148+I151-I149-I150</f>
        <v>2680182.9050277635</v>
      </c>
      <c r="J152" s="39"/>
      <c r="K152" s="39"/>
      <c r="L152" s="116"/>
      <c r="M152" s="14">
        <v>3172682.2794847423</v>
      </c>
      <c r="O152" s="1" t="s">
        <v>11</v>
      </c>
      <c r="P152" s="1" t="s">
        <v>11</v>
      </c>
      <c r="R152" s="14">
        <v>2671244.4964709152</v>
      </c>
      <c r="S152" s="61"/>
      <c r="T152" s="53">
        <f>+I152-R152</f>
        <v>8938.4085568482988</v>
      </c>
      <c r="U152" s="152">
        <f>+T152/R152</f>
        <v>3.3461589040827888E-3</v>
      </c>
    </row>
    <row r="153" spans="1:21" ht="15">
      <c r="A153" s="67" t="s">
        <v>11</v>
      </c>
      <c r="B153" s="35"/>
      <c r="C153" s="121"/>
      <c r="D153" s="39"/>
      <c r="E153" s="39"/>
      <c r="F153" s="39"/>
      <c r="G153" s="44"/>
      <c r="H153" s="39"/>
      <c r="I153" s="39"/>
      <c r="J153" s="39"/>
      <c r="K153" s="39"/>
      <c r="L153" s="116"/>
      <c r="S153" s="61"/>
      <c r="T153" s="34"/>
      <c r="U153" s="151"/>
    </row>
    <row r="154" spans="1:21">
      <c r="A154" s="37"/>
      <c r="B154" s="35" t="s">
        <v>222</v>
      </c>
      <c r="C154" s="50"/>
      <c r="D154" s="35"/>
      <c r="E154" s="35"/>
      <c r="F154" s="35"/>
      <c r="G154" s="35"/>
      <c r="H154" s="35"/>
      <c r="I154" s="35"/>
      <c r="J154" s="39"/>
      <c r="K154" s="35"/>
      <c r="L154" s="60"/>
      <c r="S154" s="61"/>
      <c r="T154" s="34"/>
      <c r="U154" s="151"/>
    </row>
    <row r="155" spans="1:21">
      <c r="A155" s="67">
        <v>28</v>
      </c>
      <c r="B155" s="113" t="s">
        <v>223</v>
      </c>
      <c r="C155" s="122" t="s">
        <v>224</v>
      </c>
      <c r="D155" s="162">
        <v>49383669.736065127</v>
      </c>
      <c r="E155" s="39"/>
      <c r="F155" s="39"/>
      <c r="G155" s="54"/>
      <c r="H155" s="39"/>
      <c r="I155" s="160">
        <v>14852790.543222213</v>
      </c>
      <c r="J155" s="39"/>
      <c r="K155" s="50"/>
      <c r="L155" s="60"/>
      <c r="M155" s="69">
        <v>17862377.530872755</v>
      </c>
      <c r="N155" s="39"/>
      <c r="O155" s="39"/>
      <c r="P155" s="54"/>
      <c r="Q155" s="39"/>
      <c r="R155" s="7">
        <v>13615502.461853884</v>
      </c>
      <c r="S155" s="61"/>
      <c r="T155" s="47">
        <f>+I155-R155</f>
        <v>1237288.081368329</v>
      </c>
      <c r="U155" s="152">
        <f>+T155/R155</f>
        <v>9.0873479317770262E-2</v>
      </c>
    </row>
    <row r="156" spans="1:21">
      <c r="A156" s="67"/>
      <c r="B156" s="35"/>
      <c r="C156" s="35"/>
      <c r="D156" s="39"/>
      <c r="E156" s="39"/>
      <c r="F156" s="39"/>
      <c r="G156" s="54"/>
      <c r="H156" s="39"/>
      <c r="I156" s="39"/>
      <c r="J156" s="39"/>
      <c r="K156" s="50"/>
      <c r="L156" s="60"/>
      <c r="M156" s="39"/>
      <c r="N156" s="39"/>
      <c r="O156" s="39"/>
      <c r="P156" s="54"/>
      <c r="Q156" s="39"/>
      <c r="R156" s="39"/>
      <c r="S156" s="61"/>
      <c r="T156" s="45"/>
      <c r="U156" s="151"/>
    </row>
    <row r="157" spans="1:21" ht="13.8" thickBot="1">
      <c r="A157" s="67">
        <v>29</v>
      </c>
      <c r="B157" s="35" t="s">
        <v>225</v>
      </c>
      <c r="C157" s="39" t="s">
        <v>226</v>
      </c>
      <c r="D157" s="16">
        <f>+D118+D125+D136+D152+D155</f>
        <v>111122787.95223293</v>
      </c>
      <c r="E157" s="39"/>
      <c r="F157" s="39"/>
      <c r="G157" s="39"/>
      <c r="H157" s="39"/>
      <c r="I157" s="16">
        <f>+I118+I125+I136+I152+I155</f>
        <v>32080123.189188451</v>
      </c>
      <c r="J157" s="35"/>
      <c r="K157" s="35"/>
      <c r="L157" s="60"/>
      <c r="M157" s="16">
        <v>83054842.189933002</v>
      </c>
      <c r="N157" s="39"/>
      <c r="O157" s="39"/>
      <c r="P157" s="39"/>
      <c r="Q157" s="39"/>
      <c r="R157" s="16">
        <v>32447858.704528175</v>
      </c>
      <c r="S157" s="61"/>
      <c r="T157" s="55">
        <f>+I157-R157</f>
        <v>-367735.51533972472</v>
      </c>
      <c r="U157" s="152">
        <f>+T157/R157</f>
        <v>-1.1333121198792892E-2</v>
      </c>
    </row>
    <row r="158" spans="1:21" ht="13.8" thickTop="1">
      <c r="A158" s="67"/>
      <c r="B158" s="35"/>
      <c r="C158" s="39"/>
      <c r="D158" s="42"/>
      <c r="E158" s="39"/>
      <c r="F158" s="39"/>
      <c r="G158" s="39"/>
      <c r="H158" s="39"/>
      <c r="I158" s="42"/>
      <c r="J158" s="35"/>
      <c r="K158" s="35"/>
      <c r="L158" s="60"/>
      <c r="S158" s="61"/>
      <c r="T158" s="34"/>
      <c r="U158" s="151"/>
    </row>
    <row r="159" spans="1:21">
      <c r="A159" s="37"/>
      <c r="B159" s="35"/>
      <c r="C159" s="35"/>
      <c r="D159" s="76"/>
      <c r="E159" s="35"/>
      <c r="F159" s="176"/>
      <c r="G159" s="176"/>
      <c r="H159" s="176"/>
      <c r="I159" s="176"/>
      <c r="J159" s="176"/>
      <c r="K159" s="176"/>
      <c r="L159" s="60"/>
      <c r="S159" s="61"/>
      <c r="T159" s="34"/>
      <c r="U159" s="151"/>
    </row>
    <row r="160" spans="1:21">
      <c r="A160" s="37"/>
      <c r="B160" s="35"/>
      <c r="C160" s="35"/>
      <c r="D160" s="76"/>
      <c r="E160" s="35"/>
      <c r="F160" s="35"/>
      <c r="G160" s="35"/>
      <c r="H160" s="35"/>
      <c r="I160" s="177" t="str">
        <f>I2</f>
        <v>Actual Attachment H</v>
      </c>
      <c r="J160" s="177"/>
      <c r="K160" s="177"/>
      <c r="L160" s="60"/>
      <c r="S160" s="61"/>
      <c r="T160" s="34"/>
      <c r="U160" s="151"/>
    </row>
    <row r="161" spans="1:21">
      <c r="A161" s="37"/>
      <c r="B161" s="35"/>
      <c r="C161" s="35"/>
      <c r="D161" s="76"/>
      <c r="E161" s="35"/>
      <c r="F161" s="35"/>
      <c r="G161" s="35"/>
      <c r="H161" s="35"/>
      <c r="I161" s="35"/>
      <c r="J161" s="176" t="s">
        <v>227</v>
      </c>
      <c r="K161" s="176"/>
      <c r="L161" s="60"/>
      <c r="S161" s="61"/>
      <c r="T161" s="34"/>
      <c r="U161" s="151"/>
    </row>
    <row r="162" spans="1:21">
      <c r="A162" s="37"/>
      <c r="B162" s="35"/>
      <c r="C162" s="35"/>
      <c r="D162" s="76"/>
      <c r="E162" s="35"/>
      <c r="F162" s="35"/>
      <c r="G162" s="35"/>
      <c r="H162" s="35"/>
      <c r="I162" s="35"/>
      <c r="J162" s="77"/>
      <c r="K162" s="77"/>
      <c r="L162" s="60"/>
      <c r="S162" s="61"/>
      <c r="T162" s="34"/>
      <c r="U162" s="151"/>
    </row>
    <row r="163" spans="1:21">
      <c r="A163" s="37"/>
      <c r="B163" s="76" t="s">
        <v>2</v>
      </c>
      <c r="C163" s="36" t="s">
        <v>48</v>
      </c>
      <c r="D163" s="35"/>
      <c r="E163" s="35"/>
      <c r="F163" s="35"/>
      <c r="G163" s="189">
        <f>K5</f>
        <v>0</v>
      </c>
      <c r="H163" s="189"/>
      <c r="I163" s="189"/>
      <c r="J163" s="189"/>
      <c r="K163" s="189"/>
      <c r="L163" s="60"/>
      <c r="S163" s="61"/>
      <c r="T163" s="34"/>
      <c r="U163" s="151"/>
    </row>
    <row r="164" spans="1:21">
      <c r="A164" s="37"/>
      <c r="B164" s="35"/>
      <c r="C164" s="79" t="s">
        <v>49</v>
      </c>
      <c r="D164" s="35"/>
      <c r="E164" s="39"/>
      <c r="F164" s="39"/>
      <c r="G164" s="39"/>
      <c r="H164" s="35"/>
      <c r="I164" s="35"/>
      <c r="J164" s="35"/>
      <c r="K164" s="35"/>
      <c r="L164" s="60"/>
      <c r="S164" s="61"/>
      <c r="T164" s="34"/>
      <c r="U164" s="151"/>
    </row>
    <row r="165" spans="1:21">
      <c r="A165" s="67"/>
      <c r="B165" s="35"/>
      <c r="C165" s="35"/>
      <c r="D165" s="35"/>
      <c r="E165" s="35"/>
      <c r="F165" s="35"/>
      <c r="G165" s="35"/>
      <c r="H165" s="35"/>
      <c r="I165" s="35"/>
      <c r="J165" s="39"/>
      <c r="K165" s="39"/>
      <c r="L165" s="60"/>
      <c r="S165" s="61"/>
      <c r="T165" s="34"/>
      <c r="U165" s="151"/>
    </row>
    <row r="166" spans="1:21">
      <c r="A166" s="67"/>
      <c r="B166" s="35"/>
      <c r="C166" s="80" t="str">
        <f>C8</f>
        <v>Black Hills Colorado Electric, LLC</v>
      </c>
      <c r="D166" s="35"/>
      <c r="E166" s="35"/>
      <c r="F166" s="35"/>
      <c r="G166" s="35"/>
      <c r="H166" s="35"/>
      <c r="I166" s="35"/>
      <c r="J166" s="39"/>
      <c r="K166" s="39"/>
      <c r="L166" s="60"/>
      <c r="S166" s="61"/>
      <c r="T166" s="34"/>
      <c r="U166" s="151"/>
    </row>
    <row r="167" spans="1:21">
      <c r="A167" s="67"/>
      <c r="B167" s="35"/>
      <c r="C167" s="91"/>
      <c r="D167" s="35"/>
      <c r="E167" s="35"/>
      <c r="F167" s="35"/>
      <c r="G167" s="35"/>
      <c r="H167" s="35"/>
      <c r="I167" s="35"/>
      <c r="J167" s="39"/>
      <c r="K167" s="39"/>
      <c r="L167" s="60"/>
      <c r="S167" s="61"/>
      <c r="T167" s="34"/>
      <c r="U167" s="151"/>
    </row>
    <row r="168" spans="1:21">
      <c r="A168" s="67"/>
      <c r="B168" s="35"/>
      <c r="C168" s="84" t="s">
        <v>228</v>
      </c>
      <c r="D168" s="35"/>
      <c r="E168" s="35"/>
      <c r="F168" s="35"/>
      <c r="G168" s="35"/>
      <c r="H168" s="35"/>
      <c r="I168" s="35"/>
      <c r="J168" s="39"/>
      <c r="K168" s="39"/>
      <c r="L168" s="60"/>
      <c r="S168" s="61"/>
      <c r="T168" s="34"/>
      <c r="U168" s="151"/>
    </row>
    <row r="169" spans="1:21">
      <c r="A169" s="67" t="s">
        <v>6</v>
      </c>
      <c r="B169" s="36" t="s">
        <v>50</v>
      </c>
      <c r="C169" s="36" t="s">
        <v>51</v>
      </c>
      <c r="D169" s="36" t="s">
        <v>52</v>
      </c>
      <c r="E169" s="39" t="s">
        <v>11</v>
      </c>
      <c r="F169" s="39"/>
      <c r="G169" s="82" t="s">
        <v>53</v>
      </c>
      <c r="H169" s="39"/>
      <c r="I169" s="82" t="s">
        <v>54</v>
      </c>
      <c r="J169" s="39"/>
      <c r="K169" s="39"/>
      <c r="L169" s="60"/>
      <c r="S169" s="61"/>
      <c r="T169" s="34"/>
      <c r="U169" s="151"/>
    </row>
    <row r="170" spans="1:21" ht="13.8" thickBot="1">
      <c r="A170" s="40" t="s">
        <v>8</v>
      </c>
      <c r="B170" s="35" t="s">
        <v>229</v>
      </c>
      <c r="C170" s="35"/>
      <c r="D170" s="35"/>
      <c r="E170" s="35"/>
      <c r="F170" s="35"/>
      <c r="G170" s="35"/>
      <c r="H170" s="35"/>
      <c r="I170" s="35"/>
      <c r="J170" s="39"/>
      <c r="K170" s="39"/>
      <c r="L170" s="60"/>
      <c r="S170" s="61"/>
      <c r="T170" s="34"/>
      <c r="U170" s="151"/>
    </row>
    <row r="171" spans="1:21">
      <c r="A171" s="67">
        <v>1</v>
      </c>
      <c r="B171" s="35" t="s">
        <v>230</v>
      </c>
      <c r="C171" s="35" t="s">
        <v>231</v>
      </c>
      <c r="D171" s="39"/>
      <c r="E171" s="39"/>
      <c r="F171" s="39"/>
      <c r="G171" s="39"/>
      <c r="H171" s="39"/>
      <c r="I171" s="69">
        <v>323128352.09307694</v>
      </c>
      <c r="J171" s="39"/>
      <c r="K171" s="39"/>
      <c r="L171" s="60"/>
      <c r="R171" s="105">
        <v>255097845.26384613</v>
      </c>
      <c r="S171" s="61"/>
      <c r="T171" s="41">
        <f>+I171-R171</f>
        <v>68030506.829230815</v>
      </c>
      <c r="U171" s="152">
        <f>+T171/R171</f>
        <v>0.26668397280607087</v>
      </c>
    </row>
    <row r="172" spans="1:21">
      <c r="A172" s="67">
        <v>2</v>
      </c>
      <c r="B172" s="35" t="s">
        <v>232</v>
      </c>
      <c r="C172" s="35" t="s">
        <v>233</v>
      </c>
      <c r="D172" s="35"/>
      <c r="E172" s="35"/>
      <c r="F172" s="35"/>
      <c r="G172" s="35"/>
      <c r="H172" s="35"/>
      <c r="I172" s="123">
        <v>12765145.012935789</v>
      </c>
      <c r="J172" s="39"/>
      <c r="K172" s="39"/>
      <c r="L172" s="60"/>
      <c r="R172" s="105">
        <v>9295935.7530138269</v>
      </c>
      <c r="S172" s="61"/>
      <c r="T172" s="170">
        <f>+I172-R172</f>
        <v>3469209.2599219624</v>
      </c>
      <c r="U172" s="152">
        <f>+T172/R172</f>
        <v>0.37319634645680649</v>
      </c>
    </row>
    <row r="173" spans="1:21" ht="40.200000000000003" thickBot="1">
      <c r="A173" s="67">
        <v>3</v>
      </c>
      <c r="B173" s="17" t="s">
        <v>234</v>
      </c>
      <c r="C173" s="12" t="s">
        <v>235</v>
      </c>
      <c r="D173" s="39"/>
      <c r="E173" s="39"/>
      <c r="F173" s="39"/>
      <c r="G173" s="79"/>
      <c r="H173" s="39"/>
      <c r="I173" s="18">
        <v>8252049.5600000015</v>
      </c>
      <c r="J173" s="39"/>
      <c r="K173" s="39"/>
      <c r="L173" s="60"/>
      <c r="R173" s="105">
        <v>8243520.1799999997</v>
      </c>
      <c r="S173" s="61"/>
      <c r="T173" s="171">
        <f>+I173-R173</f>
        <v>8529.3800000017509</v>
      </c>
      <c r="U173" s="152">
        <f>+T173/R173</f>
        <v>1.0346769115329262E-3</v>
      </c>
    </row>
    <row r="174" spans="1:21">
      <c r="A174" s="67">
        <v>4</v>
      </c>
      <c r="B174" s="35" t="s">
        <v>236</v>
      </c>
      <c r="C174" s="35" t="s">
        <v>237</v>
      </c>
      <c r="D174" s="39"/>
      <c r="E174" s="39"/>
      <c r="F174" s="39"/>
      <c r="G174" s="79"/>
      <c r="H174" s="39"/>
      <c r="I174" s="42">
        <f>I171-I172-I173</f>
        <v>302111157.52014112</v>
      </c>
      <c r="J174" s="39"/>
      <c r="K174" s="39"/>
      <c r="L174" s="60"/>
      <c r="R174" s="42">
        <v>237558389.3308323</v>
      </c>
      <c r="S174" s="61"/>
      <c r="T174" s="57">
        <f>+I174-R174</f>
        <v>64552768.189308822</v>
      </c>
      <c r="U174" s="152">
        <f>+T174/R174</f>
        <v>0.27173432338527237</v>
      </c>
    </row>
    <row r="175" spans="1:21">
      <c r="A175" s="67"/>
      <c r="B175" s="35"/>
      <c r="C175" s="35"/>
      <c r="D175" s="39"/>
      <c r="E175" s="39"/>
      <c r="F175" s="39"/>
      <c r="G175" s="79"/>
      <c r="H175" s="39"/>
      <c r="I175" s="35"/>
      <c r="J175" s="39"/>
      <c r="K175" s="39"/>
      <c r="L175" s="60"/>
      <c r="N175" s="124"/>
      <c r="O175" s="124"/>
      <c r="P175" s="124"/>
      <c r="R175" s="35"/>
      <c r="S175" s="61"/>
      <c r="T175" s="37"/>
      <c r="U175" s="151"/>
    </row>
    <row r="176" spans="1:21">
      <c r="A176" s="67">
        <v>5</v>
      </c>
      <c r="B176" s="35" t="s">
        <v>238</v>
      </c>
      <c r="C176" s="68" t="s">
        <v>239</v>
      </c>
      <c r="D176" s="68"/>
      <c r="E176" s="68"/>
      <c r="F176" s="68"/>
      <c r="G176" s="82"/>
      <c r="H176" s="39" t="s">
        <v>240</v>
      </c>
      <c r="I176" s="56">
        <v>0.93495713255492408</v>
      </c>
      <c r="J176" s="39"/>
      <c r="K176" s="39"/>
      <c r="L176" s="60"/>
      <c r="N176" s="58"/>
      <c r="P176" s="65"/>
      <c r="Q176" s="58" t="s">
        <v>240</v>
      </c>
      <c r="R176" s="56">
        <v>0.93124420194583424</v>
      </c>
      <c r="S176" s="61"/>
      <c r="T176" s="172"/>
      <c r="U176" s="151"/>
    </row>
    <row r="177" spans="1:21">
      <c r="A177" s="67"/>
      <c r="B177" s="35"/>
      <c r="C177" s="35"/>
      <c r="D177" s="35"/>
      <c r="E177" s="35"/>
      <c r="F177" s="35"/>
      <c r="G177" s="35"/>
      <c r="H177" s="35"/>
      <c r="I177" s="35"/>
      <c r="J177" s="39"/>
      <c r="K177" s="39"/>
      <c r="L177" s="60"/>
      <c r="N177" s="58"/>
      <c r="O177" s="58"/>
      <c r="P177" s="58"/>
      <c r="Q177" s="58"/>
      <c r="R177" s="35"/>
      <c r="S177" s="125"/>
      <c r="T177" s="37"/>
      <c r="U177" s="151"/>
    </row>
    <row r="178" spans="1:21">
      <c r="A178" s="67"/>
      <c r="B178" s="35" t="s">
        <v>241</v>
      </c>
      <c r="C178" s="35"/>
      <c r="D178" s="35"/>
      <c r="E178" s="35"/>
      <c r="F178" s="35"/>
      <c r="G178" s="35"/>
      <c r="H178" s="35"/>
      <c r="I178" s="35"/>
      <c r="J178" s="39"/>
      <c r="K178" s="39"/>
      <c r="L178" s="60"/>
      <c r="P178" s="65"/>
      <c r="Q178" s="58"/>
      <c r="R178" s="35"/>
      <c r="S178" s="61"/>
      <c r="T178" s="37"/>
      <c r="U178" s="151"/>
    </row>
    <row r="179" spans="1:21">
      <c r="A179" s="67">
        <v>6</v>
      </c>
      <c r="B179" s="35" t="s">
        <v>242</v>
      </c>
      <c r="C179" s="35" t="s">
        <v>243</v>
      </c>
      <c r="D179" s="35"/>
      <c r="E179" s="35"/>
      <c r="F179" s="35"/>
      <c r="G179" s="36"/>
      <c r="H179" s="35"/>
      <c r="I179" s="69">
        <v>5464990</v>
      </c>
      <c r="J179" s="39"/>
      <c r="K179" s="39"/>
      <c r="L179" s="60"/>
      <c r="N179" s="19"/>
      <c r="O179" s="126"/>
      <c r="P179" s="65"/>
      <c r="Q179" s="58"/>
      <c r="R179" s="105">
        <v>6610061.1879192637</v>
      </c>
      <c r="S179" s="61"/>
      <c r="T179" s="41">
        <f>+I179-R179</f>
        <v>-1145071.1879192637</v>
      </c>
      <c r="U179" s="152">
        <f>+T179/R179</f>
        <v>-0.17323155646607757</v>
      </c>
    </row>
    <row r="180" spans="1:21" ht="13.8" thickBot="1">
      <c r="A180" s="67">
        <v>7</v>
      </c>
      <c r="B180" s="12" t="s">
        <v>244</v>
      </c>
      <c r="C180" s="12" t="s">
        <v>245</v>
      </c>
      <c r="D180" s="39"/>
      <c r="E180" s="39"/>
      <c r="F180" s="39"/>
      <c r="G180" s="39"/>
      <c r="H180" s="39"/>
      <c r="I180" s="20">
        <v>0</v>
      </c>
      <c r="J180" s="39"/>
      <c r="K180" s="39"/>
      <c r="L180" s="60"/>
      <c r="N180" s="127"/>
      <c r="O180" s="128"/>
      <c r="P180" s="129"/>
      <c r="Q180" s="129"/>
      <c r="R180" s="105">
        <v>0</v>
      </c>
      <c r="S180" s="61"/>
      <c r="T180" s="173">
        <f>+I180-R180</f>
        <v>0</v>
      </c>
      <c r="U180" s="152"/>
    </row>
    <row r="181" spans="1:21">
      <c r="A181" s="67">
        <v>8</v>
      </c>
      <c r="B181" s="35" t="s">
        <v>246</v>
      </c>
      <c r="C181" s="68" t="s">
        <v>247</v>
      </c>
      <c r="D181" s="68"/>
      <c r="E181" s="68"/>
      <c r="F181" s="68"/>
      <c r="G181" s="82"/>
      <c r="H181" s="68"/>
      <c r="I181" s="42">
        <f>+I179-I180</f>
        <v>5464990</v>
      </c>
      <c r="J181" s="35"/>
      <c r="K181" s="35"/>
      <c r="L181" s="60"/>
      <c r="N181" s="127"/>
      <c r="O181" s="128"/>
      <c r="R181" s="42">
        <v>6610061.1879192637</v>
      </c>
      <c r="S181" s="61"/>
      <c r="T181" s="57">
        <f>+I181-R181</f>
        <v>-1145071.1879192637</v>
      </c>
      <c r="U181" s="152">
        <f>+T181/R181</f>
        <v>-0.17323155646607757</v>
      </c>
    </row>
    <row r="182" spans="1:21">
      <c r="A182" s="67"/>
      <c r="B182" s="35"/>
      <c r="C182" s="35"/>
      <c r="D182" s="39"/>
      <c r="E182" s="39"/>
      <c r="F182" s="39"/>
      <c r="G182" s="39"/>
      <c r="H182" s="35"/>
      <c r="I182" s="35"/>
      <c r="J182" s="35"/>
      <c r="K182" s="35"/>
      <c r="L182" s="60"/>
      <c r="N182" s="58"/>
      <c r="O182" s="130"/>
      <c r="P182" s="128"/>
      <c r="Q182" s="128"/>
      <c r="S182" s="61"/>
      <c r="T182" s="34"/>
      <c r="U182" s="151"/>
    </row>
    <row r="183" spans="1:21">
      <c r="A183" s="67">
        <v>9</v>
      </c>
      <c r="B183" s="35" t="s">
        <v>248</v>
      </c>
      <c r="C183" s="35" t="s">
        <v>249</v>
      </c>
      <c r="D183" s="39"/>
      <c r="E183" s="39"/>
      <c r="F183" s="39"/>
      <c r="G183" s="39"/>
      <c r="H183" s="39"/>
      <c r="I183" s="51">
        <v>1</v>
      </c>
      <c r="J183" s="35"/>
      <c r="K183" s="35"/>
      <c r="L183" s="60"/>
      <c r="N183" s="19"/>
      <c r="O183" s="128"/>
      <c r="Q183" s="128"/>
      <c r="R183" s="158">
        <v>1</v>
      </c>
      <c r="S183" s="61"/>
      <c r="T183" s="34"/>
      <c r="U183" s="151"/>
    </row>
    <row r="184" spans="1:21">
      <c r="A184" s="67">
        <v>10</v>
      </c>
      <c r="B184" s="35" t="s">
        <v>250</v>
      </c>
      <c r="C184" s="35" t="s">
        <v>251</v>
      </c>
      <c r="D184" s="39"/>
      <c r="E184" s="39"/>
      <c r="F184" s="39"/>
      <c r="G184" s="39"/>
      <c r="H184" s="35" t="s">
        <v>68</v>
      </c>
      <c r="I184" s="51">
        <v>0.93495713255492408</v>
      </c>
      <c r="J184" s="35"/>
      <c r="K184" s="35"/>
      <c r="L184" s="60"/>
      <c r="N184" s="19"/>
      <c r="O184" s="128"/>
      <c r="Q184" s="128" t="s">
        <v>68</v>
      </c>
      <c r="R184" s="158">
        <v>0.93124420194583424</v>
      </c>
      <c r="S184" s="61"/>
      <c r="T184" s="34"/>
      <c r="U184" s="151"/>
    </row>
    <row r="185" spans="1:21">
      <c r="A185" s="67">
        <v>11</v>
      </c>
      <c r="B185" s="35" t="s">
        <v>252</v>
      </c>
      <c r="C185" s="35" t="s">
        <v>253</v>
      </c>
      <c r="D185" s="35"/>
      <c r="E185" s="35"/>
      <c r="F185" s="35"/>
      <c r="G185" s="35"/>
      <c r="H185" s="35" t="s">
        <v>254</v>
      </c>
      <c r="I185" s="70">
        <v>0.93495713255492408</v>
      </c>
      <c r="J185" s="35"/>
      <c r="K185" s="35"/>
      <c r="L185" s="60"/>
      <c r="N185" s="19"/>
      <c r="O185" s="128"/>
      <c r="Q185" s="131" t="s">
        <v>254</v>
      </c>
      <c r="R185" s="158">
        <v>0.93124420194583424</v>
      </c>
      <c r="S185" s="61"/>
      <c r="T185" s="34"/>
      <c r="U185" s="151"/>
    </row>
    <row r="186" spans="1:21">
      <c r="A186" s="67"/>
      <c r="B186" s="35"/>
      <c r="C186" s="35"/>
      <c r="D186" s="39"/>
      <c r="E186" s="39"/>
      <c r="F186" s="39"/>
      <c r="G186" s="79"/>
      <c r="H186" s="39"/>
      <c r="I186" s="35"/>
      <c r="J186" s="35"/>
      <c r="K186" s="35"/>
      <c r="L186" s="60"/>
      <c r="N186" s="127"/>
      <c r="O186" s="128"/>
      <c r="P186" s="65"/>
      <c r="Q186" s="58"/>
      <c r="S186" s="61"/>
      <c r="T186" s="34"/>
      <c r="U186" s="151"/>
    </row>
    <row r="187" spans="1:21">
      <c r="A187" s="67" t="s">
        <v>11</v>
      </c>
      <c r="B187" s="35" t="s">
        <v>255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60"/>
      <c r="N187" s="127"/>
      <c r="O187" s="128"/>
      <c r="P187" s="65"/>
      <c r="Q187" s="58"/>
      <c r="S187" s="61"/>
      <c r="T187" s="34"/>
      <c r="U187" s="151"/>
    </row>
    <row r="188" spans="1:21" ht="13.8" thickBot="1">
      <c r="A188" s="67" t="s">
        <v>11</v>
      </c>
      <c r="B188" s="35"/>
      <c r="C188" s="21" t="s">
        <v>256</v>
      </c>
      <c r="D188" s="22" t="s">
        <v>257</v>
      </c>
      <c r="E188" s="22" t="s">
        <v>68</v>
      </c>
      <c r="F188" s="39"/>
      <c r="G188" s="22" t="s">
        <v>258</v>
      </c>
      <c r="H188" s="39"/>
      <c r="I188" s="39"/>
      <c r="J188" s="39"/>
      <c r="K188" s="39"/>
      <c r="L188" s="60"/>
      <c r="P188" s="22"/>
      <c r="S188" s="61"/>
      <c r="T188" s="34"/>
      <c r="U188" s="151"/>
    </row>
    <row r="189" spans="1:21">
      <c r="A189" s="67">
        <v>12</v>
      </c>
      <c r="B189" s="35" t="s">
        <v>63</v>
      </c>
      <c r="C189" s="39" t="s">
        <v>259</v>
      </c>
      <c r="D189" s="132">
        <v>1682811</v>
      </c>
      <c r="E189" s="133">
        <v>0</v>
      </c>
      <c r="F189" s="133"/>
      <c r="G189" s="42">
        <f>D189*E189</f>
        <v>0</v>
      </c>
      <c r="H189" s="39"/>
      <c r="I189" s="39"/>
      <c r="J189" s="39"/>
      <c r="K189" s="39"/>
      <c r="L189" s="60"/>
      <c r="M189" s="105">
        <v>2151894</v>
      </c>
      <c r="N189" s="158">
        <v>0</v>
      </c>
      <c r="P189" s="42">
        <v>0</v>
      </c>
      <c r="S189" s="61"/>
      <c r="T189" s="57">
        <f>+G189-P189</f>
        <v>0</v>
      </c>
      <c r="U189" s="152"/>
    </row>
    <row r="190" spans="1:21">
      <c r="A190" s="67">
        <v>13</v>
      </c>
      <c r="B190" s="35" t="s">
        <v>66</v>
      </c>
      <c r="C190" s="39" t="s">
        <v>260</v>
      </c>
      <c r="D190" s="132">
        <v>1598959</v>
      </c>
      <c r="E190" s="134">
        <v>0.93495713255492408</v>
      </c>
      <c r="F190" s="133"/>
      <c r="G190" s="42">
        <f>D190*E190</f>
        <v>1494958.1217128888</v>
      </c>
      <c r="H190" s="39"/>
      <c r="I190" s="39"/>
      <c r="J190" s="39"/>
      <c r="K190" s="39"/>
      <c r="L190" s="60"/>
      <c r="M190" s="105">
        <v>1533817</v>
      </c>
      <c r="N190" s="158">
        <v>0.93124420194583424</v>
      </c>
      <c r="P190" s="42">
        <v>1428358.1880959535</v>
      </c>
      <c r="S190" s="61"/>
      <c r="T190" s="57">
        <f>+G190-P190</f>
        <v>66599.933616935275</v>
      </c>
      <c r="U190" s="152">
        <f>+T190/P190</f>
        <v>4.6626913453491022E-2</v>
      </c>
    </row>
    <row r="191" spans="1:21">
      <c r="A191" s="67">
        <v>14</v>
      </c>
      <c r="B191" s="35" t="s">
        <v>69</v>
      </c>
      <c r="C191" s="39" t="s">
        <v>261</v>
      </c>
      <c r="D191" s="132">
        <v>7241028</v>
      </c>
      <c r="E191" s="133">
        <v>0</v>
      </c>
      <c r="F191" s="133"/>
      <c r="G191" s="42">
        <f>D191*E191</f>
        <v>0</v>
      </c>
      <c r="H191" s="39"/>
      <c r="I191" s="79" t="s">
        <v>262</v>
      </c>
      <c r="J191" s="39"/>
      <c r="K191" s="39"/>
      <c r="L191" s="60"/>
      <c r="M191" s="105">
        <v>6309022</v>
      </c>
      <c r="N191" s="158">
        <v>0</v>
      </c>
      <c r="P191" s="42">
        <v>0</v>
      </c>
      <c r="R191" s="1" t="s">
        <v>262</v>
      </c>
      <c r="S191" s="61"/>
      <c r="T191" s="57">
        <f>+G191-P191</f>
        <v>0</v>
      </c>
      <c r="U191" s="152"/>
    </row>
    <row r="192" spans="1:21" ht="13.8" thickBot="1">
      <c r="A192" s="67">
        <v>15</v>
      </c>
      <c r="B192" s="35" t="s">
        <v>74</v>
      </c>
      <c r="C192" s="39" t="s">
        <v>263</v>
      </c>
      <c r="D192" s="23">
        <v>1453588</v>
      </c>
      <c r="E192" s="133">
        <v>0</v>
      </c>
      <c r="F192" s="133"/>
      <c r="G192" s="24">
        <f>D192*E192</f>
        <v>0</v>
      </c>
      <c r="H192" s="39"/>
      <c r="I192" s="3" t="s">
        <v>264</v>
      </c>
      <c r="J192" s="39"/>
      <c r="K192" s="39"/>
      <c r="L192" s="60"/>
      <c r="M192" s="105">
        <v>1246286</v>
      </c>
      <c r="N192" s="158">
        <v>0</v>
      </c>
      <c r="P192" s="24">
        <v>0</v>
      </c>
      <c r="R192" s="1" t="s">
        <v>264</v>
      </c>
      <c r="S192" s="61"/>
      <c r="T192" s="149">
        <f>+G192-P192</f>
        <v>0</v>
      </c>
      <c r="U192" s="152"/>
    </row>
    <row r="193" spans="1:22">
      <c r="A193" s="67">
        <v>16</v>
      </c>
      <c r="B193" s="35" t="s">
        <v>265</v>
      </c>
      <c r="C193" s="39" t="s">
        <v>266</v>
      </c>
      <c r="D193" s="42">
        <f>SUM(D189:D192)</f>
        <v>11976386</v>
      </c>
      <c r="E193" s="39"/>
      <c r="F193" s="39"/>
      <c r="G193" s="42">
        <f>SUM(G189:G192)</f>
        <v>1494958.1217128888</v>
      </c>
      <c r="H193" s="36" t="s">
        <v>267</v>
      </c>
      <c r="I193" s="51">
        <f>IF(G193&gt;0,G193/D193,0)</f>
        <v>0.1248254792149225</v>
      </c>
      <c r="J193" s="79" t="s">
        <v>267</v>
      </c>
      <c r="K193" s="119" t="s">
        <v>73</v>
      </c>
      <c r="L193" s="60"/>
      <c r="M193" s="42">
        <v>11241019</v>
      </c>
      <c r="P193" s="42">
        <v>1428358.1880959535</v>
      </c>
      <c r="Q193" s="1" t="s">
        <v>267</v>
      </c>
      <c r="R193" s="1">
        <v>0.12706661096257854</v>
      </c>
      <c r="S193" s="61"/>
      <c r="T193" s="57">
        <f>+G193-P193</f>
        <v>66599.933616935275</v>
      </c>
      <c r="U193" s="152">
        <f>+T193/P193</f>
        <v>4.6626913453491022E-2</v>
      </c>
    </row>
    <row r="194" spans="1:22" s="2" customFormat="1">
      <c r="A194" s="67"/>
      <c r="B194" s="35"/>
      <c r="C194" s="39"/>
      <c r="D194" s="39"/>
      <c r="E194" s="39"/>
      <c r="F194" s="39"/>
      <c r="G194" s="39"/>
      <c r="H194" s="39"/>
      <c r="I194" s="39"/>
      <c r="J194" s="39"/>
      <c r="K194" s="39"/>
      <c r="L194" s="60"/>
      <c r="M194" s="39"/>
      <c r="N194" s="1"/>
      <c r="O194" s="1"/>
      <c r="P194" s="1"/>
      <c r="Q194" s="1"/>
      <c r="R194" s="1"/>
      <c r="S194" s="61"/>
      <c r="T194" s="34"/>
      <c r="U194" s="151"/>
      <c r="V194" s="1"/>
    </row>
    <row r="195" spans="1:22" s="2" customFormat="1">
      <c r="A195" s="67"/>
      <c r="B195" s="35" t="s">
        <v>268</v>
      </c>
      <c r="C195" s="39"/>
      <c r="D195" s="83" t="s">
        <v>257</v>
      </c>
      <c r="E195" s="39"/>
      <c r="F195" s="39"/>
      <c r="G195" s="79" t="s">
        <v>269</v>
      </c>
      <c r="H195" s="54" t="s">
        <v>11</v>
      </c>
      <c r="I195" s="135" t="str">
        <f>+I191</f>
        <v>W&amp;S Allocator</v>
      </c>
      <c r="J195" s="39"/>
      <c r="K195" s="39"/>
      <c r="L195" s="60"/>
      <c r="M195" s="83" t="s">
        <v>257</v>
      </c>
      <c r="N195" s="1"/>
      <c r="O195" s="1"/>
      <c r="P195" s="1" t="s">
        <v>269</v>
      </c>
      <c r="Q195" s="1" t="s">
        <v>11</v>
      </c>
      <c r="R195" s="1" t="s">
        <v>262</v>
      </c>
      <c r="S195" s="61"/>
      <c r="T195" s="34"/>
      <c r="U195" s="151"/>
      <c r="V195" s="1"/>
    </row>
    <row r="196" spans="1:22" s="2" customFormat="1">
      <c r="A196" s="67">
        <v>17</v>
      </c>
      <c r="B196" s="35" t="s">
        <v>270</v>
      </c>
      <c r="C196" s="39" t="s">
        <v>271</v>
      </c>
      <c r="D196" s="132">
        <v>1234413433</v>
      </c>
      <c r="E196" s="39"/>
      <c r="F196" s="35"/>
      <c r="G196" s="36" t="s">
        <v>272</v>
      </c>
      <c r="H196" s="54"/>
      <c r="I196" s="36" t="s">
        <v>273</v>
      </c>
      <c r="J196" s="39"/>
      <c r="K196" s="36" t="s">
        <v>76</v>
      </c>
      <c r="L196" s="60"/>
      <c r="M196" s="105">
        <v>1109521317</v>
      </c>
      <c r="N196" s="1"/>
      <c r="O196" s="1"/>
      <c r="P196" s="1" t="s">
        <v>272</v>
      </c>
      <c r="Q196" s="1"/>
      <c r="R196" s="1" t="s">
        <v>273</v>
      </c>
      <c r="S196" s="61"/>
      <c r="T196" s="34"/>
      <c r="U196" s="151"/>
      <c r="V196" s="1"/>
    </row>
    <row r="197" spans="1:22" s="2" customFormat="1">
      <c r="A197" s="67">
        <v>18</v>
      </c>
      <c r="B197" s="35" t="s">
        <v>274</v>
      </c>
      <c r="C197" s="39" t="s">
        <v>275</v>
      </c>
      <c r="D197" s="132">
        <v>0</v>
      </c>
      <c r="E197" s="39"/>
      <c r="F197" s="35"/>
      <c r="G197" s="70">
        <f>IF(D199&gt;0,D196/D199,0)</f>
        <v>0.97749861013032913</v>
      </c>
      <c r="H197" s="79" t="s">
        <v>276</v>
      </c>
      <c r="I197" s="70">
        <f>I193</f>
        <v>0.1248254792149225</v>
      </c>
      <c r="J197" s="54" t="s">
        <v>267</v>
      </c>
      <c r="K197" s="136">
        <f>I197*G197</f>
        <v>0.12201673244143903</v>
      </c>
      <c r="L197" s="60"/>
      <c r="M197" s="105">
        <v>0</v>
      </c>
      <c r="N197" s="1"/>
      <c r="O197" s="1"/>
      <c r="P197" s="159">
        <v>0.97991173177703361</v>
      </c>
      <c r="Q197" s="1" t="s">
        <v>276</v>
      </c>
      <c r="R197" s="1">
        <v>0.12706661096257854</v>
      </c>
      <c r="S197" s="61"/>
      <c r="T197" s="34"/>
      <c r="U197" s="151"/>
      <c r="V197" s="1"/>
    </row>
    <row r="198" spans="1:22" s="2" customFormat="1" ht="13.8" thickBot="1">
      <c r="A198" s="67">
        <v>19</v>
      </c>
      <c r="B198" s="12" t="s">
        <v>74</v>
      </c>
      <c r="C198" s="21" t="s">
        <v>277</v>
      </c>
      <c r="D198" s="23">
        <v>28415404</v>
      </c>
      <c r="E198" s="39"/>
      <c r="F198" s="39"/>
      <c r="G198" s="39" t="s">
        <v>11</v>
      </c>
      <c r="H198" s="39"/>
      <c r="I198" s="39"/>
      <c r="J198" s="39"/>
      <c r="K198" s="39"/>
      <c r="L198" s="60"/>
      <c r="M198" s="105">
        <v>22745275</v>
      </c>
      <c r="N198" s="1"/>
      <c r="O198" s="1"/>
      <c r="P198" s="1" t="s">
        <v>11</v>
      </c>
      <c r="Q198" s="1"/>
      <c r="R198" s="1"/>
      <c r="S198" s="61"/>
      <c r="T198" s="34"/>
      <c r="U198" s="151"/>
      <c r="V198" s="1"/>
    </row>
    <row r="199" spans="1:22" s="2" customFormat="1">
      <c r="A199" s="67">
        <v>20</v>
      </c>
      <c r="B199" s="35" t="s">
        <v>265</v>
      </c>
      <c r="C199" s="39" t="s">
        <v>278</v>
      </c>
      <c r="D199" s="42">
        <f>D196+D197+D198</f>
        <v>1262828837</v>
      </c>
      <c r="E199" s="39"/>
      <c r="F199" s="39"/>
      <c r="G199" s="39"/>
      <c r="H199" s="39"/>
      <c r="I199" s="39"/>
      <c r="J199" s="39"/>
      <c r="K199" s="39"/>
      <c r="L199" s="60"/>
      <c r="M199" s="42">
        <v>1132266592</v>
      </c>
      <c r="N199" s="1"/>
      <c r="O199" s="1"/>
      <c r="P199" s="1"/>
      <c r="Q199" s="1"/>
      <c r="R199" s="1"/>
      <c r="S199" s="61"/>
      <c r="T199" s="34"/>
      <c r="U199" s="151"/>
      <c r="V199" s="1"/>
    </row>
    <row r="200" spans="1:22" ht="13.8" thickBot="1">
      <c r="A200" s="137"/>
      <c r="B200" s="12"/>
      <c r="C200" s="12"/>
      <c r="D200" s="138"/>
      <c r="E200" s="12"/>
      <c r="F200" s="12"/>
      <c r="G200" s="188"/>
      <c r="H200" s="188"/>
      <c r="I200" s="188"/>
      <c r="J200" s="188"/>
      <c r="K200" s="188"/>
      <c r="L200" s="139"/>
      <c r="M200" s="140"/>
      <c r="N200" s="140"/>
      <c r="O200" s="140"/>
      <c r="P200" s="140"/>
      <c r="Q200" s="140"/>
      <c r="R200" s="140"/>
      <c r="S200" s="141"/>
      <c r="T200" s="150"/>
      <c r="U200" s="153"/>
    </row>
    <row r="201" spans="1:22" s="2" customFormat="1">
      <c r="A201" s="27"/>
      <c r="B201" s="1"/>
      <c r="C201" s="1"/>
      <c r="D201" s="1"/>
      <c r="E201" s="1"/>
      <c r="F201" s="1"/>
      <c r="G201" s="1"/>
      <c r="H201" s="1"/>
      <c r="I201" s="1"/>
      <c r="J201" s="28"/>
      <c r="K201" s="28"/>
      <c r="L201" s="142"/>
      <c r="M201" s="1"/>
      <c r="N201" s="1"/>
      <c r="O201" s="1"/>
      <c r="P201" s="1"/>
      <c r="Q201" s="1"/>
      <c r="R201" s="1"/>
      <c r="S201" s="143"/>
    </row>
    <row r="202" spans="1:22" s="2" customFormat="1">
      <c r="A202" s="27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142"/>
      <c r="M202" s="1"/>
      <c r="N202" s="1"/>
      <c r="O202" s="1"/>
      <c r="P202" s="1"/>
      <c r="Q202" s="1"/>
      <c r="R202" s="1"/>
      <c r="S202" s="143"/>
    </row>
    <row r="203" spans="1:22" s="2" customFormat="1">
      <c r="A203" s="27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142"/>
      <c r="M203" s="1"/>
      <c r="N203" s="1"/>
      <c r="O203" s="1"/>
      <c r="P203" s="1"/>
      <c r="Q203" s="1"/>
      <c r="R203" s="1"/>
      <c r="S203" s="143"/>
    </row>
    <row r="204" spans="1:22" s="2" customFormat="1">
      <c r="A204" s="27"/>
      <c r="B204" s="1"/>
      <c r="C204" s="25"/>
      <c r="D204" s="25"/>
      <c r="E204" s="25"/>
      <c r="F204" s="25"/>
      <c r="G204" s="25"/>
      <c r="H204" s="25"/>
      <c r="I204" s="25"/>
      <c r="J204" s="25"/>
      <c r="K204" s="25"/>
      <c r="L204" s="142"/>
      <c r="M204" s="1"/>
      <c r="N204" s="1"/>
      <c r="O204" s="1"/>
      <c r="P204" s="1"/>
      <c r="Q204" s="1"/>
      <c r="R204" s="1"/>
      <c r="S204" s="143"/>
    </row>
    <row r="205" spans="1:22" s="2" customFormat="1">
      <c r="A205" s="26"/>
      <c r="B205" s="182"/>
      <c r="C205" s="182"/>
      <c r="D205" s="182"/>
      <c r="E205" s="182"/>
      <c r="F205" s="182"/>
      <c r="G205" s="182"/>
      <c r="H205" s="182"/>
      <c r="I205" s="182"/>
      <c r="J205" s="25"/>
      <c r="K205" s="25"/>
      <c r="L205" s="142"/>
      <c r="M205" s="1"/>
      <c r="N205" s="1"/>
      <c r="O205" s="1"/>
      <c r="P205" s="1"/>
      <c r="Q205" s="1"/>
      <c r="R205" s="1"/>
      <c r="S205" s="143"/>
    </row>
    <row r="206" spans="1:22" s="2" customFormat="1">
      <c r="A206" s="27"/>
      <c r="B206" s="29"/>
      <c r="C206" s="25"/>
      <c r="D206" s="25"/>
      <c r="E206" s="25"/>
      <c r="F206" s="25"/>
      <c r="G206" s="25"/>
      <c r="H206" s="25"/>
      <c r="I206" s="25"/>
      <c r="J206" s="25"/>
      <c r="K206" s="25"/>
      <c r="L206" s="142"/>
      <c r="M206" s="1"/>
      <c r="N206" s="1"/>
      <c r="O206" s="1"/>
      <c r="P206" s="1"/>
      <c r="Q206" s="1"/>
      <c r="R206" s="1"/>
      <c r="S206" s="143"/>
    </row>
    <row r="207" spans="1:22" s="2" customFormat="1">
      <c r="A207" s="25"/>
      <c r="B207" s="29"/>
      <c r="C207" s="25"/>
      <c r="D207" s="25"/>
      <c r="E207" s="25"/>
      <c r="F207" s="25"/>
      <c r="G207" s="25"/>
      <c r="H207" s="25"/>
      <c r="I207" s="25"/>
      <c r="J207" s="25"/>
      <c r="K207" s="25"/>
      <c r="L207" s="142"/>
      <c r="M207" s="1"/>
      <c r="N207" s="1"/>
      <c r="O207" s="1"/>
      <c r="P207" s="1"/>
      <c r="Q207" s="1"/>
      <c r="R207" s="1"/>
      <c r="S207" s="143"/>
    </row>
  </sheetData>
  <sheetProtection formatCells="0" formatColumns="0"/>
  <mergeCells count="18">
    <mergeCell ref="A1:K1"/>
    <mergeCell ref="M1:R1"/>
    <mergeCell ref="T1:U1"/>
    <mergeCell ref="G200:K200"/>
    <mergeCell ref="J96:K96"/>
    <mergeCell ref="F159:K159"/>
    <mergeCell ref="I160:K160"/>
    <mergeCell ref="J161:K161"/>
    <mergeCell ref="G163:K163"/>
    <mergeCell ref="I2:K2"/>
    <mergeCell ref="J3:K3"/>
    <mergeCell ref="F13:G13"/>
    <mergeCell ref="I33:K33"/>
    <mergeCell ref="J34:K34"/>
    <mergeCell ref="I95:K95"/>
    <mergeCell ref="U9:U10"/>
    <mergeCell ref="T9:T10"/>
    <mergeCell ref="B205:I205"/>
  </mergeCells>
  <pageMargins left="0.5" right="0.25" top="1" bottom="1" header="0.5" footer="0.5"/>
  <pageSetup scale="58" fitToHeight="6" orientation="portrait" r:id="rId1"/>
  <headerFooter alignWithMargins="0"/>
  <rowBreaks count="3" manualBreakCount="3">
    <brk id="32" max="10" man="1"/>
    <brk id="93" max="10" man="1"/>
    <brk id="158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4F71AFEB35C4BB7D02F9717AF7062" ma:contentTypeVersion="3" ma:contentTypeDescription="Create a new document." ma:contentTypeScope="" ma:versionID="f72114207f77428a63dbe71c7492d4d4">
  <xsd:schema xmlns:xsd="http://www.w3.org/2001/XMLSchema" xmlns:xs="http://www.w3.org/2001/XMLSchema" xmlns:p="http://schemas.microsoft.com/office/2006/metadata/properties" xmlns:ns2="183a404b-f228-4879-b45a-49ba5468ac63" targetNamespace="http://schemas.microsoft.com/office/2006/metadata/properties" ma:root="true" ma:fieldsID="a12532894cb39263777fbb1df4908db1" ns2:_="">
    <xsd:import namespace="183a404b-f228-4879-b45a-49ba5468a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3a404b-f228-4879-b45a-49ba546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C07688-80E8-45A2-858A-0B921DFA4C72}"/>
</file>

<file path=customXml/itemProps2.xml><?xml version="1.0" encoding="utf-8"?>
<ds:datastoreItem xmlns:ds="http://schemas.openxmlformats.org/officeDocument/2006/customXml" ds:itemID="{3A85834E-3303-4E99-AF90-C3F224D8F2D9}"/>
</file>

<file path=customXml/itemProps3.xml><?xml version="1.0" encoding="utf-8"?>
<ds:datastoreItem xmlns:ds="http://schemas.openxmlformats.org/officeDocument/2006/customXml" ds:itemID="{B20DFCC6-96C1-46B2-BC7D-9A97715964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2024 Att H Comparison</vt:lpstr>
      <vt:lpstr>CE</vt:lpstr>
      <vt:lpstr>GP</vt:lpstr>
      <vt:lpstr>NP</vt:lpstr>
      <vt:lpstr>'2024 Att H Comparison'!Print_Area</vt:lpstr>
      <vt:lpstr>TE</vt:lpstr>
      <vt:lpstr>TP</vt:lpstr>
      <vt:lpstr>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2024-06-03T18:15:29Z</dcterms:created>
  <dcterms:modified xsi:type="dcterms:W3CDTF">2025-05-09T16:59:56Z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0x0101000424F71AFEB35C4BB7D02F9717AF7062</vt:lpwstr>
  </property>
</Properties>
</file>