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lackhillscorp.sharepoint.com/sites/RegulatoryHub-BHPTrueUpFilings/2025 BHP TrueUp Empty/Final Filing Package/"/>
    </mc:Choice>
  </mc:AlternateContent>
  <xr:revisionPtr revIDLastSave="4" documentId="13_ncr:1_{A55D3F22-DEC1-49AD-B073-A03A65114456}" xr6:coauthVersionLast="47" xr6:coauthVersionMax="47" xr10:uidLastSave="{1B29370E-978E-4331-BBE7-F6C3F25E872A}"/>
  <bookViews>
    <workbookView xWindow="-120" yWindow="-120" windowWidth="29040" windowHeight="15720" tabRatio="799" xr2:uid="{AC4A2CBA-6100-403F-A94B-F6B484ECB352}"/>
  </bookViews>
  <sheets>
    <sheet name="CU AC Rate Design - True-Up" sheetId="41" r:id="rId1"/>
    <sheet name="True-Up" sheetId="35" r:id="rId2"/>
    <sheet name="Capital True-up" sheetId="31" r:id="rId3"/>
    <sheet name="BHP WP5 Depreciation Rates" sheetId="34" r:id="rId4"/>
    <sheet name="WP6 Rate Base" sheetId="37" r:id="rId5"/>
    <sheet name="WP7 CU AC LOADS" sheetId="24" r:id="rId6"/>
    <sheet name="WP14 Long Term Interest " sheetId="42" r:id="rId7"/>
    <sheet name="BHP Sch. 1" sheetId="3" r:id="rId8"/>
  </sheets>
  <definedNames>
    <definedName name="_xlnm.Print_Area" localSheetId="7">'BHP Sch. 1'!$A$1:$I$37</definedName>
    <definedName name="_xlnm.Print_Area" localSheetId="2">'Capital True-up'!$A$3:$P$77</definedName>
    <definedName name="_xlnm.Print_Area" localSheetId="0">'CU AC Rate Design - True-Up'!$A$1:$H$36</definedName>
    <definedName name="_xlnm.Print_Area" localSheetId="4">'WP6 Rate Base'!$A$1:$R$65</definedName>
    <definedName name="_xlnm.Print_Area" localSheetId="5">'WP7 CU AC LOADS'!$A$1:$J$47</definedName>
    <definedName name="_xlnm.Print_Titles" localSheetId="4">'WP6 Rate Base'!$A:$A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1" l="1"/>
  <c r="H79" i="35"/>
  <c r="E100" i="35" l="1"/>
  <c r="J136" i="35"/>
  <c r="H197" i="35" l="1"/>
  <c r="E102" i="35" l="1"/>
  <c r="G104" i="35" s="1"/>
  <c r="F20" i="42" l="1"/>
  <c r="H18" i="37" l="1"/>
  <c r="O18" i="37"/>
  <c r="Q28" i="37" l="1"/>
  <c r="Q25" i="37"/>
  <c r="J194" i="35" l="1"/>
  <c r="E96" i="35"/>
  <c r="E78" i="35" l="1"/>
  <c r="D20" i="3"/>
  <c r="J185" i="35" l="1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Q19" i="37" l="1"/>
  <c r="E26" i="37"/>
  <c r="Q26" i="37"/>
  <c r="Q18" i="37" l="1"/>
  <c r="Q15" i="37" l="1"/>
  <c r="E107" i="37" l="1"/>
  <c r="D14" i="3" l="1"/>
  <c r="F15" i="37"/>
  <c r="D22" i="3" l="1"/>
  <c r="E176" i="35"/>
  <c r="Q20" i="37" l="1"/>
  <c r="Q161" i="37" l="1"/>
  <c r="E128" i="37" l="1"/>
  <c r="E171" i="37"/>
  <c r="E30" i="37"/>
  <c r="E18" i="37"/>
  <c r="E86" i="35"/>
  <c r="E57" i="35" s="1"/>
  <c r="J42" i="24"/>
  <c r="J33" i="24"/>
  <c r="J34" i="24"/>
  <c r="J35" i="24"/>
  <c r="J36" i="24"/>
  <c r="J37" i="24"/>
  <c r="J38" i="24"/>
  <c r="J39" i="24"/>
  <c r="J40" i="24"/>
  <c r="J41" i="24"/>
  <c r="J32" i="24"/>
  <c r="J31" i="24"/>
  <c r="J22" i="24"/>
  <c r="J13" i="24"/>
  <c r="J14" i="24"/>
  <c r="J15" i="24"/>
  <c r="J16" i="24"/>
  <c r="J17" i="24"/>
  <c r="J18" i="24"/>
  <c r="J19" i="24"/>
  <c r="J20" i="24"/>
  <c r="J21" i="24"/>
  <c r="J12" i="24"/>
  <c r="J11" i="24"/>
  <c r="O4" i="31"/>
  <c r="Q27" i="37"/>
  <c r="J197" i="35"/>
  <c r="P19" i="37"/>
  <c r="O19" i="37"/>
  <c r="Q17" i="37"/>
  <c r="P17" i="37"/>
  <c r="O17" i="37"/>
  <c r="Q16" i="37"/>
  <c r="P16" i="37"/>
  <c r="O16" i="37"/>
  <c r="P15" i="37"/>
  <c r="O15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E27" i="37"/>
  <c r="N19" i="37"/>
  <c r="M19" i="37"/>
  <c r="L19" i="37"/>
  <c r="K19" i="37"/>
  <c r="J19" i="37"/>
  <c r="I19" i="37"/>
  <c r="H19" i="37"/>
  <c r="G19" i="37"/>
  <c r="F19" i="37"/>
  <c r="E19" i="37"/>
  <c r="N17" i="37"/>
  <c r="M17" i="37"/>
  <c r="L17" i="37"/>
  <c r="K17" i="37"/>
  <c r="J17" i="37"/>
  <c r="I17" i="37"/>
  <c r="H17" i="37"/>
  <c r="G17" i="37"/>
  <c r="F17" i="37"/>
  <c r="E17" i="37"/>
  <c r="N16" i="37"/>
  <c r="M16" i="37"/>
  <c r="L16" i="37"/>
  <c r="K16" i="37"/>
  <c r="J16" i="37"/>
  <c r="I16" i="37"/>
  <c r="H16" i="37"/>
  <c r="G16" i="37"/>
  <c r="F16" i="37"/>
  <c r="E16" i="37"/>
  <c r="N15" i="37"/>
  <c r="M15" i="37"/>
  <c r="L15" i="37"/>
  <c r="K15" i="37"/>
  <c r="J15" i="37"/>
  <c r="I15" i="37"/>
  <c r="H15" i="37"/>
  <c r="G15" i="37"/>
  <c r="Q171" i="37"/>
  <c r="P171" i="37"/>
  <c r="O171" i="37"/>
  <c r="N171" i="37"/>
  <c r="M171" i="37"/>
  <c r="L171" i="37"/>
  <c r="K171" i="37"/>
  <c r="J171" i="37"/>
  <c r="I171" i="37"/>
  <c r="H171" i="37"/>
  <c r="G171" i="37"/>
  <c r="F171" i="37"/>
  <c r="P161" i="37"/>
  <c r="O161" i="37"/>
  <c r="N161" i="37"/>
  <c r="M161" i="37"/>
  <c r="L161" i="37"/>
  <c r="K161" i="37"/>
  <c r="J161" i="37"/>
  <c r="I161" i="37"/>
  <c r="H161" i="37"/>
  <c r="G161" i="37"/>
  <c r="F161" i="37"/>
  <c r="E161" i="37"/>
  <c r="Q140" i="37"/>
  <c r="P140" i="37"/>
  <c r="O140" i="37"/>
  <c r="N140" i="37"/>
  <c r="M140" i="37"/>
  <c r="L140" i="37"/>
  <c r="K140" i="37"/>
  <c r="J140" i="37"/>
  <c r="I140" i="37"/>
  <c r="H140" i="37"/>
  <c r="G140" i="37"/>
  <c r="F140" i="37"/>
  <c r="E140" i="37"/>
  <c r="Q128" i="37"/>
  <c r="P128" i="37"/>
  <c r="O128" i="37"/>
  <c r="N128" i="37"/>
  <c r="M128" i="37"/>
  <c r="L128" i="37"/>
  <c r="K128" i="37"/>
  <c r="J128" i="37"/>
  <c r="I128" i="37"/>
  <c r="H128" i="37"/>
  <c r="G128" i="37"/>
  <c r="F128" i="37"/>
  <c r="Q118" i="37"/>
  <c r="P118" i="37"/>
  <c r="O118" i="37"/>
  <c r="N118" i="37"/>
  <c r="M118" i="37"/>
  <c r="L118" i="37"/>
  <c r="K118" i="37"/>
  <c r="J118" i="37"/>
  <c r="I118" i="37"/>
  <c r="H118" i="37"/>
  <c r="G118" i="37"/>
  <c r="F118" i="37"/>
  <c r="E118" i="37"/>
  <c r="Q107" i="37"/>
  <c r="P107" i="37"/>
  <c r="O107" i="37"/>
  <c r="N107" i="37"/>
  <c r="M107" i="37"/>
  <c r="L107" i="37"/>
  <c r="K107" i="37"/>
  <c r="J107" i="37"/>
  <c r="I107" i="37"/>
  <c r="H107" i="37"/>
  <c r="G107" i="37"/>
  <c r="F107" i="37"/>
  <c r="C106" i="37"/>
  <c r="Q97" i="37"/>
  <c r="P97" i="37"/>
  <c r="O97" i="37"/>
  <c r="N97" i="37"/>
  <c r="M97" i="37"/>
  <c r="L97" i="37"/>
  <c r="K97" i="37"/>
  <c r="J97" i="37"/>
  <c r="I97" i="37"/>
  <c r="H97" i="37"/>
  <c r="G97" i="37"/>
  <c r="F97" i="37"/>
  <c r="E97" i="37"/>
  <c r="P27" i="37"/>
  <c r="O27" i="37"/>
  <c r="N27" i="37"/>
  <c r="G27" i="37"/>
  <c r="F27" i="37"/>
  <c r="C85" i="37"/>
  <c r="C83" i="37"/>
  <c r="Q76" i="37"/>
  <c r="P76" i="37"/>
  <c r="O76" i="37"/>
  <c r="N76" i="37"/>
  <c r="M76" i="37"/>
  <c r="L76" i="37"/>
  <c r="K76" i="37"/>
  <c r="J76" i="37"/>
  <c r="I76" i="37"/>
  <c r="H76" i="37"/>
  <c r="G76" i="37"/>
  <c r="F76" i="37"/>
  <c r="L26" i="37"/>
  <c r="H26" i="37"/>
  <c r="P26" i="37"/>
  <c r="H27" i="37"/>
  <c r="E15" i="37"/>
  <c r="L27" i="37"/>
  <c r="M26" i="37"/>
  <c r="F26" i="37"/>
  <c r="N26" i="37"/>
  <c r="J27" i="37"/>
  <c r="I27" i="37"/>
  <c r="G26" i="37"/>
  <c r="O26" i="37"/>
  <c r="K27" i="37"/>
  <c r="M27" i="37"/>
  <c r="J26" i="37"/>
  <c r="K26" i="37"/>
  <c r="I26" i="37"/>
  <c r="F56" i="37"/>
  <c r="G51" i="37"/>
  <c r="E46" i="35" s="1"/>
  <c r="G58" i="37"/>
  <c r="E54" i="35" s="1"/>
  <c r="J54" i="35" s="1"/>
  <c r="I24" i="24"/>
  <c r="H24" i="24"/>
  <c r="G24" i="24"/>
  <c r="F24" i="24"/>
  <c r="E24" i="24"/>
  <c r="D24" i="24"/>
  <c r="E41" i="37"/>
  <c r="I44" i="24"/>
  <c r="H44" i="24"/>
  <c r="G44" i="24"/>
  <c r="F44" i="24"/>
  <c r="E44" i="24"/>
  <c r="D44" i="24"/>
  <c r="G64" i="37"/>
  <c r="E60" i="35" s="1"/>
  <c r="O3" i="31"/>
  <c r="J2" i="24"/>
  <c r="I206" i="24"/>
  <c r="J206" i="24"/>
  <c r="I128" i="24"/>
  <c r="J128" i="24"/>
  <c r="F14" i="41"/>
  <c r="F13" i="41"/>
  <c r="I2" i="37"/>
  <c r="R2" i="37" s="1"/>
  <c r="H1" i="3"/>
  <c r="J64" i="35"/>
  <c r="K77" i="31"/>
  <c r="N53" i="31" s="1"/>
  <c r="D27" i="3"/>
  <c r="H31" i="35"/>
  <c r="H11" i="3"/>
  <c r="E106" i="35"/>
  <c r="G25" i="35"/>
  <c r="G45" i="35" s="1"/>
  <c r="G100" i="35" s="1"/>
  <c r="G81" i="35"/>
  <c r="G82" i="35" s="1"/>
  <c r="G83" i="35"/>
  <c r="A12" i="3"/>
  <c r="A13" i="3" s="1"/>
  <c r="A14" i="3" s="1"/>
  <c r="A15" i="3" s="1"/>
  <c r="A16" i="3" s="1"/>
  <c r="A17" i="3" s="1"/>
  <c r="A18" i="3" s="1"/>
  <c r="A19" i="3" s="1"/>
  <c r="A20" i="3" s="1"/>
  <c r="G12" i="3"/>
  <c r="H119" i="3"/>
  <c r="H120" i="3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I114" i="24"/>
  <c r="I115" i="24"/>
  <c r="A16" i="37"/>
  <c r="A17" i="37" s="1"/>
  <c r="R21" i="37"/>
  <c r="C25" i="37"/>
  <c r="C35" i="37" s="1"/>
  <c r="C28" i="37"/>
  <c r="C38" i="37" s="1"/>
  <c r="C30" i="37"/>
  <c r="C40" i="37" s="1"/>
  <c r="C31" i="37"/>
  <c r="C41" i="37" s="1"/>
  <c r="R31" i="37"/>
  <c r="E31" i="35" s="1"/>
  <c r="F41" i="37"/>
  <c r="G41" i="37"/>
  <c r="H41" i="37"/>
  <c r="I41" i="37"/>
  <c r="J41" i="37"/>
  <c r="K41" i="37"/>
  <c r="L41" i="37"/>
  <c r="M41" i="37"/>
  <c r="N41" i="37"/>
  <c r="O41" i="37"/>
  <c r="P41" i="37"/>
  <c r="Q41" i="37"/>
  <c r="G54" i="37"/>
  <c r="E50" i="35" s="1"/>
  <c r="G62" i="37"/>
  <c r="E58" i="35" s="1"/>
  <c r="G63" i="37"/>
  <c r="E59" i="35" s="1"/>
  <c r="E65" i="37"/>
  <c r="A9" i="3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E32" i="31"/>
  <c r="E199" i="35"/>
  <c r="E200" i="35" s="1"/>
  <c r="F198" i="35" s="1"/>
  <c r="A16" i="35"/>
  <c r="A17" i="35" s="1"/>
  <c r="C25" i="35"/>
  <c r="C35" i="35" s="1"/>
  <c r="H25" i="35"/>
  <c r="C28" i="35"/>
  <c r="C38" i="35" s="1"/>
  <c r="G28" i="35"/>
  <c r="G29" i="35"/>
  <c r="C30" i="35"/>
  <c r="C40" i="35" s="1"/>
  <c r="G30" i="35"/>
  <c r="C31" i="35"/>
  <c r="C41" i="35" s="1"/>
  <c r="G31" i="35"/>
  <c r="G47" i="35"/>
  <c r="G48" i="35"/>
  <c r="G50" i="35" s="1"/>
  <c r="G51" i="35" s="1"/>
  <c r="I65" i="35"/>
  <c r="J65" i="35"/>
  <c r="G73" i="35"/>
  <c r="G74" i="35"/>
  <c r="G78" i="35"/>
  <c r="G84" i="35"/>
  <c r="D85" i="35"/>
  <c r="C89" i="35"/>
  <c r="C91" i="35"/>
  <c r="G97" i="35"/>
  <c r="D101" i="35"/>
  <c r="G101" i="35"/>
  <c r="I124" i="35"/>
  <c r="J124" i="35"/>
  <c r="H174" i="35"/>
  <c r="H175" i="35"/>
  <c r="H198" i="35"/>
  <c r="J199" i="35"/>
  <c r="I202" i="35"/>
  <c r="J202" i="35"/>
  <c r="D10" i="41"/>
  <c r="B22" i="41"/>
  <c r="B23" i="41"/>
  <c r="B24" i="41"/>
  <c r="A29" i="41"/>
  <c r="A30" i="41"/>
  <c r="A31" i="41" s="1"/>
  <c r="A32" i="41" s="1"/>
  <c r="A33" i="41" s="1"/>
  <c r="A34" i="41" s="1"/>
  <c r="B42" i="41"/>
  <c r="B44" i="41"/>
  <c r="B45" i="41"/>
  <c r="B46" i="41"/>
  <c r="G50" i="37"/>
  <c r="E45" i="35" s="1"/>
  <c r="J80" i="35"/>
  <c r="J123" i="35"/>
  <c r="H85" i="35"/>
  <c r="H91" i="35" s="1"/>
  <c r="J91" i="35" s="1"/>
  <c r="J201" i="35"/>
  <c r="G52" i="37"/>
  <c r="E47" i="35" s="1"/>
  <c r="G53" i="37"/>
  <c r="E48" i="35" s="1"/>
  <c r="E51" i="35"/>
  <c r="F65" i="37"/>
  <c r="E136" i="35"/>
  <c r="E56" i="37"/>
  <c r="J158" i="35"/>
  <c r="E28" i="37"/>
  <c r="N18" i="37"/>
  <c r="N20" i="37"/>
  <c r="M18" i="37"/>
  <c r="M20" i="37"/>
  <c r="O20" i="37"/>
  <c r="F18" i="37"/>
  <c r="F20" i="37"/>
  <c r="P20" i="37"/>
  <c r="P18" i="37"/>
  <c r="G20" i="37"/>
  <c r="G18" i="37"/>
  <c r="H20" i="37"/>
  <c r="I20" i="37"/>
  <c r="I18" i="37"/>
  <c r="J18" i="37"/>
  <c r="J20" i="37"/>
  <c r="K20" i="37"/>
  <c r="K18" i="37"/>
  <c r="L18" i="37"/>
  <c r="L20" i="37"/>
  <c r="N52" i="31"/>
  <c r="M30" i="37"/>
  <c r="M28" i="37"/>
  <c r="P30" i="37"/>
  <c r="P28" i="37"/>
  <c r="F30" i="37"/>
  <c r="F28" i="37"/>
  <c r="Q30" i="37"/>
  <c r="Q38" i="37"/>
  <c r="N30" i="37"/>
  <c r="N28" i="37"/>
  <c r="J30" i="37"/>
  <c r="J28" i="37"/>
  <c r="I30" i="37"/>
  <c r="I28" i="37"/>
  <c r="O30" i="37"/>
  <c r="O28" i="37"/>
  <c r="H28" i="37"/>
  <c r="H30" i="37"/>
  <c r="G28" i="37"/>
  <c r="G30" i="37"/>
  <c r="K30" i="37"/>
  <c r="K28" i="37"/>
  <c r="L30" i="37"/>
  <c r="L28" i="37"/>
  <c r="Q39" i="37" l="1"/>
  <c r="Q40" i="37"/>
  <c r="R19" i="37"/>
  <c r="E19" i="35" s="1"/>
  <c r="L39" i="37"/>
  <c r="I36" i="37"/>
  <c r="J44" i="24"/>
  <c r="J198" i="35"/>
  <c r="J24" i="24"/>
  <c r="G22" i="41" s="1"/>
  <c r="E45" i="41" s="1"/>
  <c r="M53" i="31"/>
  <c r="F39" i="37"/>
  <c r="P36" i="37"/>
  <c r="O39" i="37"/>
  <c r="G36" i="37"/>
  <c r="O37" i="37"/>
  <c r="J37" i="37"/>
  <c r="I39" i="37"/>
  <c r="H37" i="37"/>
  <c r="I37" i="37"/>
  <c r="I22" i="37"/>
  <c r="Q37" i="37"/>
  <c r="I40" i="37"/>
  <c r="G40" i="37"/>
  <c r="G39" i="37"/>
  <c r="L37" i="37"/>
  <c r="N37" i="37"/>
  <c r="K39" i="37"/>
  <c r="K38" i="37"/>
  <c r="K37" i="37"/>
  <c r="K40" i="37"/>
  <c r="H39" i="37"/>
  <c r="H36" i="37"/>
  <c r="E39" i="37"/>
  <c r="F15" i="41"/>
  <c r="G14" i="41" s="1"/>
  <c r="N36" i="37"/>
  <c r="E147" i="35"/>
  <c r="A18" i="35"/>
  <c r="A19" i="35" s="1"/>
  <c r="A20" i="35" s="1"/>
  <c r="J85" i="35"/>
  <c r="G22" i="37"/>
  <c r="P22" i="37"/>
  <c r="H22" i="37"/>
  <c r="M39" i="37"/>
  <c r="R41" i="37"/>
  <c r="G38" i="37"/>
  <c r="H40" i="37"/>
  <c r="O38" i="37"/>
  <c r="P37" i="37"/>
  <c r="L38" i="37"/>
  <c r="O40" i="37"/>
  <c r="P40" i="37"/>
  <c r="E21" i="35"/>
  <c r="J21" i="35" s="1"/>
  <c r="L22" i="37"/>
  <c r="L40" i="37"/>
  <c r="N39" i="37"/>
  <c r="E76" i="37"/>
  <c r="E20" i="37"/>
  <c r="F36" i="37"/>
  <c r="G37" i="37"/>
  <c r="G65" i="37"/>
  <c r="N22" i="37"/>
  <c r="E36" i="37"/>
  <c r="R15" i="37"/>
  <c r="E15" i="35" s="1"/>
  <c r="M22" i="37"/>
  <c r="K36" i="37"/>
  <c r="J36" i="37"/>
  <c r="Q36" i="37"/>
  <c r="P38" i="37"/>
  <c r="M37" i="37"/>
  <c r="F40" i="37"/>
  <c r="J39" i="37"/>
  <c r="J40" i="37"/>
  <c r="M40" i="37"/>
  <c r="P39" i="37"/>
  <c r="E37" i="37"/>
  <c r="L36" i="37"/>
  <c r="E61" i="35"/>
  <c r="F37" i="37"/>
  <c r="H38" i="37"/>
  <c r="M38" i="37"/>
  <c r="M36" i="37"/>
  <c r="O36" i="37"/>
  <c r="R29" i="37"/>
  <c r="E29" i="35" s="1"/>
  <c r="O22" i="37"/>
  <c r="N40" i="37"/>
  <c r="G56" i="37"/>
  <c r="E52" i="35"/>
  <c r="N54" i="31"/>
  <c r="J22" i="37"/>
  <c r="J38" i="37"/>
  <c r="F38" i="37"/>
  <c r="R18" i="37"/>
  <c r="F22" i="37"/>
  <c r="A18" i="37"/>
  <c r="J200" i="35"/>
  <c r="E107" i="35" s="1"/>
  <c r="J31" i="35"/>
  <c r="N38" i="37"/>
  <c r="R30" i="37"/>
  <c r="E30" i="35" s="1"/>
  <c r="H12" i="3"/>
  <c r="G13" i="3"/>
  <c r="H13" i="3" s="1"/>
  <c r="R28" i="37"/>
  <c r="E28" i="35" s="1"/>
  <c r="B22" i="3"/>
  <c r="A21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R16" i="37"/>
  <c r="K22" i="37"/>
  <c r="R27" i="37"/>
  <c r="E27" i="35" s="1"/>
  <c r="J165" i="35" s="1"/>
  <c r="I38" i="37"/>
  <c r="R26" i="37"/>
  <c r="E26" i="35" s="1"/>
  <c r="J155" i="35" s="1"/>
  <c r="Q22" i="37"/>
  <c r="E38" i="37"/>
  <c r="R17" i="37"/>
  <c r="D28" i="3" l="1"/>
  <c r="D30" i="3" s="1"/>
  <c r="D31" i="3" s="1"/>
  <c r="E39" i="35"/>
  <c r="E41" i="35"/>
  <c r="J41" i="35"/>
  <c r="G15" i="41"/>
  <c r="G12" i="41"/>
  <c r="H12" i="41" s="1"/>
  <c r="E22" i="41" s="1"/>
  <c r="G13" i="41"/>
  <c r="H13" i="41" s="1"/>
  <c r="E23" i="41" s="1"/>
  <c r="F23" i="41" s="1"/>
  <c r="H14" i="41"/>
  <c r="E24" i="41" s="1"/>
  <c r="F24" i="41" s="1"/>
  <c r="R39" i="37"/>
  <c r="E16" i="35"/>
  <c r="R36" i="37"/>
  <c r="A21" i="35"/>
  <c r="G23" i="41"/>
  <c r="H14" i="3"/>
  <c r="A19" i="37"/>
  <c r="J169" i="35"/>
  <c r="J166" i="35"/>
  <c r="R37" i="37"/>
  <c r="E17" i="35"/>
  <c r="E40" i="37"/>
  <c r="R20" i="37"/>
  <c r="E22" i="37"/>
  <c r="E18" i="35"/>
  <c r="R38" i="37"/>
  <c r="J157" i="35"/>
  <c r="J159" i="35" s="1"/>
  <c r="J160" i="35"/>
  <c r="D34" i="3"/>
  <c r="D33" i="3"/>
  <c r="D32" i="3"/>
  <c r="H15" i="41" l="1"/>
  <c r="E25" i="41"/>
  <c r="E43" i="41" s="1"/>
  <c r="E38" i="35"/>
  <c r="R40" i="37"/>
  <c r="E20" i="35"/>
  <c r="E40" i="35" s="1"/>
  <c r="G24" i="41"/>
  <c r="H24" i="41" s="1"/>
  <c r="H23" i="41"/>
  <c r="J147" i="35"/>
  <c r="E37" i="35"/>
  <c r="D22" i="35"/>
  <c r="A22" i="35"/>
  <c r="A23" i="35" s="1"/>
  <c r="A24" i="35" s="1"/>
  <c r="A25" i="35" s="1"/>
  <c r="R22" i="37"/>
  <c r="J162" i="35"/>
  <c r="H26" i="35" s="1"/>
  <c r="J26" i="35" s="1"/>
  <c r="A20" i="37"/>
  <c r="E89" i="35"/>
  <c r="E36" i="35"/>
  <c r="E22" i="35" l="1"/>
  <c r="E181" i="35"/>
  <c r="J139" i="35"/>
  <c r="E180" i="35"/>
  <c r="A21" i="37"/>
  <c r="E90" i="35"/>
  <c r="E92" i="35" s="1"/>
  <c r="E116" i="35" s="1"/>
  <c r="D35" i="35"/>
  <c r="A26" i="35"/>
  <c r="E182" i="35" l="1"/>
  <c r="F180" i="35" s="1"/>
  <c r="D22" i="37"/>
  <c r="A22" i="37"/>
  <c r="A23" i="37" s="1"/>
  <c r="A24" i="37" s="1"/>
  <c r="A25" i="37" s="1"/>
  <c r="A27" i="35"/>
  <c r="D36" i="35"/>
  <c r="E155" i="35"/>
  <c r="F181" i="35" l="1"/>
  <c r="F182" i="35" s="1"/>
  <c r="E165" i="35"/>
  <c r="A28" i="35"/>
  <c r="D37" i="35"/>
  <c r="D35" i="37"/>
  <c r="A26" i="37"/>
  <c r="A29" i="35" l="1"/>
  <c r="D38" i="35"/>
  <c r="A27" i="37"/>
  <c r="D36" i="37"/>
  <c r="A30" i="35" l="1"/>
  <c r="D39" i="35"/>
  <c r="A28" i="37"/>
  <c r="D37" i="37"/>
  <c r="A31" i="35" l="1"/>
  <c r="D40" i="35"/>
  <c r="A29" i="37"/>
  <c r="D38" i="37"/>
  <c r="A30" i="37" l="1"/>
  <c r="D39" i="37"/>
  <c r="A32" i="35"/>
  <c r="A33" i="35" s="1"/>
  <c r="A34" i="35" s="1"/>
  <c r="A35" i="35" s="1"/>
  <c r="D41" i="35"/>
  <c r="D32" i="35"/>
  <c r="A31" i="37" l="1"/>
  <c r="D40" i="37"/>
  <c r="A36" i="35"/>
  <c r="A37" i="35" s="1"/>
  <c r="A38" i="35" s="1"/>
  <c r="A39" i="35" s="1"/>
  <c r="A40" i="35" s="1"/>
  <c r="A41" i="35" s="1"/>
  <c r="A42" i="35" s="1"/>
  <c r="A43" i="35" l="1"/>
  <c r="A44" i="35" s="1"/>
  <c r="A45" i="35" s="1"/>
  <c r="D42" i="35"/>
  <c r="A32" i="37"/>
  <c r="A33" i="37" s="1"/>
  <c r="A34" i="37" s="1"/>
  <c r="A35" i="37" s="1"/>
  <c r="D41" i="37"/>
  <c r="D32" i="37"/>
  <c r="A36" i="37" l="1"/>
  <c r="A37" i="37" s="1"/>
  <c r="A38" i="37" s="1"/>
  <c r="A39" i="37" s="1"/>
  <c r="A40" i="37" s="1"/>
  <c r="A41" i="37" s="1"/>
  <c r="A42" i="37" s="1"/>
  <c r="A48" i="37" s="1"/>
  <c r="A49" i="37" s="1"/>
  <c r="A50" i="37" s="1"/>
  <c r="A46" i="35"/>
  <c r="A47" i="35" s="1"/>
  <c r="A48" i="35" s="1"/>
  <c r="A50" i="35" s="1"/>
  <c r="A51" i="35" s="1"/>
  <c r="A52" i="35" s="1"/>
  <c r="D52" i="35" l="1"/>
  <c r="A51" i="37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53" i="35"/>
  <c r="A54" i="35" s="1"/>
  <c r="A55" i="35" s="1"/>
  <c r="A56" i="35" s="1"/>
  <c r="A57" i="35" s="1"/>
  <c r="D42" i="37"/>
  <c r="A62" i="37" l="1"/>
  <c r="A63" i="37" s="1"/>
  <c r="A64" i="37" s="1"/>
  <c r="A65" i="37" s="1"/>
  <c r="D56" i="37"/>
  <c r="A58" i="35"/>
  <c r="A59" i="35" s="1"/>
  <c r="A60" i="35" s="1"/>
  <c r="A61" i="35" s="1"/>
  <c r="D61" i="35" l="1"/>
  <c r="A62" i="35"/>
  <c r="A63" i="35" s="1"/>
  <c r="D63" i="35"/>
  <c r="D65" i="37"/>
  <c r="A77" i="35" l="1"/>
  <c r="A78" i="35" l="1"/>
  <c r="A79" i="35" s="1"/>
  <c r="A80" i="35" s="1"/>
  <c r="A81" i="35" s="1"/>
  <c r="A82" i="35" s="1"/>
  <c r="A83" i="35" s="1"/>
  <c r="A84" i="35" s="1"/>
  <c r="A85" i="35" s="1"/>
  <c r="A86" i="35" s="1"/>
  <c r="C86" i="35" l="1"/>
  <c r="D57" i="35"/>
  <c r="A87" i="35"/>
  <c r="A88" i="35" s="1"/>
  <c r="A89" i="35" s="1"/>
  <c r="A90" i="35" l="1"/>
  <c r="A91" i="35" s="1"/>
  <c r="A92" i="35" s="1"/>
  <c r="C92" i="35"/>
  <c r="A93" i="35" l="1"/>
  <c r="A94" i="35" s="1"/>
  <c r="A95" i="35" s="1"/>
  <c r="A96" i="35" s="1"/>
  <c r="A97" i="35" l="1"/>
  <c r="A98" i="35" s="1"/>
  <c r="A99" i="35" s="1"/>
  <c r="A100" i="35" s="1"/>
  <c r="A101" i="35" s="1"/>
  <c r="A102" i="35" s="1"/>
  <c r="C102" i="35"/>
  <c r="A103" i="35" l="1"/>
  <c r="A104" i="35" s="1"/>
  <c r="A105" i="35" s="1"/>
  <c r="A106" i="35" s="1"/>
  <c r="A107" i="35" s="1"/>
  <c r="A108" i="35" l="1"/>
  <c r="A109" i="35" s="1"/>
  <c r="A110" i="35" s="1"/>
  <c r="A111" i="35" s="1"/>
  <c r="A112" i="35" l="1"/>
  <c r="A113" i="35" s="1"/>
  <c r="A114" i="35" s="1"/>
  <c r="D111" i="35" s="1"/>
  <c r="C116" i="35" l="1"/>
  <c r="A115" i="35"/>
  <c r="A116" i="35" s="1"/>
  <c r="A117" i="35" l="1"/>
  <c r="A118" i="35" s="1"/>
  <c r="A119" i="35" s="1"/>
  <c r="A120" i="35" s="1"/>
  <c r="C120" i="35"/>
  <c r="D52" i="31" l="1"/>
  <c r="A136" i="35"/>
  <c r="A137" i="35" l="1"/>
  <c r="A138" i="35" s="1"/>
  <c r="A139" i="35" s="1"/>
  <c r="A140" i="35" l="1"/>
  <c r="A141" i="35" s="1"/>
  <c r="C139" i="35"/>
  <c r="A142" i="35" l="1"/>
  <c r="A143" i="35" s="1"/>
  <c r="A144" i="35" s="1"/>
  <c r="A145" i="35" s="1"/>
  <c r="A146" i="35" s="1"/>
  <c r="A147" i="35" s="1"/>
  <c r="C141" i="35"/>
  <c r="A148" i="35" l="1"/>
  <c r="A149" i="35" s="1"/>
  <c r="A150" i="35" s="1"/>
  <c r="C152" i="35"/>
  <c r="C144" i="35"/>
  <c r="A151" i="35" l="1"/>
  <c r="A152" i="35" s="1"/>
  <c r="A153" i="35" s="1"/>
  <c r="A154" i="35" s="1"/>
  <c r="A155" i="35" s="1"/>
  <c r="C140" i="35"/>
  <c r="C142" i="35"/>
  <c r="C150" i="35"/>
  <c r="A156" i="35" l="1"/>
  <c r="A157" i="35" s="1"/>
  <c r="A158" i="35" l="1"/>
  <c r="C159" i="35"/>
  <c r="C157" i="35"/>
  <c r="A159" i="35" l="1"/>
  <c r="C160" i="35"/>
  <c r="A160" i="35" l="1"/>
  <c r="A161" i="35" s="1"/>
  <c r="A162" i="35" s="1"/>
  <c r="A163" i="35" s="1"/>
  <c r="A164" i="35" s="1"/>
  <c r="A165" i="35" s="1"/>
  <c r="C162" i="35"/>
  <c r="A166" i="35" l="1"/>
  <c r="A167" i="35" s="1"/>
  <c r="C158" i="35" l="1"/>
  <c r="C169" i="35"/>
  <c r="A168" i="35"/>
  <c r="A169" i="35" s="1"/>
  <c r="A170" i="35" s="1"/>
  <c r="A171" i="35" s="1"/>
  <c r="A172" i="35" s="1"/>
  <c r="A173" i="35" s="1"/>
  <c r="A174" i="35" s="1"/>
  <c r="C167" i="35"/>
  <c r="A175" i="35" l="1"/>
  <c r="A176" i="35" s="1"/>
  <c r="A177" i="35" s="1"/>
  <c r="A178" i="35" s="1"/>
  <c r="A179" i="35" s="1"/>
  <c r="A180" i="35" s="1"/>
  <c r="A181" i="35" l="1"/>
  <c r="A182" i="35" s="1"/>
  <c r="A183" i="35" s="1"/>
  <c r="A184" i="35" s="1"/>
  <c r="A185" i="35" s="1"/>
  <c r="A186" i="35" s="1"/>
  <c r="A187" i="35" s="1"/>
  <c r="A188" i="35" s="1"/>
  <c r="A189" i="35" s="1"/>
  <c r="A190" i="35" s="1"/>
  <c r="C176" i="35"/>
  <c r="A191" i="35" l="1"/>
  <c r="A192" i="35" s="1"/>
  <c r="A193" i="35" s="1"/>
  <c r="A194" i="35" s="1"/>
  <c r="E194" i="35"/>
  <c r="C182" i="35"/>
  <c r="D199" i="35" l="1"/>
  <c r="A195" i="35"/>
  <c r="A196" i="35" s="1"/>
  <c r="A197" i="35" s="1"/>
  <c r="A198" i="35" l="1"/>
  <c r="A199" i="35" s="1"/>
  <c r="A200" i="35" s="1"/>
  <c r="C114" i="35" s="1"/>
  <c r="C108" i="35" l="1"/>
  <c r="C200" i="35"/>
  <c r="I87" i="37" l="1"/>
  <c r="I25" i="37"/>
  <c r="L87" i="37"/>
  <c r="L25" i="37"/>
  <c r="E25" i="37"/>
  <c r="E87" i="37"/>
  <c r="H87" i="37"/>
  <c r="H25" i="37"/>
  <c r="Q87" i="37"/>
  <c r="K87" i="37"/>
  <c r="K25" i="37"/>
  <c r="F87" i="37"/>
  <c r="F25" i="37"/>
  <c r="J87" i="37"/>
  <c r="J25" i="37"/>
  <c r="G87" i="37"/>
  <c r="G25" i="37"/>
  <c r="M87" i="37" l="1"/>
  <c r="M25" i="37"/>
  <c r="G35" i="37"/>
  <c r="G42" i="37" s="1"/>
  <c r="G32" i="37"/>
  <c r="H35" i="37"/>
  <c r="H42" i="37" s="1"/>
  <c r="H32" i="37"/>
  <c r="H149" i="37"/>
  <c r="H150" i="37" s="1"/>
  <c r="G149" i="37"/>
  <c r="G150" i="37" s="1"/>
  <c r="E149" i="37"/>
  <c r="E150" i="37" s="1"/>
  <c r="P149" i="37"/>
  <c r="P150" i="37" s="1"/>
  <c r="J149" i="37"/>
  <c r="J150" i="37" s="1"/>
  <c r="L149" i="37"/>
  <c r="L150" i="37" s="1"/>
  <c r="Q149" i="37"/>
  <c r="Q150" i="37" s="1"/>
  <c r="F149" i="37"/>
  <c r="F150" i="37" s="1"/>
  <c r="N149" i="37"/>
  <c r="N150" i="37" s="1"/>
  <c r="K149" i="37"/>
  <c r="K150" i="37" s="1"/>
  <c r="M149" i="37"/>
  <c r="M150" i="37" s="1"/>
  <c r="I149" i="37"/>
  <c r="I150" i="37" s="1"/>
  <c r="O149" i="37"/>
  <c r="O150" i="37" s="1"/>
  <c r="E35" i="37"/>
  <c r="E42" i="37" s="1"/>
  <c r="E32" i="37"/>
  <c r="J32" i="37"/>
  <c r="J35" i="37"/>
  <c r="J42" i="37" s="1"/>
  <c r="F35" i="37"/>
  <c r="F42" i="37" s="1"/>
  <c r="F32" i="37"/>
  <c r="L35" i="37"/>
  <c r="L42" i="37" s="1"/>
  <c r="L32" i="37"/>
  <c r="N87" i="37"/>
  <c r="N25" i="37"/>
  <c r="Q35" i="37"/>
  <c r="Q42" i="37" s="1"/>
  <c r="Q32" i="37"/>
  <c r="I35" i="37"/>
  <c r="I42" i="37" s="1"/>
  <c r="I32" i="37"/>
  <c r="P87" i="37"/>
  <c r="P25" i="37"/>
  <c r="K35" i="37"/>
  <c r="K42" i="37" s="1"/>
  <c r="K32" i="37"/>
  <c r="O87" i="37"/>
  <c r="O25" i="37"/>
  <c r="R25" i="37" l="1"/>
  <c r="R32" i="37" s="1"/>
  <c r="P35" i="37"/>
  <c r="P42" i="37" s="1"/>
  <c r="P32" i="37"/>
  <c r="N35" i="37"/>
  <c r="N42" i="37" s="1"/>
  <c r="N32" i="37"/>
  <c r="M35" i="37"/>
  <c r="M42" i="37" s="1"/>
  <c r="M32" i="37"/>
  <c r="O35" i="37"/>
  <c r="O42" i="37" s="1"/>
  <c r="O32" i="37"/>
  <c r="R35" i="37" l="1"/>
  <c r="R42" i="37" s="1"/>
  <c r="E25" i="35"/>
  <c r="E32" i="35" s="1"/>
  <c r="E42" i="35" s="1"/>
  <c r="J142" i="35"/>
  <c r="J140" i="35"/>
  <c r="J141" i="35" s="1"/>
  <c r="J148" i="35"/>
  <c r="J152" i="35"/>
  <c r="E35" i="35" l="1"/>
  <c r="J144" i="35"/>
  <c r="F173" i="35" s="1"/>
  <c r="H173" i="35" s="1"/>
  <c r="H176" i="35" s="1"/>
  <c r="J176" i="35" s="1"/>
  <c r="H59" i="35" l="1"/>
  <c r="J59" i="35" s="1"/>
  <c r="H77" i="35"/>
  <c r="H89" i="35"/>
  <c r="J89" i="35" s="1"/>
  <c r="H16" i="35"/>
  <c r="J16" i="35" s="1"/>
  <c r="J36" i="35" s="1"/>
  <c r="G180" i="35"/>
  <c r="H180" i="35" s="1"/>
  <c r="J182" i="35" s="1"/>
  <c r="H20" i="35" s="1"/>
  <c r="J77" i="35"/>
  <c r="H78" i="35"/>
  <c r="J78" i="35" s="1"/>
  <c r="H84" i="35"/>
  <c r="J84" i="35" s="1"/>
  <c r="H18" i="35"/>
  <c r="H96" i="35"/>
  <c r="H58" i="35" l="1"/>
  <c r="J58" i="35" s="1"/>
  <c r="H97" i="35"/>
  <c r="J97" i="35" s="1"/>
  <c r="J96" i="35"/>
  <c r="H28" i="35"/>
  <c r="J18" i="35"/>
  <c r="H19" i="35"/>
  <c r="J19" i="35" s="1"/>
  <c r="J20" i="35"/>
  <c r="H30" i="35"/>
  <c r="J30" i="35" s="1"/>
  <c r="J40" i="35" l="1"/>
  <c r="J22" i="35"/>
  <c r="H22" i="35" s="1"/>
  <c r="J28" i="35"/>
  <c r="H29" i="35"/>
  <c r="J29" i="35" s="1"/>
  <c r="J39" i="35" s="1"/>
  <c r="J79" i="35" l="1"/>
  <c r="H90" i="35"/>
  <c r="J90" i="35" s="1"/>
  <c r="J92" i="35" s="1"/>
  <c r="H81" i="35"/>
  <c r="H83" i="35"/>
  <c r="J83" i="35" s="1"/>
  <c r="J32" i="35"/>
  <c r="H60" i="35"/>
  <c r="J60" i="35" s="1"/>
  <c r="H99" i="35"/>
  <c r="J38" i="35"/>
  <c r="J42" i="35" s="1"/>
  <c r="H42" i="35" s="1"/>
  <c r="H47" i="35" l="1"/>
  <c r="H46" i="35"/>
  <c r="J46" i="35" s="1"/>
  <c r="J99" i="35"/>
  <c r="H101" i="35"/>
  <c r="J101" i="35" s="1"/>
  <c r="H82" i="35"/>
  <c r="J82" i="35" s="1"/>
  <c r="J81" i="35"/>
  <c r="J86" i="35"/>
  <c r="J57" i="35" s="1"/>
  <c r="J61" i="35" s="1"/>
  <c r="J102" i="35" l="1"/>
  <c r="J47" i="35"/>
  <c r="H48" i="35"/>
  <c r="J48" i="35" s="1"/>
  <c r="H50" i="35"/>
  <c r="J50" i="35" l="1"/>
  <c r="H51" i="35"/>
  <c r="J51" i="35" s="1"/>
  <c r="J52" i="35" l="1"/>
  <c r="J63" i="35" s="1"/>
  <c r="J113" i="35" l="1"/>
  <c r="J111" i="35" s="1"/>
  <c r="J116" i="35" s="1"/>
  <c r="J120" i="35" s="1"/>
  <c r="M52" i="31" s="1"/>
  <c r="M54" i="31" s="1"/>
  <c r="D22" i="41" l="1"/>
  <c r="D25" i="41" s="1"/>
  <c r="E42" i="41" s="1"/>
  <c r="F22" i="41" l="1"/>
  <c r="F25" i="41" s="1"/>
  <c r="E44" i="41" s="1"/>
  <c r="E46" i="41" s="1"/>
  <c r="H22" i="41" l="1"/>
  <c r="H25" i="41" s="1"/>
  <c r="F28" i="41" s="1"/>
  <c r="F30" i="41" s="1"/>
  <c r="F31" i="41" s="1"/>
  <c r="F33" i="41" s="1"/>
  <c r="F29" i="41" l="1"/>
  <c r="F32" i="41"/>
  <c r="F34" i="41" s="1"/>
</calcChain>
</file>

<file path=xl/sharedStrings.xml><?xml version="1.0" encoding="utf-8"?>
<sst xmlns="http://schemas.openxmlformats.org/spreadsheetml/2006/main" count="878" uniqueCount="498">
  <si>
    <t>Date: May 31, 2026</t>
  </si>
  <si>
    <t>Joint Tariff Rates</t>
  </si>
  <si>
    <t>Common Use AC Facilities</t>
  </si>
  <si>
    <t>Allocation of the Revenue Credits to the Common Use AC Facilities:</t>
  </si>
  <si>
    <t>Revenue Credits - Non-Firm transmission revenue</t>
  </si>
  <si>
    <t>Components of the Annual Rate (lines 6-8)</t>
  </si>
  <si>
    <t>%</t>
  </si>
  <si>
    <t>Allocated Revenue Credits</t>
  </si>
  <si>
    <t>Black Hills</t>
  </si>
  <si>
    <t>Basin Electric</t>
  </si>
  <si>
    <t>PRECorp</t>
  </si>
  <si>
    <t>Total</t>
  </si>
  <si>
    <t>Common Use AC Facilities Rates:</t>
  </si>
  <si>
    <t>TRUE UP OF RATES FOR CALENDAR YEAR 2025</t>
  </si>
  <si>
    <t>Entity</t>
  </si>
  <si>
    <t>Component Annual Revenue Requirements</t>
  </si>
  <si>
    <t>Allocated Revenue Credits (lines 2-4)</t>
  </si>
  <si>
    <t>Net Revenue Requirements</t>
  </si>
  <si>
    <t>Actual 2025 Load</t>
  </si>
  <si>
    <t>Annual Rate</t>
  </si>
  <si>
    <t>Note:  to address the circular reference</t>
  </si>
  <si>
    <t>Circular Reference</t>
  </si>
  <si>
    <t>copy and paste values from cells H22:H24</t>
  </si>
  <si>
    <t>to L22:L24 until the rates in H22:H24 no</t>
  </si>
  <si>
    <t>longer change.</t>
  </si>
  <si>
    <t>Rates:</t>
  </si>
  <si>
    <t>Annual</t>
  </si>
  <si>
    <t>/kW-year</t>
  </si>
  <si>
    <t>Monthly</t>
  </si>
  <si>
    <t>/kW-month</t>
  </si>
  <si>
    <t>Weekly</t>
  </si>
  <si>
    <t>/kW-week</t>
  </si>
  <si>
    <t>Daily On-Peak</t>
  </si>
  <si>
    <t>6 days/week</t>
  </si>
  <si>
    <t>/kW-day</t>
  </si>
  <si>
    <t>Daily Off-Peak</t>
  </si>
  <si>
    <t>7 days/week</t>
  </si>
  <si>
    <t>Hourly On-Peak</t>
  </si>
  <si>
    <t>16 hours/day</t>
  </si>
  <si>
    <t>/kW-hour</t>
  </si>
  <si>
    <t>Hourly Off-Peak</t>
  </si>
  <si>
    <t>24 hours/day</t>
  </si>
  <si>
    <t>Check:</t>
  </si>
  <si>
    <t>Revenue Credits</t>
  </si>
  <si>
    <t>Date</t>
  </si>
  <si>
    <t>Service Year</t>
  </si>
  <si>
    <t>Cost of Service</t>
  </si>
  <si>
    <t xml:space="preserve"> Utilizing FERC Form 1 Data</t>
  </si>
  <si>
    <t>Black Hills Power, Inc.</t>
  </si>
  <si>
    <t>(1)</t>
  </si>
  <si>
    <t>(2)</t>
  </si>
  <si>
    <t>(3)</t>
  </si>
  <si>
    <t xml:space="preserve"> </t>
  </si>
  <si>
    <t>(4)</t>
  </si>
  <si>
    <t>(5)</t>
  </si>
  <si>
    <t>Form No. 1</t>
  </si>
  <si>
    <t xml:space="preserve">      Allocator</t>
  </si>
  <si>
    <t>Transmission</t>
  </si>
  <si>
    <t>Line</t>
  </si>
  <si>
    <t>Page, Line, Col.</t>
  </si>
  <si>
    <t>Company Total</t>
  </si>
  <si>
    <t xml:space="preserve">        (page 4)</t>
  </si>
  <si>
    <t>(Col 3 times Col 4)</t>
  </si>
  <si>
    <t>No.</t>
  </si>
  <si>
    <t>RATE BASE:</t>
  </si>
  <si>
    <t>GROSS PLANT IN SERVICE</t>
  </si>
  <si>
    <t>(Note H)</t>
  </si>
  <si>
    <t xml:space="preserve">  Production</t>
  </si>
  <si>
    <t>205.46.g</t>
  </si>
  <si>
    <t>NA</t>
  </si>
  <si>
    <t xml:space="preserve">  Transmission</t>
  </si>
  <si>
    <t>207.58.g</t>
  </si>
  <si>
    <t>TP</t>
  </si>
  <si>
    <t xml:space="preserve">  Distribution</t>
  </si>
  <si>
    <t>207.75.g</t>
  </si>
  <si>
    <t xml:space="preserve">  General &amp; Intangible</t>
  </si>
  <si>
    <t>See Workpaper 4</t>
  </si>
  <si>
    <t>W/S</t>
  </si>
  <si>
    <t xml:space="preserve">  Allocated Plant</t>
  </si>
  <si>
    <t>See Workpaper 5</t>
  </si>
  <si>
    <t xml:space="preserve">  Communication System</t>
  </si>
  <si>
    <t>T&amp;D</t>
  </si>
  <si>
    <t xml:space="preserve">  Common</t>
  </si>
  <si>
    <t>356.1</t>
  </si>
  <si>
    <t>CE</t>
  </si>
  <si>
    <t>TOTAL GROSS PLANT</t>
  </si>
  <si>
    <t>GP=</t>
  </si>
  <si>
    <t>ACCUMULATED DEPRECIATION</t>
  </si>
  <si>
    <t>219.20-24.c</t>
  </si>
  <si>
    <t>219.25.c</t>
  </si>
  <si>
    <t>TPA</t>
  </si>
  <si>
    <t>219.26.c</t>
  </si>
  <si>
    <t>219.28.c</t>
  </si>
  <si>
    <t xml:space="preserve">TOTAL ACCUM. DEPRECIATION </t>
  </si>
  <si>
    <t>NET PLANT IN SERVICE</t>
  </si>
  <si>
    <t>Auto</t>
  </si>
  <si>
    <t xml:space="preserve">  Distribution </t>
  </si>
  <si>
    <t xml:space="preserve">TOTAL NET PLANT </t>
  </si>
  <si>
    <t>NP=</t>
  </si>
  <si>
    <t xml:space="preserve">ADJUSTMENTS TO RATE BASE      </t>
  </si>
  <si>
    <t>(Notes A &amp; H)</t>
  </si>
  <si>
    <t xml:space="preserve">  Account No. 281 (enter negative)</t>
  </si>
  <si>
    <t>273.8.k</t>
  </si>
  <si>
    <t>zero</t>
  </si>
  <si>
    <t xml:space="preserve">  Account No. 282 (enter negative)</t>
  </si>
  <si>
    <t>275.2.k</t>
  </si>
  <si>
    <t>NP</t>
  </si>
  <si>
    <t xml:space="preserve">  Account No. 283 (enter negative)</t>
  </si>
  <si>
    <t>277.9.k</t>
  </si>
  <si>
    <t xml:space="preserve">  Account No. 190 </t>
  </si>
  <si>
    <t>234.8.c</t>
  </si>
  <si>
    <t>34a</t>
  </si>
  <si>
    <t xml:space="preserve">  EDIT/DDIT (Net) - Transmission Only</t>
  </si>
  <si>
    <t>See Worksheet EDIT-DDIT-Tracking (line 358, col (j))</t>
  </si>
  <si>
    <t xml:space="preserve">  Account No. 255 (enter negative)</t>
  </si>
  <si>
    <t>267.8.h</t>
  </si>
  <si>
    <t xml:space="preserve">  FAS 109 Adjustment</t>
  </si>
  <si>
    <t>(232.1.f - 278.1.f - 278.3.f)*.35</t>
  </si>
  <si>
    <t>TOTAL ADJUSTMENTS</t>
  </si>
  <si>
    <t xml:space="preserve">LAND HELD FOR FUTURE USE </t>
  </si>
  <si>
    <t>214.x.d  (Notes B &amp; H)</t>
  </si>
  <si>
    <t>DA</t>
  </si>
  <si>
    <t>WORKING CAPITAL  (Notes C &amp; H)</t>
  </si>
  <si>
    <t xml:space="preserve">  CWC  </t>
  </si>
  <si>
    <t xml:space="preserve">  Materials &amp; Supplies</t>
  </si>
  <si>
    <t>227.5.c</t>
  </si>
  <si>
    <t>227.8.c</t>
  </si>
  <si>
    <t xml:space="preserve">  Prepayments (Account 165)</t>
  </si>
  <si>
    <t>111.57.d</t>
  </si>
  <si>
    <t>GP</t>
  </si>
  <si>
    <t xml:space="preserve">TOTAL WORKING CAPITAL </t>
  </si>
  <si>
    <t xml:space="preserve">TRANSMISSION RATE BASE </t>
  </si>
  <si>
    <t>O&amp;M</t>
  </si>
  <si>
    <t xml:space="preserve">  Transmission </t>
  </si>
  <si>
    <t>321.112.b</t>
  </si>
  <si>
    <t xml:space="preserve">    Less: Account 565 and 561</t>
  </si>
  <si>
    <t>321.84-92.b &amp; 96.b</t>
  </si>
  <si>
    <t xml:space="preserve">  A&amp;G</t>
  </si>
  <si>
    <t>323.194.b</t>
  </si>
  <si>
    <t xml:space="preserve">    Less FERC Annual Fees  (Note D)</t>
  </si>
  <si>
    <t>350.1.b</t>
  </si>
  <si>
    <t xml:space="preserve">    Plus:  Fixed PBOP expense</t>
  </si>
  <si>
    <t xml:space="preserve"> (Note I)</t>
  </si>
  <si>
    <t xml:space="preserve">    Less:  Actual PBOP expense</t>
  </si>
  <si>
    <t xml:space="preserve"> (Company Records)</t>
  </si>
  <si>
    <t xml:space="preserve">    Less: EPRI &amp; Reg. Comm. Exp. &amp; Non-safety  Ad. (Note E)</t>
  </si>
  <si>
    <t xml:space="preserve">    Plus Transmission Related Reg. Comm.  Exp. (Note E)</t>
  </si>
  <si>
    <t>DEPRECIATION EXPENSE  (Note I)</t>
  </si>
  <si>
    <t>336.7.b</t>
  </si>
  <si>
    <t xml:space="preserve">  General &amp; intangible</t>
  </si>
  <si>
    <t>336.10.b &amp; 336.1.d&amp;e</t>
  </si>
  <si>
    <t>336.11.b</t>
  </si>
  <si>
    <t>TAXES OTHER THAN INCOME TAXES  (Note F)</t>
  </si>
  <si>
    <t xml:space="preserve">  LABOR RELATED</t>
  </si>
  <si>
    <t xml:space="preserve">          Payroll</t>
  </si>
  <si>
    <t>263.3i, 263.4i, 263.12i</t>
  </si>
  <si>
    <t xml:space="preserve">          Highway and vehicle</t>
  </si>
  <si>
    <t>263.i</t>
  </si>
  <si>
    <t xml:space="preserve">  PLANT RELATED</t>
  </si>
  <si>
    <t xml:space="preserve">         Property</t>
  </si>
  <si>
    <t>263.23i</t>
  </si>
  <si>
    <t xml:space="preserve">         Gross Receipts</t>
  </si>
  <si>
    <t xml:space="preserve">         Other</t>
  </si>
  <si>
    <t xml:space="preserve">INCOME TAXES          </t>
  </si>
  <si>
    <t xml:space="preserve"> (Note G)</t>
  </si>
  <si>
    <t xml:space="preserve">     T=1 - {[(1 - SIT) * (1 - FIT)] / (1 - SIT * FIT * p)} =</t>
  </si>
  <si>
    <t xml:space="preserve">     CIT=(T/1-T) * (1-(WCLTD/R)) =</t>
  </si>
  <si>
    <t xml:space="preserve">       and FIT, SIT &amp; p are as given in footnote G.</t>
  </si>
  <si>
    <t>Amortization of EDIT/DDIT (Net) (Note J)</t>
  </si>
  <si>
    <t>See Worksheet EDIT-DDIT-Tracking (line 355, col (h))</t>
  </si>
  <si>
    <t>Total Income Taxes</t>
  </si>
  <si>
    <t xml:space="preserve">RETURN </t>
  </si>
  <si>
    <t>ESTIMATED REVENUE REQUIREMENT (pg. 3 line 95)</t>
  </si>
  <si>
    <t>SUPPORTING CALCULATIONS AND NOTES</t>
  </si>
  <si>
    <t>TRANSMISSION PLANT INCLUDED IN JOINT TARIFF RATES</t>
  </si>
  <si>
    <t>Reference</t>
  </si>
  <si>
    <t xml:space="preserve">Total transmission plant </t>
  </si>
  <si>
    <t xml:space="preserve">Less transmission plant excluded from Common Use Facilities </t>
  </si>
  <si>
    <t>Company Records</t>
  </si>
  <si>
    <t xml:space="preserve">Less transmission plant included in Ancillary Services </t>
  </si>
  <si>
    <t>TP=</t>
  </si>
  <si>
    <t>DISTRIBUTION PLANT INCLUDED IN JOINT TARIFF RATES</t>
  </si>
  <si>
    <t xml:space="preserve">Total distribution plant    </t>
  </si>
  <si>
    <t xml:space="preserve">Less distribution plant excluded from Common Use Facilities </t>
  </si>
  <si>
    <t xml:space="preserve">Less distribution plant included in Ancillary Services </t>
  </si>
  <si>
    <t>DP=</t>
  </si>
  <si>
    <t>Total Transmission Accumulated Depreciation</t>
  </si>
  <si>
    <t xml:space="preserve">Less transmission accumulated depreciation excluded from Common Use Facilities </t>
  </si>
  <si>
    <t>TPA=</t>
  </si>
  <si>
    <t>Total Distribution Accumulated Depreciation</t>
  </si>
  <si>
    <t>Less distribution accumulated depreciation excluded from Common Use Facilities (Company Records)</t>
  </si>
  <si>
    <t>DPA=</t>
  </si>
  <si>
    <t>WAGES &amp; SALARY ALLOCATOR   (W&amp;S)</t>
  </si>
  <si>
    <t>Form 1 Reference</t>
  </si>
  <si>
    <t>$</t>
  </si>
  <si>
    <t>Allocation</t>
  </si>
  <si>
    <t>354.21.b</t>
  </si>
  <si>
    <t xml:space="preserve">  Total Wages Expense</t>
  </si>
  <si>
    <t>354.28.b</t>
  </si>
  <si>
    <t>W&amp;S Allocator</t>
  </si>
  <si>
    <t xml:space="preserve">  Less:  A&amp;G Wages</t>
  </si>
  <si>
    <t>354.27.b</t>
  </si>
  <si>
    <t>($ / Allocation)</t>
  </si>
  <si>
    <t>WS=</t>
  </si>
  <si>
    <t>TRANSMISSION &amp; DISTRIBUTION ALLOCATOR (T&amp;D)</t>
  </si>
  <si>
    <t>Transmission Net Plant</t>
  </si>
  <si>
    <t>line 22</t>
  </si>
  <si>
    <t>Distribution Net Plant</t>
  </si>
  <si>
    <t>line 23</t>
  </si>
  <si>
    <t xml:space="preserve">T&amp;D = </t>
  </si>
  <si>
    <t>RETURN (R)</t>
  </si>
  <si>
    <t>Long Term Interest</t>
  </si>
  <si>
    <t>117, sum of 62.c through 66.c</t>
  </si>
  <si>
    <t>Preferred Dividends</t>
  </si>
  <si>
    <t>118.29.c (positive number)</t>
  </si>
  <si>
    <t>Development of Common Stock:</t>
  </si>
  <si>
    <t>Proprietary Capital</t>
  </si>
  <si>
    <t>112.16.c</t>
  </si>
  <si>
    <t>Less:  Preferred Stock</t>
  </si>
  <si>
    <t>112.3.c</t>
  </si>
  <si>
    <t>Less:  Undistributed Earnings</t>
  </si>
  <si>
    <t>112.12.c (enter negative)</t>
  </si>
  <si>
    <t>Less:  Accum Other Comp Inc</t>
  </si>
  <si>
    <t>112.15.c (enter negative)</t>
  </si>
  <si>
    <t xml:space="preserve">   Adjusted Common Stock</t>
  </si>
  <si>
    <t>Cost</t>
  </si>
  <si>
    <t>Weighted</t>
  </si>
  <si>
    <t xml:space="preserve">  Long Term Debt</t>
  </si>
  <si>
    <t xml:space="preserve">112.24.c </t>
  </si>
  <si>
    <t xml:space="preserve">  Preferred Stock </t>
  </si>
  <si>
    <t xml:space="preserve">  Adjusted Common Stock</t>
  </si>
  <si>
    <t>(Note I)</t>
  </si>
  <si>
    <t xml:space="preserve">R = </t>
  </si>
  <si>
    <t>Note</t>
  </si>
  <si>
    <t>Letter</t>
  </si>
  <si>
    <t>A</t>
  </si>
  <si>
    <t xml:space="preserve">The balances in Accounts 281, 282, 283 and 190, as adjusted by any amounts in contra accounts identified as regulatory assets </t>
  </si>
  <si>
    <t xml:space="preserve">  or liabilities related to FASB 109.  Balance of Account 255 is reduced by prior flow through and excluded if the utility </t>
  </si>
  <si>
    <t xml:space="preserve">  chose to utilize amortization of tax credits against taxable income.  Account 281 is not allocated.</t>
  </si>
  <si>
    <t>B</t>
  </si>
  <si>
    <t>Identified in Form 1 as being only transmission related.</t>
  </si>
  <si>
    <t>C</t>
  </si>
  <si>
    <t>Cash Working Capital assigned to transmission is one-eighth of O&amp;M allocated to transmission at line 42, column 5.</t>
  </si>
  <si>
    <t>D</t>
  </si>
  <si>
    <t xml:space="preserve">The FERC's annual charges for the year assessed the Transmission Owner for service since annual charges assessed directly under this tariff. </t>
  </si>
  <si>
    <t>E</t>
  </si>
  <si>
    <t>Line 1 - EPRI Annual Membership Dues listed in Form 1 at 335.1.b, all Regulatory Commission Expenses itemized at 351.h, and non-safety</t>
  </si>
  <si>
    <t xml:space="preserve">   related advertising included in Account 930.1.  </t>
  </si>
  <si>
    <t>F</t>
  </si>
  <si>
    <t>Includes only FICA, unemployment, highway, property, gross receipts, and other assessments charged in the current year.</t>
  </si>
  <si>
    <t xml:space="preserve">  Taxes related to income are excluded.  Gross receipts taxes are not included in transmission revenue requirement in rates, </t>
  </si>
  <si>
    <t xml:space="preserve">   since they are recovered elsewhere.</t>
  </si>
  <si>
    <t>G</t>
  </si>
  <si>
    <t>The currently effective income tax rate,  where FIT is the Federal income tax rate; SIT is the State income tax rate, and p =</t>
  </si>
  <si>
    <t xml:space="preserve">  "the percentage of federal income tax deductible for state income taxes".  If the utility is taxed in more than one state it must attach a</t>
  </si>
  <si>
    <t xml:space="preserve">  work paper showing the name of each state and how the blended or composite SIT was developed.  Furthermore, a utility that</t>
  </si>
  <si>
    <t xml:space="preserve">  elected to utilize amortization of tax credits against taxable income, rather than book tax credits to Account No. 255 and reduce </t>
  </si>
  <si>
    <t xml:space="preserve">  rate base, must reduce its income tax expense by the amount of the Amortized Investment Tax Credit (Form 1, 266.8.f)</t>
  </si>
  <si>
    <t xml:space="preserve">  multiplied by (1/1-T) (page 7, line 26).</t>
  </si>
  <si>
    <t xml:space="preserve">         Inputs Required:</t>
  </si>
  <si>
    <t>FIT =</t>
  </si>
  <si>
    <t>SIT=</t>
  </si>
  <si>
    <t xml:space="preserve">  (State Income Tax Rate or Composite SIT)</t>
  </si>
  <si>
    <t>p =</t>
  </si>
  <si>
    <t xml:space="preserve">  (percent of federal income tax deductible for state purposes)</t>
  </si>
  <si>
    <t>H</t>
  </si>
  <si>
    <t>For the True-Up calculation only, Gross Plant, Accumulated Depreciation and Net Plant are based on the 13-monthly plant balances.</t>
  </si>
  <si>
    <t>All other rate base items are based on the average of the beginning of the year and end of year balances.</t>
  </si>
  <si>
    <t>I</t>
  </si>
  <si>
    <t>Depreciation rates, PBOP, ROE, and Capital Structure are fixed amounts that can be changed only through a Section 205 filing.</t>
  </si>
  <si>
    <t>J</t>
  </si>
  <si>
    <t>The amounts reported in this line include the applicable tax gross up.  Column 3 Company Total will not be populated as allocation to transmission occurs on Worksheet EDIT-DDIT-Tracking.</t>
  </si>
  <si>
    <t>Capital True Up</t>
  </si>
  <si>
    <t>The True-Up Adjustment component of the Formula Rate for each Rate Year beginning with rates effective January 1, 2010 shall be determined as follows:</t>
  </si>
  <si>
    <t>(i)</t>
  </si>
  <si>
    <t>Beginning with 2009, no later than June 1 of each year, Black Hills Power shall recalculate an adjusted Annual</t>
  </si>
  <si>
    <t>Transmission Revenue Requirement (ATRR) for the previous calendar year based on its actual costs as reflected</t>
  </si>
  <si>
    <t>in its Form No. 1 and its books and records for that calendar year, consistent with FERC</t>
  </si>
  <si>
    <t>accounting policies.</t>
  </si>
  <si>
    <t>(ii)</t>
  </si>
  <si>
    <t>Black Hills Power shall determine the difference between the recalculated ATRR as determined in paragraph (i)</t>
  </si>
  <si>
    <t>above, and ATRR based on projected costs for the previous calendar year (True-Up Adj before Interest).</t>
  </si>
  <si>
    <t>(iii)</t>
  </si>
  <si>
    <t>The True-Up Adjustment shall be determined as follows:</t>
  </si>
  <si>
    <t>True-Up Adjustment equals the True-Up Adjustment before Interest multiplied by (1+i)^18 months.</t>
  </si>
  <si>
    <t>Where:</t>
  </si>
  <si>
    <t>i =</t>
  </si>
  <si>
    <t>Sum of (the monthly rates for the 4 months ending April 30 of the current year and</t>
  </si>
  <si>
    <t>the monthly rates for the 12 months ending December 31 of the preceding year)</t>
  </si>
  <si>
    <t>divided by 16 months.</t>
  </si>
  <si>
    <t>Summary of Formula Rate Process including True-Up Adjustment  (Using 2009 as an example)</t>
  </si>
  <si>
    <t>Month</t>
  </si>
  <si>
    <t>Year</t>
  </si>
  <si>
    <t>Action</t>
  </si>
  <si>
    <t>True-Up Calculation:</t>
  </si>
  <si>
    <t>Step 1</t>
  </si>
  <si>
    <t>May</t>
  </si>
  <si>
    <t>TO populates the formula with 2009 Actual data and calculates the 2009 True-up Adjustment before Interest</t>
  </si>
  <si>
    <t>Step 2</t>
  </si>
  <si>
    <t>TO compares the revenue received during 2009 to the True-Up calculation done above</t>
  </si>
  <si>
    <t>Step 3</t>
  </si>
  <si>
    <t>TO calculates the Interest to include in the 2009 True-Up Adjustment</t>
  </si>
  <si>
    <t>Step 4</t>
  </si>
  <si>
    <t xml:space="preserve">July </t>
  </si>
  <si>
    <t>TO either collects or pays the lump-sum adjustment calculated above</t>
  </si>
  <si>
    <t>Annual Rate Calculation:</t>
  </si>
  <si>
    <t>Step 5</t>
  </si>
  <si>
    <t>September</t>
  </si>
  <si>
    <t>TO populates the formula with 2009 Actual data plus known additions placed in service (over $1,000,000) for 2010 (See WP 2 for an example)</t>
  </si>
  <si>
    <t>Step 6</t>
  </si>
  <si>
    <t>TO estimates transmission Capital Additions (over $1,000,000) for 2011 expected to be in service in 2011 (See WP 3 for an example)</t>
  </si>
  <si>
    <t>Step 7</t>
  </si>
  <si>
    <t xml:space="preserve">TO adds weighted Capital Adds, Accumulated Depreciation and Depreciation Expense to plant in service in Formula </t>
  </si>
  <si>
    <t>Step 8</t>
  </si>
  <si>
    <t>Post results of Step 7 on web site</t>
  </si>
  <si>
    <t>Step 9</t>
  </si>
  <si>
    <t>October</t>
  </si>
  <si>
    <t>TO to hold an open meeting for it's customers and representatives to explain the formula rate projections and cost details</t>
  </si>
  <si>
    <t>Step 10</t>
  </si>
  <si>
    <t>January</t>
  </si>
  <si>
    <t>Results of Step 7 go into effect</t>
  </si>
  <si>
    <t>Note 1:</t>
  </si>
  <si>
    <t>To the extent possible each input into the Formula Rate used to calculate the actual ATRR included in the True-Up</t>
  </si>
  <si>
    <t>Adjustment either will be taken directly from the FERC Form No. 1 or will be reconcilable to the FERC Form No. 1</t>
  </si>
  <si>
    <t xml:space="preserve">by the application of clearly identified and supported information.  If the reconciliation is provided through a </t>
  </si>
  <si>
    <t>worksheet included in the filed Formula Rate template, the inputs to the worksheet must meet this transparency</t>
  </si>
  <si>
    <t>standard, and doing so will satisfy this transparency requirement for the amounts that are output from the</t>
  </si>
  <si>
    <t>worksheet and input to the main body of the Formula Rate.</t>
  </si>
  <si>
    <t>Complete for Each Calendar Year beginning in 2009</t>
  </si>
  <si>
    <t>Schedule 1</t>
  </si>
  <si>
    <t>Future Value Factor (1+i)^18</t>
  </si>
  <si>
    <t>True-Up Amount to be (Refunded)/Paid based on 2009 Actual Costs (A*B)</t>
  </si>
  <si>
    <t>i = average interest rate as calculated below</t>
  </si>
  <si>
    <t>Interest on Amount of Refunds or Surcharges Interest 35.19a for Current Year</t>
  </si>
  <si>
    <t>Interest 35.19a</t>
  </si>
  <si>
    <t>for Month</t>
  </si>
  <si>
    <t>Year 1</t>
  </si>
  <si>
    <t>February</t>
  </si>
  <si>
    <t>March</t>
  </si>
  <si>
    <t>April</t>
  </si>
  <si>
    <t>June</t>
  </si>
  <si>
    <t>July</t>
  </si>
  <si>
    <t>August</t>
  </si>
  <si>
    <t>November</t>
  </si>
  <si>
    <t>December</t>
  </si>
  <si>
    <t>Year 2</t>
  </si>
  <si>
    <t>Average Interest Rate</t>
  </si>
  <si>
    <t>Depreciation Rates</t>
  </si>
  <si>
    <t>Rates*</t>
  </si>
  <si>
    <t>Plant Type</t>
  </si>
  <si>
    <t>Transmission Plant</t>
  </si>
  <si>
    <t>Land and Land Rights</t>
  </si>
  <si>
    <t>Structures and Improvements</t>
  </si>
  <si>
    <t>Station Equipment</t>
  </si>
  <si>
    <t>Towers and Fixtures</t>
  </si>
  <si>
    <t>Poles and Fixtures</t>
  </si>
  <si>
    <t>Overhead Conductors and Devices</t>
  </si>
  <si>
    <t>Roads and Trails</t>
  </si>
  <si>
    <t>Total Transmission Plant</t>
  </si>
  <si>
    <t>General Plant</t>
  </si>
  <si>
    <t>Office Furniture and Equipment</t>
  </si>
  <si>
    <t>Transportation Equipment</t>
  </si>
  <si>
    <t>Stores Equipment</t>
  </si>
  <si>
    <t>Tools, Shop and Garage Equipment</t>
  </si>
  <si>
    <t>Laboratory Equipment</t>
  </si>
  <si>
    <t>Power Operated Equipment</t>
  </si>
  <si>
    <t>Communication Equipment</t>
  </si>
  <si>
    <t>Miscellaneous Equipment</t>
  </si>
  <si>
    <t>Total General Plant</t>
  </si>
  <si>
    <t>* The above rates were developed in June 2006. See Note I.</t>
  </si>
  <si>
    <t>(a)</t>
  </si>
  <si>
    <t>(b)</t>
  </si>
  <si>
    <t>(c)</t>
  </si>
  <si>
    <t>(d)</t>
  </si>
  <si>
    <t>(e)</t>
  </si>
  <si>
    <t>(f)</t>
  </si>
  <si>
    <t>(g)</t>
  </si>
  <si>
    <t>(h)</t>
  </si>
  <si>
    <t>(j)</t>
  </si>
  <si>
    <t>(k)</t>
  </si>
  <si>
    <t>(l)</t>
  </si>
  <si>
    <t>(m)</t>
  </si>
  <si>
    <t>(n)</t>
  </si>
  <si>
    <t>13 month average</t>
  </si>
  <si>
    <t>GROSS PLANT IN SERVICE (101 &amp; 106)</t>
  </si>
  <si>
    <t>(Note H) **</t>
  </si>
  <si>
    <t>207.96.g - line 6</t>
  </si>
  <si>
    <t>201.13.e + 201.13.f</t>
  </si>
  <si>
    <t>207.94.g</t>
  </si>
  <si>
    <t>ACCUMULATED DEPRECIATION (108)</t>
  </si>
  <si>
    <t>See Workpaper 9 (column b)</t>
  </si>
  <si>
    <t xml:space="preserve">201.14.e + 201.14.f </t>
  </si>
  <si>
    <t>See Workpaper 9 (column c)</t>
  </si>
  <si>
    <t>** Columns a and m use the FERC Form 1 balance except where otherwise referenced. Columns b through l are the Company's FERC account balances.</t>
  </si>
  <si>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Communication System Accumulated Depreciation based on Communication System Plant in Service share of General &amp; Intangible Accumulated Depreciation.</t>
    </r>
  </si>
  <si>
    <t>12/31/24 &amp; 12/31/25 average balance</t>
  </si>
  <si>
    <t>ADJUSTMENTS TO RATE BASE       (Notes A &amp; H)</t>
  </si>
  <si>
    <t>Average Balance</t>
  </si>
  <si>
    <t>113.62.c</t>
  </si>
  <si>
    <t>WP 12</t>
  </si>
  <si>
    <t>113.64.c (footnote)</t>
  </si>
  <si>
    <t>111.82.c (footnote)</t>
  </si>
  <si>
    <t>113.57.c</t>
  </si>
  <si>
    <t>WORKING CAPITAL  EXCLUDING CASH WORKING CAPITAL (Notes C &amp; H)</t>
  </si>
  <si>
    <t>111.57.c</t>
  </si>
  <si>
    <t>From PP</t>
  </si>
  <si>
    <t xml:space="preserve">WP 6 tab on 1039 consolidated </t>
  </si>
  <si>
    <t>Other reserve calculation</t>
  </si>
  <si>
    <t>comes from UI file for Footnote</t>
  </si>
  <si>
    <t>HP Removal Less ARO</t>
  </si>
  <si>
    <t>Adjust Accum to FERC Accum</t>
  </si>
  <si>
    <t>remove ARO, footnote file</t>
  </si>
  <si>
    <t>Total RWIP to Adjust</t>
  </si>
  <si>
    <t>RWIP</t>
  </si>
  <si>
    <t>(positive number since it offsets</t>
  </si>
  <si>
    <t>reserve which is a normal credit</t>
  </si>
  <si>
    <t>balance)</t>
  </si>
  <si>
    <t>Accrued Retirements</t>
  </si>
  <si>
    <t xml:space="preserve">(negative on both plant &amp; </t>
  </si>
  <si>
    <t xml:space="preserve">reserve since its reducing </t>
  </si>
  <si>
    <t>the balances and the balances)</t>
  </si>
  <si>
    <t xml:space="preserve">should match except in rare </t>
  </si>
  <si>
    <t>instances where land is on the</t>
  </si>
  <si>
    <t>JE)</t>
  </si>
  <si>
    <r>
      <t>2025 Actual Load Data</t>
    </r>
    <r>
      <rPr>
        <b/>
        <vertAlign val="superscript"/>
        <sz val="12"/>
        <color theme="1"/>
        <rFont val="Arial"/>
        <family val="2"/>
      </rPr>
      <t>1</t>
    </r>
  </si>
  <si>
    <t>BHP</t>
  </si>
  <si>
    <t>BASIN</t>
  </si>
  <si>
    <t>SD</t>
  </si>
  <si>
    <t xml:space="preserve">CITY OF </t>
  </si>
  <si>
    <t>FIRM</t>
  </si>
  <si>
    <t>CHEYENNE</t>
  </si>
  <si>
    <t>TOTAL</t>
  </si>
  <si>
    <t>WEST</t>
  </si>
  <si>
    <t>GILLETTE</t>
  </si>
  <si>
    <t>POINT TO POINT</t>
  </si>
  <si>
    <t>LIGHT CUS</t>
  </si>
  <si>
    <t>COMMON USE</t>
  </si>
  <si>
    <t>LOAD</t>
  </si>
  <si>
    <t>AC LOAD</t>
  </si>
  <si>
    <t>ANNUAL AVERAGE MW</t>
  </si>
  <si>
    <r>
      <t>2026 Projected Load Data</t>
    </r>
    <r>
      <rPr>
        <b/>
        <vertAlign val="superscript"/>
        <sz val="12"/>
        <color theme="1"/>
        <rFont val="Arial"/>
        <family val="2"/>
      </rPr>
      <t>2</t>
    </r>
  </si>
  <si>
    <t>1 - Transmission actual load from OATI</t>
  </si>
  <si>
    <t>2 - Transmission projected load from Transmission Planning</t>
  </si>
  <si>
    <t>WORKPAPER 14</t>
  </si>
  <si>
    <t xml:space="preserve">Long Term Interest </t>
  </si>
  <si>
    <t>( c)</t>
  </si>
  <si>
    <t>Description</t>
  </si>
  <si>
    <t xml:space="preserve">Balance </t>
  </si>
  <si>
    <t>Interest on Long-Term Debt</t>
  </si>
  <si>
    <t>117.62.c</t>
  </si>
  <si>
    <t>Amort. of Debt Disc. and Expense</t>
  </si>
  <si>
    <t>117.63.c</t>
  </si>
  <si>
    <t>Amortization of Loss on Reaquired Debt</t>
  </si>
  <si>
    <t>117.64.c</t>
  </si>
  <si>
    <r>
      <t>Interest on Debt to Assoc. Companies</t>
    </r>
    <r>
      <rPr>
        <vertAlign val="superscript"/>
        <sz val="10"/>
        <rFont val="Arial"/>
        <family val="2"/>
      </rPr>
      <t>1</t>
    </r>
  </si>
  <si>
    <t>Note:</t>
  </si>
  <si>
    <t>1 - Account 430005 relates to the LT intercompany debt held in FERC 223.</t>
  </si>
  <si>
    <t>Effective August 1, 2026</t>
  </si>
  <si>
    <t xml:space="preserve">Company </t>
  </si>
  <si>
    <t xml:space="preserve">Scheduling </t>
  </si>
  <si>
    <t xml:space="preserve">Schedule No. 1 </t>
  </si>
  <si>
    <t>Form No. 1 Refer.</t>
  </si>
  <si>
    <t>Method</t>
  </si>
  <si>
    <t>Allocator</t>
  </si>
  <si>
    <t>O&amp;M - Acct 561 (2024)</t>
  </si>
  <si>
    <t>pg 321.85-92.c</t>
  </si>
  <si>
    <t xml:space="preserve">   Less Account 561.6</t>
  </si>
  <si>
    <t>pg 321.90.c</t>
  </si>
  <si>
    <t xml:space="preserve">   Less Account 561.7</t>
  </si>
  <si>
    <t>pg 321.91.c</t>
  </si>
  <si>
    <t>Schedule No. 1 Total Rev Requirement</t>
  </si>
  <si>
    <t>Actual Expenses (2025)</t>
  </si>
  <si>
    <t>O&amp;M - Acct 561</t>
  </si>
  <si>
    <t>pg 321.85-92.b</t>
  </si>
  <si>
    <t>pg 321.90.b</t>
  </si>
  <si>
    <t>pg 321.91.b</t>
  </si>
  <si>
    <t>SCHEDULE NO. 1 RATE:</t>
  </si>
  <si>
    <t>REVENUE REQUIREMENT</t>
  </si>
  <si>
    <t>Avg 12 CP+Firm Whlng</t>
  </si>
  <si>
    <t>kW</t>
  </si>
  <si>
    <t>/</t>
  </si>
  <si>
    <t>kW-YR</t>
  </si>
  <si>
    <t>Line 17 / line 18</t>
  </si>
  <si>
    <t>Monthly Rate</t>
  </si>
  <si>
    <t>kW-Mo</t>
  </si>
  <si>
    <t>Line 20 / 12</t>
  </si>
  <si>
    <t>Weekly Rate</t>
  </si>
  <si>
    <t>kW-Wk</t>
  </si>
  <si>
    <t>Line 20 / 52</t>
  </si>
  <si>
    <t>Daily Rate</t>
  </si>
  <si>
    <t>365 days/Yr</t>
  </si>
  <si>
    <t>kW-Day</t>
  </si>
  <si>
    <t>Line 20 / 365</t>
  </si>
  <si>
    <t>Hourly Rate</t>
  </si>
  <si>
    <t>8760 hours/Yr</t>
  </si>
  <si>
    <t>MWH</t>
  </si>
  <si>
    <t>(Line 20 / 8760)*1000</t>
  </si>
  <si>
    <t>(See Workpaper 7 2025 Actual Load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</si>
</sst>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#,##0.00000"/>
    <numFmt numFmtId="166" formatCode="0.00000"/>
    <numFmt numFmtId="167" formatCode="#,##0.0000"/>
    <numFmt numFmtId="168" formatCode="0.0000"/>
    <numFmt numFmtId="169" formatCode="&quot;$&quot;#,##0"/>
    <numFmt numFmtId="170" formatCode="0.0%"/>
    <numFmt numFmtId="171" formatCode="#,##0.0"/>
    <numFmt numFmtId="172" formatCode="&quot;$&quot;#,##0.00"/>
    <numFmt numFmtId="173" formatCode="_(* #,##0_);_(* \(#,##0\);_(* &quot;-&quot;??_);_(@_)"/>
    <numFmt numFmtId="174" formatCode="_(&quot;$&quot;* #,##0_);_(&quot;$&quot;* \(#,##0\);_(&quot;$&quot;* &quot;-&quot;??_);_(@_)"/>
    <numFmt numFmtId="175" formatCode="_(* #,##0.0000_);_(* \(#,##0.0000\);_(* &quot;-&quot;??_);_(@_)"/>
    <numFmt numFmtId="176" formatCode="0.0000000"/>
    <numFmt numFmtId="177" formatCode="_(&quot;$&quot;* #,##0.000_);_(&quot;$&quot;* \(#,##0.000\);_(&quot;$&quot;* &quot;-&quot;??_);_(@_)"/>
    <numFmt numFmtId="178" formatCode="_(&quot;$&quot;* #,##0.0000_);_(&quot;$&quot;* \(#,##0.0000\);_(&quot;$&quot;* &quot;-&quot;??_);_(@_)"/>
    <numFmt numFmtId="179" formatCode="_(&quot;$&quot;* #,##0.00000_);_(&quot;$&quot;* \(#,##0.00000\);_(&quot;$&quot;* &quot;-&quot;??_);_(@_)"/>
    <numFmt numFmtId="180" formatCode="mmm\-yyyy"/>
    <numFmt numFmtId="181" formatCode="0.0000%"/>
    <numFmt numFmtId="182" formatCode="#,##0.000000"/>
    <numFmt numFmtId="183" formatCode="[$-409]mmm\-yy;@"/>
    <numFmt numFmtId="184" formatCode="&quot;$&quot;#,##0.0;[Red]\-&quot;$&quot;#,##0.0"/>
    <numFmt numFmtId="185" formatCode="00000"/>
    <numFmt numFmtId="186" formatCode="#,##0\ ;\(#,##0\);\-\ \ \ \ \ "/>
    <numFmt numFmtId="187" formatCode="#,##0\ ;\(#,##0\);\–\ \ \ \ \ "/>
    <numFmt numFmtId="188" formatCode="#,##0;\(#,##0\)"/>
    <numFmt numFmtId="189" formatCode="yyyymmdd"/>
    <numFmt numFmtId="190" formatCode="_([$€-2]* #,##0.00_);_([$€-2]* \(#,##0.00\);_([$€-2]* &quot;-&quot;??_)"/>
    <numFmt numFmtId="191" formatCode="_-* #,##0.0_-;\-* #,##0.0_-;_-* &quot;-&quot;??_-;_-@_-"/>
    <numFmt numFmtId="192" formatCode="#,##0.00&quot; $&quot;;\-#,##0.00&quot; $&quot;"/>
    <numFmt numFmtId="193" formatCode="000000000"/>
    <numFmt numFmtId="194" formatCode="#,##0.0_);\(#,##0.0\)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0.00_)"/>
    <numFmt numFmtId="198" formatCode="00"/>
    <numFmt numFmtId="199" formatCode="0_);\(0\)"/>
    <numFmt numFmtId="200" formatCode="000\-00\-0000"/>
    <numFmt numFmtId="201" formatCode="[$-409]mmmm\ d\,\ yyyy;@"/>
    <numFmt numFmtId="202" formatCode="_(* #,##0.0000000_);_(* \(#,##0.0000000\);_(* &quot;-&quot;??_);_(@_)"/>
    <numFmt numFmtId="203" formatCode="_(* #,##0.000000000_);_(* \(#,##0.000000000\);_(* &quot;-&quot;??_);_(@_)"/>
  </numFmts>
  <fonts count="100">
    <font>
      <sz val="12"/>
      <name val="Arial MT"/>
    </font>
    <font>
      <sz val="12"/>
      <name val="Arial MT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color indexed="17"/>
      <name val="Arial"/>
      <family val="2"/>
    </font>
    <font>
      <sz val="8"/>
      <name val="Helv"/>
    </font>
    <font>
      <sz val="9"/>
      <name val="AGaramond"/>
    </font>
    <font>
      <sz val="12"/>
      <name val="Tms Rmn"/>
    </font>
    <font>
      <sz val="11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10"/>
      <color indexed="8"/>
      <name val="Arial"/>
      <family val="2"/>
    </font>
    <font>
      <sz val="8"/>
      <name val="Tahoma"/>
      <family val="2"/>
    </font>
    <font>
      <sz val="12"/>
      <name val="Helv"/>
    </font>
    <font>
      <sz val="10"/>
      <name val="Helv"/>
    </font>
    <font>
      <sz val="9"/>
      <name val="GillSans"/>
    </font>
    <font>
      <sz val="9"/>
      <name val="GillSans Light"/>
    </font>
    <font>
      <b/>
      <u/>
      <sz val="11"/>
      <color indexed="37"/>
      <name val="Arial"/>
      <family val="2"/>
    </font>
    <font>
      <b/>
      <sz val="15"/>
      <name val="Times New Roman"/>
      <family val="1"/>
    </font>
    <font>
      <sz val="10"/>
      <color indexed="12"/>
      <name val="Arial"/>
      <family val="2"/>
    </font>
    <font>
      <sz val="12"/>
      <color indexed="14"/>
      <name val="Arial"/>
      <family val="2"/>
    </font>
    <font>
      <u/>
      <sz val="8"/>
      <name val="Helv"/>
    </font>
    <font>
      <sz val="8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i/>
      <sz val="16"/>
      <name val="Arial"/>
      <family val="2"/>
    </font>
    <font>
      <i/>
      <sz val="11"/>
      <name val="Arial"/>
      <family val="2"/>
    </font>
    <font>
      <u val="singleAccounting"/>
      <sz val="10"/>
      <name val="MGaramond"/>
      <family val="1"/>
    </font>
    <font>
      <b/>
      <sz val="16"/>
      <color indexed="16"/>
      <name val="Arial"/>
      <family val="2"/>
    </font>
    <font>
      <b/>
      <sz val="10"/>
      <color indexed="16"/>
      <name val="Arial"/>
      <family val="2"/>
    </font>
    <font>
      <b/>
      <sz val="12"/>
      <color indexed="16"/>
      <name val="Arial"/>
      <family val="2"/>
    </font>
    <font>
      <sz val="7"/>
      <color indexed="16"/>
      <name val="Arial"/>
      <family val="2"/>
    </font>
    <font>
      <sz val="12"/>
      <color indexed="12"/>
      <name val="Arial MT"/>
    </font>
    <font>
      <b/>
      <sz val="11"/>
      <name val="Times New Roman"/>
      <family val="1"/>
    </font>
    <font>
      <sz val="8"/>
      <color indexed="12"/>
      <name val="Arial"/>
      <family val="2"/>
    </font>
    <font>
      <sz val="10"/>
      <name val="Courier"/>
    </font>
    <font>
      <sz val="11"/>
      <color theme="1"/>
      <name val="Calibri"/>
      <family val="2"/>
      <scheme val="minor"/>
    </font>
    <font>
      <sz val="12"/>
      <color rgb="FF00B050"/>
      <name val="Arial MT"/>
    </font>
    <font>
      <sz val="12"/>
      <color rgb="FF00B050"/>
      <name val="Arial"/>
      <family val="2"/>
    </font>
    <font>
      <sz val="12"/>
      <color rgb="FF0000FF"/>
      <name val="Arial"/>
      <family val="2"/>
    </font>
    <font>
      <sz val="10"/>
      <name val="Arial MT"/>
    </font>
    <font>
      <vertAlign val="superscript"/>
      <sz val="10"/>
      <name val="Arial"/>
      <family val="2"/>
    </font>
    <font>
      <sz val="11"/>
      <name val="Arial M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MT"/>
    </font>
    <font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b/>
      <u/>
      <sz val="18"/>
      <color theme="1"/>
      <name val="Arial"/>
      <family val="2"/>
    </font>
    <font>
      <u/>
      <sz val="12"/>
      <color theme="1"/>
      <name val="Arial"/>
      <family val="2"/>
    </font>
    <font>
      <i/>
      <u/>
      <sz val="12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gray0625"/>
    </fill>
  </fills>
  <borders count="43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6">
    <xf numFmtId="172" fontId="0" fillId="0" borderId="0" applyProtection="0"/>
    <xf numFmtId="0" fontId="5" fillId="0" borderId="0"/>
    <xf numFmtId="37" fontId="28" fillId="0" borderId="0" applyFont="0" applyFill="0" applyBorder="0" applyAlignment="0" applyProtection="0"/>
    <xf numFmtId="37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37" fontId="28" fillId="0" borderId="0" applyFont="0" applyFill="0" applyBorder="0" applyAlignment="0" applyProtection="0"/>
    <xf numFmtId="37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37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37" fontId="28" fillId="0" borderId="0" applyFont="0" applyFill="0" applyBorder="0" applyAlignment="0" applyProtection="0"/>
    <xf numFmtId="0" fontId="5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38" fontId="36" fillId="0" borderId="0" applyBorder="0" applyAlignment="0"/>
    <xf numFmtId="184" fontId="34" fillId="20" borderId="1">
      <alignment horizontal="center" vertical="center"/>
    </xf>
    <xf numFmtId="185" fontId="5" fillId="0" borderId="2">
      <alignment horizontal="left"/>
    </xf>
    <xf numFmtId="0" fontId="37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8" fillId="0" borderId="0" applyNumberFormat="0" applyFill="0" applyBorder="0" applyAlignment="0" applyProtection="0"/>
    <xf numFmtId="186" fontId="39" fillId="0" borderId="3" applyNumberFormat="0" applyFill="0" applyAlignment="0" applyProtection="0">
      <alignment horizontal="center"/>
    </xf>
    <xf numFmtId="187" fontId="39" fillId="0" borderId="4" applyFill="0" applyAlignment="0" applyProtection="0">
      <alignment horizontal="center"/>
    </xf>
    <xf numFmtId="38" fontId="5" fillId="0" borderId="0">
      <alignment horizontal="right"/>
    </xf>
    <xf numFmtId="37" fontId="7" fillId="0" borderId="0" applyFill="0">
      <alignment horizontal="right"/>
    </xf>
    <xf numFmtId="37" fontId="7" fillId="0" borderId="0">
      <alignment horizontal="right"/>
    </xf>
    <xf numFmtId="0" fontId="7" fillId="0" borderId="0" applyFill="0">
      <alignment horizontal="center"/>
    </xf>
    <xf numFmtId="37" fontId="7" fillId="0" borderId="5" applyFill="0">
      <alignment horizontal="right"/>
    </xf>
    <xf numFmtId="37" fontId="7" fillId="0" borderId="0">
      <alignment horizontal="right"/>
    </xf>
    <xf numFmtId="0" fontId="40" fillId="0" borderId="0" applyFill="0">
      <alignment vertical="top"/>
    </xf>
    <xf numFmtId="0" fontId="41" fillId="0" borderId="0" applyFill="0">
      <alignment horizontal="left" vertical="top"/>
    </xf>
    <xf numFmtId="37" fontId="7" fillId="0" borderId="6" applyFill="0">
      <alignment horizontal="right"/>
    </xf>
    <xf numFmtId="0" fontId="5" fillId="0" borderId="0" applyNumberFormat="0" applyFont="0" applyAlignment="0"/>
    <xf numFmtId="0" fontId="40" fillId="0" borderId="0" applyFill="0">
      <alignment wrapText="1"/>
    </xf>
    <xf numFmtId="0" fontId="41" fillId="0" borderId="0" applyFill="0">
      <alignment horizontal="left" vertical="top" wrapText="1"/>
    </xf>
    <xf numFmtId="37" fontId="7" fillId="0" borderId="0" applyFill="0">
      <alignment horizontal="right"/>
    </xf>
    <xf numFmtId="0" fontId="42" fillId="0" borderId="0" applyNumberFormat="0" applyFont="0" applyAlignment="0">
      <alignment horizontal="center"/>
    </xf>
    <xf numFmtId="0" fontId="43" fillId="0" borderId="0" applyFill="0">
      <alignment vertical="top" wrapText="1"/>
    </xf>
    <xf numFmtId="0" fontId="4" fillId="0" borderId="0" applyFill="0">
      <alignment horizontal="left" vertical="top" wrapText="1"/>
    </xf>
    <xf numFmtId="37" fontId="7" fillId="0" borderId="0" applyFill="0">
      <alignment horizontal="right"/>
    </xf>
    <xf numFmtId="0" fontId="42" fillId="0" borderId="0" applyNumberFormat="0" applyFont="0" applyAlignment="0">
      <alignment horizontal="center"/>
    </xf>
    <xf numFmtId="0" fontId="44" fillId="0" borderId="0" applyFill="0">
      <alignment vertical="center" wrapText="1"/>
    </xf>
    <xf numFmtId="0" fontId="2" fillId="0" borderId="0">
      <alignment horizontal="left" vertical="center" wrapText="1"/>
    </xf>
    <xf numFmtId="37" fontId="7" fillId="0" borderId="0" applyFill="0">
      <alignment horizontal="right"/>
    </xf>
    <xf numFmtId="0" fontId="42" fillId="0" borderId="0" applyNumberFormat="0" applyFont="0" applyAlignment="0">
      <alignment horizontal="center"/>
    </xf>
    <xf numFmtId="0" fontId="45" fillId="0" borderId="0" applyFill="0">
      <alignment horizontal="center" vertical="center" wrapText="1"/>
    </xf>
    <xf numFmtId="0" fontId="5" fillId="0" borderId="0" applyFill="0">
      <alignment horizontal="center" vertical="center" wrapText="1"/>
    </xf>
    <xf numFmtId="37" fontId="46" fillId="0" borderId="0" applyFill="0">
      <alignment horizontal="right"/>
    </xf>
    <xf numFmtId="0" fontId="42" fillId="0" borderId="0" applyNumberFormat="0" applyFont="0" applyAlignment="0">
      <alignment horizontal="center"/>
    </xf>
    <xf numFmtId="0" fontId="47" fillId="0" borderId="0" applyFill="0">
      <alignment horizontal="center" vertical="center" wrapText="1"/>
    </xf>
    <xf numFmtId="0" fontId="48" fillId="0" borderId="0" applyFill="0">
      <alignment horizontal="center" vertical="center" wrapText="1"/>
    </xf>
    <xf numFmtId="37" fontId="46" fillId="0" borderId="0" applyFill="0">
      <alignment horizontal="right"/>
    </xf>
    <xf numFmtId="0" fontId="42" fillId="0" borderId="0" applyNumberFormat="0" applyFont="0" applyAlignment="0">
      <alignment horizontal="center"/>
    </xf>
    <xf numFmtId="0" fontId="49" fillId="0" borderId="0">
      <alignment horizontal="center" wrapText="1"/>
    </xf>
    <xf numFmtId="0" fontId="50" fillId="0" borderId="0" applyFill="0">
      <alignment horizontal="center" wrapText="1"/>
    </xf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22" borderId="8" applyNumberFormat="0" applyAlignment="0" applyProtection="0"/>
    <xf numFmtId="0" fontId="18" fillId="22" borderId="8" applyNumberFormat="0" applyAlignment="0" applyProtection="0"/>
    <xf numFmtId="43" fontId="5" fillId="0" borderId="0" applyFont="0" applyFill="0" applyBorder="0" applyAlignment="0" applyProtection="0"/>
    <xf numFmtId="188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52" fillId="0" borderId="0" applyFont="0" applyFill="0" applyBorder="0" applyAlignment="0" applyProtection="0"/>
    <xf numFmtId="4" fontId="54" fillId="0" borderId="0" applyFont="0" applyFill="0" applyBorder="0" applyAlignment="0" applyProtection="0"/>
    <xf numFmtId="0" fontId="53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6" fillId="0" borderId="0" applyFont="0" applyFill="0" applyBorder="0" applyAlignment="0" applyProtection="0"/>
    <xf numFmtId="8" fontId="54" fillId="0" borderId="0" applyFont="0" applyFill="0" applyBorder="0" applyAlignment="0" applyProtection="0"/>
    <xf numFmtId="189" fontId="5" fillId="0" borderId="2">
      <alignment horizontal="center"/>
    </xf>
    <xf numFmtId="190" fontId="5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91" fontId="5" fillId="0" borderId="0">
      <protection locked="0"/>
    </xf>
    <xf numFmtId="0" fontId="54" fillId="0" borderId="0"/>
    <xf numFmtId="0" fontId="55" fillId="0" borderId="0"/>
    <xf numFmtId="0" fontId="56" fillId="0" borderId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38" fontId="7" fillId="23" borderId="0" applyNumberFormat="0" applyBorder="0" applyAlignment="0" applyProtection="0"/>
    <xf numFmtId="0" fontId="57" fillId="0" borderId="0" applyNumberFormat="0" applyFill="0" applyBorder="0" applyAlignment="0" applyProtection="0"/>
    <xf numFmtId="0" fontId="4" fillId="0" borderId="9" applyNumberFormat="0" applyAlignment="0" applyProtection="0">
      <alignment horizontal="left" vertical="center"/>
    </xf>
    <xf numFmtId="0" fontId="4" fillId="0" borderId="10">
      <alignment horizontal="left" vertical="center"/>
    </xf>
    <xf numFmtId="0" fontId="58" fillId="0" borderId="0">
      <alignment horizontal="center"/>
    </xf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92" fontId="5" fillId="0" borderId="0">
      <protection locked="0"/>
    </xf>
    <xf numFmtId="192" fontId="5" fillId="0" borderId="0">
      <protection locked="0"/>
    </xf>
    <xf numFmtId="0" fontId="59" fillId="0" borderId="14" applyNumberFormat="0" applyFill="0" applyAlignment="0" applyProtection="0"/>
    <xf numFmtId="0" fontId="24" fillId="7" borderId="7" applyNumberFormat="0" applyAlignment="0" applyProtection="0"/>
    <xf numFmtId="10" fontId="7" fillId="24" borderId="2" applyNumberFormat="0" applyBorder="0" applyAlignment="0" applyProtection="0"/>
    <xf numFmtId="0" fontId="24" fillId="7" borderId="7" applyNumberFormat="0" applyAlignment="0" applyProtection="0"/>
    <xf numFmtId="0" fontId="7" fillId="23" borderId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193" fontId="5" fillId="0" borderId="2">
      <alignment horizontal="center"/>
    </xf>
    <xf numFmtId="194" fontId="60" fillId="0" borderId="0"/>
    <xf numFmtId="17" fontId="61" fillId="0" borderId="0">
      <alignment horizontal="center"/>
    </xf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43" fontId="62" fillId="0" borderId="0" applyNumberFormat="0" applyFill="0" applyBorder="0" applyAlignment="0" applyProtection="0"/>
    <xf numFmtId="0" fontId="39" fillId="0" borderId="0" applyNumberFormat="0" applyFill="0" applyAlignment="0" applyProtection="0"/>
    <xf numFmtId="37" fontId="63" fillId="0" borderId="0"/>
    <xf numFmtId="197" fontId="64" fillId="0" borderId="0"/>
    <xf numFmtId="172" fontId="1" fillId="0" borderId="0" applyProtection="0"/>
    <xf numFmtId="0" fontId="5" fillId="0" borderId="0"/>
    <xf numFmtId="0" fontId="76" fillId="0" borderId="0"/>
    <xf numFmtId="0" fontId="52" fillId="0" borderId="0"/>
    <xf numFmtId="0" fontId="5" fillId="0" borderId="0"/>
    <xf numFmtId="0" fontId="75" fillId="0" borderId="0"/>
    <xf numFmtId="0" fontId="5" fillId="0" borderId="0"/>
    <xf numFmtId="0" fontId="5" fillId="0" borderId="2">
      <alignment horizontal="center" wrapText="1"/>
    </xf>
    <xf numFmtId="2" fontId="5" fillId="0" borderId="2">
      <alignment horizontal="center"/>
    </xf>
    <xf numFmtId="198" fontId="10" fillId="0" borderId="2" applyFont="0">
      <alignment horizont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2" fillId="26" borderId="16" applyNumberFormat="0" applyFont="0" applyAlignment="0" applyProtection="0"/>
    <xf numFmtId="0" fontId="5" fillId="26" borderId="16" applyNumberFormat="0" applyFont="0" applyAlignment="0" applyProtection="0"/>
    <xf numFmtId="1" fontId="5" fillId="0" borderId="2">
      <alignment horizontal="center"/>
    </xf>
    <xf numFmtId="0" fontId="27" fillId="21" borderId="17" applyNumberFormat="0" applyAlignment="0" applyProtection="0"/>
    <xf numFmtId="0" fontId="27" fillId="21" borderId="17" applyNumberFormat="0" applyAlignment="0" applyProtection="0"/>
    <xf numFmtId="9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29" fillId="0" borderId="3">
      <alignment horizontal="center"/>
    </xf>
    <xf numFmtId="3" fontId="28" fillId="0" borderId="0" applyFont="0" applyFill="0" applyBorder="0" applyAlignment="0" applyProtection="0"/>
    <xf numFmtId="0" fontId="28" fillId="27" borderId="0" applyNumberFormat="0" applyFont="0" applyBorder="0" applyAlignment="0" applyProtection="0"/>
    <xf numFmtId="37" fontId="7" fillId="23" borderId="0" applyFill="0">
      <alignment horizontal="right"/>
    </xf>
    <xf numFmtId="0" fontId="46" fillId="0" borderId="0">
      <alignment horizontal="left"/>
    </xf>
    <xf numFmtId="0" fontId="7" fillId="0" borderId="0" applyFill="0">
      <alignment horizontal="left"/>
    </xf>
    <xf numFmtId="37" fontId="7" fillId="0" borderId="4" applyFill="0">
      <alignment horizontal="right"/>
    </xf>
    <xf numFmtId="0" fontId="10" fillId="0" borderId="2" applyNumberFormat="0" applyFont="0" applyBorder="0">
      <alignment horizontal="right"/>
    </xf>
    <xf numFmtId="0" fontId="65" fillId="0" borderId="0" applyFill="0"/>
    <xf numFmtId="0" fontId="7" fillId="0" borderId="0" applyFill="0">
      <alignment horizontal="left"/>
    </xf>
    <xf numFmtId="199" fontId="7" fillId="0" borderId="4" applyFill="0">
      <alignment horizontal="right"/>
    </xf>
    <xf numFmtId="0" fontId="5" fillId="0" borderId="0" applyNumberFormat="0" applyFont="0" applyBorder="0" applyAlignment="0"/>
    <xf numFmtId="0" fontId="43" fillId="0" borderId="0" applyFill="0">
      <alignment horizontal="left" indent="1"/>
    </xf>
    <xf numFmtId="0" fontId="46" fillId="0" borderId="0" applyFill="0">
      <alignment horizontal="left"/>
    </xf>
    <xf numFmtId="37" fontId="7" fillId="0" borderId="0" applyFill="0">
      <alignment horizontal="right"/>
    </xf>
    <xf numFmtId="0" fontId="5" fillId="0" borderId="0" applyNumberFormat="0" applyFont="0" applyFill="0" applyBorder="0" applyAlignment="0"/>
    <xf numFmtId="0" fontId="43" fillId="0" borderId="0" applyFill="0">
      <alignment horizontal="left" indent="2"/>
    </xf>
    <xf numFmtId="0" fontId="7" fillId="0" borderId="0" applyFill="0">
      <alignment horizontal="left"/>
    </xf>
    <xf numFmtId="37" fontId="7" fillId="0" borderId="0" applyFill="0">
      <alignment horizontal="right"/>
    </xf>
    <xf numFmtId="0" fontId="5" fillId="0" borderId="0" applyNumberFormat="0" applyFont="0" applyBorder="0" applyAlignment="0"/>
    <xf numFmtId="0" fontId="66" fillId="0" borderId="0">
      <alignment horizontal="left" indent="3"/>
    </xf>
    <xf numFmtId="0" fontId="7" fillId="0" borderId="0" applyFill="0">
      <alignment horizontal="left"/>
    </xf>
    <xf numFmtId="37" fontId="7" fillId="0" borderId="0" applyFill="0">
      <alignment horizontal="right"/>
    </xf>
    <xf numFmtId="0" fontId="5" fillId="0" borderId="0" applyNumberFormat="0" applyFont="0" applyBorder="0" applyAlignment="0"/>
    <xf numFmtId="0" fontId="45" fillId="0" borderId="0">
      <alignment horizontal="left" indent="4"/>
    </xf>
    <xf numFmtId="0" fontId="7" fillId="0" borderId="0" applyFill="0">
      <alignment horizontal="left"/>
    </xf>
    <xf numFmtId="37" fontId="46" fillId="0" borderId="0" applyFill="0">
      <alignment horizontal="right"/>
    </xf>
    <xf numFmtId="0" fontId="5" fillId="0" borderId="0" applyNumberFormat="0" applyFont="0" applyBorder="0" applyAlignment="0"/>
    <xf numFmtId="0" fontId="47" fillId="0" borderId="0">
      <alignment horizontal="left" indent="5"/>
    </xf>
    <xf numFmtId="0" fontId="46" fillId="0" borderId="0" applyFill="0">
      <alignment horizontal="left"/>
    </xf>
    <xf numFmtId="37" fontId="46" fillId="0" borderId="0" applyFill="0">
      <alignment horizontal="right"/>
    </xf>
    <xf numFmtId="0" fontId="5" fillId="0" borderId="0" applyNumberFormat="0" applyFont="0" applyFill="0" applyBorder="0" applyAlignment="0"/>
    <xf numFmtId="0" fontId="49" fillId="0" borderId="0" applyFill="0">
      <alignment horizontal="left" indent="6"/>
    </xf>
    <xf numFmtId="0" fontId="46" fillId="0" borderId="0" applyFill="0">
      <alignment horizontal="left"/>
    </xf>
    <xf numFmtId="38" fontId="8" fillId="28" borderId="4">
      <alignment horizontal="right"/>
    </xf>
    <xf numFmtId="38" fontId="5" fillId="29" borderId="0" applyNumberFormat="0" applyFont="0" applyBorder="0" applyAlignment="0" applyProtection="0"/>
    <xf numFmtId="0" fontId="67" fillId="0" borderId="0" applyNumberFormat="0" applyAlignment="0">
      <alignment horizontal="centerContinuous"/>
    </xf>
    <xf numFmtId="0" fontId="39" fillId="0" borderId="4" applyNumberFormat="0" applyFill="0" applyAlignment="0" applyProtection="0"/>
    <xf numFmtId="37" fontId="68" fillId="0" borderId="0" applyNumberFormat="0">
      <alignment horizontal="left"/>
    </xf>
    <xf numFmtId="200" fontId="5" fillId="0" borderId="2">
      <alignment horizontal="center" wrapText="1"/>
    </xf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5" fillId="0" borderId="0" applyNumberFormat="0" applyFill="0" applyBorder="0" applyProtection="0">
      <alignment horizontal="right" wrapText="1"/>
    </xf>
    <xf numFmtId="180" fontId="5" fillId="0" borderId="0" applyFill="0" applyBorder="0" applyAlignment="0" applyProtection="0">
      <alignment wrapText="1"/>
    </xf>
    <xf numFmtId="37" fontId="69" fillId="0" borderId="0" applyNumberFormat="0">
      <alignment horizontal="left"/>
    </xf>
    <xf numFmtId="37" fontId="70" fillId="0" borderId="0" applyNumberFormat="0">
      <alignment horizontal="left"/>
    </xf>
    <xf numFmtId="37" fontId="71" fillId="0" borderId="0" applyNumberFormat="0">
      <alignment horizontal="left"/>
    </xf>
    <xf numFmtId="194" fontId="72" fillId="0" borderId="0"/>
    <xf numFmtId="40" fontId="7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37" fontId="7" fillId="28" borderId="0" applyNumberFormat="0" applyBorder="0" applyAlignment="0" applyProtection="0"/>
    <xf numFmtId="37" fontId="7" fillId="0" borderId="0"/>
    <xf numFmtId="3" fontId="74" fillId="0" borderId="14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76" fillId="0" borderId="0" applyFont="0" applyFill="0" applyBorder="0" applyAlignment="0" applyProtection="0"/>
  </cellStyleXfs>
  <cellXfs count="340">
    <xf numFmtId="172" fontId="0" fillId="0" borderId="0" xfId="0"/>
    <xf numFmtId="173" fontId="2" fillId="0" borderId="0" xfId="105" applyNumberFormat="1" applyFont="1" applyFill="1" applyAlignment="1"/>
    <xf numFmtId="173" fontId="2" fillId="0" borderId="0" xfId="105" applyNumberFormat="1" applyFont="1" applyFill="1" applyBorder="1" applyAlignment="1"/>
    <xf numFmtId="43" fontId="10" fillId="0" borderId="0" xfId="105" applyFont="1" applyFill="1" applyAlignment="1"/>
    <xf numFmtId="10" fontId="5" fillId="0" borderId="0" xfId="180" applyNumberFormat="1" applyFill="1"/>
    <xf numFmtId="10" fontId="2" fillId="0" borderId="0" xfId="180" applyNumberFormat="1" applyFont="1" applyFill="1" applyAlignment="1"/>
    <xf numFmtId="0" fontId="2" fillId="0" borderId="0" xfId="105" applyNumberFormat="1" applyFont="1" applyFill="1" applyAlignment="1"/>
    <xf numFmtId="174" fontId="5" fillId="0" borderId="0" xfId="112" applyNumberFormat="1" applyFont="1" applyFill="1"/>
    <xf numFmtId="44" fontId="5" fillId="0" borderId="0" xfId="112" applyFill="1"/>
    <xf numFmtId="170" fontId="5" fillId="0" borderId="0" xfId="180" applyNumberFormat="1" applyFont="1" applyFill="1" applyAlignment="1">
      <alignment horizontal="right"/>
    </xf>
    <xf numFmtId="9" fontId="5" fillId="0" borderId="0" xfId="180" applyFill="1"/>
    <xf numFmtId="170" fontId="5" fillId="0" borderId="3" xfId="180" applyNumberFormat="1" applyFont="1" applyFill="1" applyBorder="1" applyAlignment="1">
      <alignment horizontal="right"/>
    </xf>
    <xf numFmtId="174" fontId="5" fillId="0" borderId="3" xfId="112" applyNumberFormat="1" applyFont="1" applyFill="1" applyBorder="1"/>
    <xf numFmtId="9" fontId="5" fillId="0" borderId="0" xfId="180" applyFont="1" applyFill="1" applyAlignment="1">
      <alignment horizontal="right"/>
    </xf>
    <xf numFmtId="178" fontId="5" fillId="0" borderId="0" xfId="112" applyNumberFormat="1" applyFill="1"/>
    <xf numFmtId="179" fontId="5" fillId="0" borderId="0" xfId="112" applyNumberFormat="1" applyFill="1"/>
    <xf numFmtId="173" fontId="2" fillId="0" borderId="3" xfId="105" applyNumberFormat="1" applyFont="1" applyFill="1" applyBorder="1" applyAlignment="1"/>
    <xf numFmtId="9" fontId="2" fillId="0" borderId="0" xfId="180" applyFont="1" applyFill="1" applyAlignment="1"/>
    <xf numFmtId="10" fontId="2" fillId="0" borderId="0" xfId="180" applyNumberFormat="1" applyFont="1" applyFill="1" applyAlignment="1" applyProtection="1">
      <alignment horizontal="left"/>
      <protection locked="0"/>
    </xf>
    <xf numFmtId="9" fontId="2" fillId="0" borderId="6" xfId="180" applyFont="1" applyFill="1" applyBorder="1" applyAlignment="1"/>
    <xf numFmtId="10" fontId="2" fillId="0" borderId="0" xfId="180" applyNumberFormat="1" applyFont="1" applyFill="1"/>
    <xf numFmtId="10" fontId="2" fillId="0" borderId="3" xfId="180" applyNumberFormat="1" applyFont="1" applyFill="1" applyBorder="1" applyAlignment="1"/>
    <xf numFmtId="201" fontId="2" fillId="0" borderId="0" xfId="180" applyNumberFormat="1" applyFont="1" applyFill="1" applyAlignment="1">
      <alignment horizontal="right"/>
    </xf>
    <xf numFmtId="43" fontId="2" fillId="0" borderId="0" xfId="105" applyFont="1" applyFill="1" applyProtection="1">
      <protection locked="0"/>
    </xf>
    <xf numFmtId="173" fontId="5" fillId="0" borderId="0" xfId="105" applyNumberFormat="1" applyFont="1" applyFill="1"/>
    <xf numFmtId="172" fontId="0" fillId="0" borderId="0" xfId="0" applyAlignment="1">
      <alignment horizontal="right"/>
    </xf>
    <xf numFmtId="201" fontId="77" fillId="0" borderId="0" xfId="0" applyNumberFormat="1" applyFont="1" applyAlignment="1">
      <alignment horizontal="right"/>
    </xf>
    <xf numFmtId="172" fontId="2" fillId="0" borderId="0" xfId="0" applyFont="1"/>
    <xf numFmtId="172" fontId="4" fillId="0" borderId="0" xfId="0" applyFont="1"/>
    <xf numFmtId="172" fontId="2" fillId="0" borderId="0" xfId="0" applyFont="1" applyAlignment="1">
      <alignment horizontal="right"/>
    </xf>
    <xf numFmtId="0" fontId="78" fillId="0" borderId="0" xfId="0" applyNumberFormat="1" applyFont="1"/>
    <xf numFmtId="0" fontId="4" fillId="0" borderId="0" xfId="0" applyNumberFormat="1" applyFont="1" applyAlignment="1" applyProtection="1">
      <alignment horizontal="center"/>
      <protection locked="0"/>
    </xf>
    <xf numFmtId="3" fontId="4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/>
    <xf numFmtId="0" fontId="2" fillId="0" borderId="0" xfId="0" applyNumberFormat="1" applyFont="1" applyAlignment="1">
      <alignment horizontal="center"/>
    </xf>
    <xf numFmtId="3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72" fontId="4" fillId="0" borderId="0" xfId="0" applyFont="1" applyAlignment="1">
      <alignment horizontal="center"/>
    </xf>
    <xf numFmtId="3" fontId="4" fillId="0" borderId="0" xfId="0" applyNumberFormat="1" applyFont="1"/>
    <xf numFmtId="0" fontId="4" fillId="0" borderId="0" xfId="0" applyNumberFormat="1" applyFont="1" applyAlignment="1" applyProtection="1">
      <alignment horizontal="left"/>
      <protection locked="0"/>
    </xf>
    <xf numFmtId="172" fontId="2" fillId="0" borderId="0" xfId="0" applyFont="1" applyAlignment="1">
      <alignment horizontal="left"/>
    </xf>
    <xf numFmtId="0" fontId="2" fillId="0" borderId="3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/>
    <xf numFmtId="165" fontId="2" fillId="0" borderId="0" xfId="0" applyNumberFormat="1" applyFont="1"/>
    <xf numFmtId="182" fontId="2" fillId="0" borderId="0" xfId="0" applyNumberFormat="1" applyFont="1"/>
    <xf numFmtId="3" fontId="2" fillId="0" borderId="3" xfId="0" applyNumberFormat="1" applyFont="1" applyBorder="1"/>
    <xf numFmtId="0" fontId="2" fillId="0" borderId="0" xfId="0" applyNumberFormat="1" applyFont="1" applyProtection="1">
      <protection locked="0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73" fontId="79" fillId="0" borderId="4" xfId="105" applyNumberFormat="1" applyFont="1" applyFill="1" applyBorder="1"/>
    <xf numFmtId="3" fontId="2" fillId="0" borderId="4" xfId="0" applyNumberFormat="1" applyFont="1" applyBorder="1"/>
    <xf numFmtId="172" fontId="2" fillId="0" borderId="3" xfId="0" applyFont="1" applyBorder="1"/>
    <xf numFmtId="3" fontId="2" fillId="0" borderId="35" xfId="0" applyNumberFormat="1" applyFont="1" applyBorder="1"/>
    <xf numFmtId="201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NumberFormat="1" applyFont="1" applyAlignment="1">
      <alignment horizontal="center"/>
    </xf>
    <xf numFmtId="173" fontId="7" fillId="0" borderId="0" xfId="105" applyNumberFormat="1" applyFont="1" applyFill="1" applyBorder="1"/>
    <xf numFmtId="171" fontId="2" fillId="0" borderId="0" xfId="0" applyNumberFormat="1" applyFont="1" applyAlignment="1">
      <alignment horizontal="left"/>
    </xf>
    <xf numFmtId="166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3" fontId="79" fillId="0" borderId="4" xfId="0" applyNumberFormat="1" applyFont="1" applyBorder="1"/>
    <xf numFmtId="164" fontId="2" fillId="0" borderId="0" xfId="0" applyNumberFormat="1" applyFont="1" applyAlignment="1" applyProtection="1">
      <alignment horizontal="left"/>
      <protection locked="0"/>
    </xf>
    <xf numFmtId="3" fontId="2" fillId="0" borderId="0" xfId="0" applyNumberFormat="1" applyFont="1" applyAlignment="1">
      <alignment horizontal="right"/>
    </xf>
    <xf numFmtId="172" fontId="2" fillId="0" borderId="0" xfId="0" quotePrefix="1" applyFont="1"/>
    <xf numFmtId="167" fontId="2" fillId="0" borderId="0" xfId="0" applyNumberFormat="1" applyFont="1"/>
    <xf numFmtId="3" fontId="2" fillId="0" borderId="36" xfId="0" applyNumberFormat="1" applyFont="1" applyBorder="1"/>
    <xf numFmtId="3" fontId="2" fillId="0" borderId="10" xfId="0" applyNumberFormat="1" applyFont="1" applyBorder="1"/>
    <xf numFmtId="173" fontId="2" fillId="0" borderId="36" xfId="105" applyNumberFormat="1" applyFont="1" applyFill="1" applyBorder="1"/>
    <xf numFmtId="0" fontId="2" fillId="0" borderId="3" xfId="0" applyNumberFormat="1" applyFont="1" applyBorder="1" applyProtection="1">
      <protection locked="0"/>
    </xf>
    <xf numFmtId="0" fontId="2" fillId="0" borderId="3" xfId="0" applyNumberFormat="1" applyFont="1" applyBorder="1"/>
    <xf numFmtId="3" fontId="2" fillId="0" borderId="0" xfId="0" applyNumberFormat="1" applyFont="1" applyAlignment="1">
      <alignment horizontal="center"/>
    </xf>
    <xf numFmtId="3" fontId="2" fillId="0" borderId="6" xfId="0" applyNumberFormat="1" applyFont="1" applyBorder="1"/>
    <xf numFmtId="182" fontId="2" fillId="0" borderId="0" xfId="0" applyNumberFormat="1" applyFont="1" applyAlignment="1">
      <alignment horizontal="right"/>
    </xf>
    <xf numFmtId="3" fontId="2" fillId="0" borderId="0" xfId="163" applyNumberFormat="1" applyFont="1"/>
    <xf numFmtId="172" fontId="2" fillId="0" borderId="6" xfId="0" applyFont="1" applyBorder="1"/>
    <xf numFmtId="0" fontId="2" fillId="0" borderId="6" xfId="0" applyNumberFormat="1" applyFont="1" applyBorder="1"/>
    <xf numFmtId="0" fontId="2" fillId="0" borderId="6" xfId="0" applyNumberFormat="1" applyFont="1" applyBorder="1" applyProtection="1">
      <protection locked="0"/>
    </xf>
    <xf numFmtId="3" fontId="2" fillId="0" borderId="3" xfId="0" applyNumberFormat="1" applyFont="1" applyBorder="1" applyAlignment="1">
      <alignment horizontal="center"/>
    </xf>
    <xf numFmtId="4" fontId="2" fillId="0" borderId="0" xfId="0" applyNumberFormat="1" applyFont="1"/>
    <xf numFmtId="6" fontId="2" fillId="0" borderId="0" xfId="174" applyNumberFormat="1" applyFont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 applyProtection="1">
      <alignment horizontal="center"/>
      <protection locked="0"/>
    </xf>
    <xf numFmtId="0" fontId="34" fillId="0" borderId="0" xfId="0" applyNumberFormat="1" applyFont="1"/>
    <xf numFmtId="0" fontId="2" fillId="0" borderId="4" xfId="0" applyNumberFormat="1" applyFont="1" applyBorder="1"/>
    <xf numFmtId="172" fontId="34" fillId="0" borderId="0" xfId="0" applyFont="1"/>
    <xf numFmtId="169" fontId="0" fillId="0" borderId="0" xfId="0" applyNumberFormat="1"/>
    <xf numFmtId="0" fontId="2" fillId="0" borderId="0" xfId="0" quotePrefix="1" applyNumberFormat="1" applyFont="1"/>
    <xf numFmtId="49" fontId="2" fillId="0" borderId="3" xfId="0" applyNumberFormat="1" applyFont="1" applyBorder="1" applyAlignment="1">
      <alignment horizontal="center"/>
    </xf>
    <xf numFmtId="0" fontId="2" fillId="0" borderId="0" xfId="172" applyFont="1" applyAlignment="1">
      <alignment horizontal="left"/>
    </xf>
    <xf numFmtId="10" fontId="2" fillId="0" borderId="0" xfId="0" applyNumberFormat="1" applyFont="1"/>
    <xf numFmtId="168" fontId="2" fillId="0" borderId="0" xfId="0" applyNumberFormat="1" applyFont="1"/>
    <xf numFmtId="172" fontId="2" fillId="0" borderId="0" xfId="0" applyFont="1" applyProtection="1">
      <protection locked="0"/>
    </xf>
    <xf numFmtId="169" fontId="2" fillId="0" borderId="0" xfId="0" applyNumberFormat="1" applyFont="1" applyProtection="1">
      <protection locked="0"/>
    </xf>
    <xf numFmtId="43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72" fontId="2" fillId="0" borderId="0" xfId="0" applyFont="1" applyAlignment="1">
      <alignment horizontal="center"/>
    </xf>
    <xf numFmtId="172" fontId="0" fillId="0" borderId="0" xfId="0" applyAlignment="1">
      <alignment horizontal="center"/>
    </xf>
    <xf numFmtId="172" fontId="12" fillId="0" borderId="0" xfId="0" applyFont="1"/>
    <xf numFmtId="172" fontId="5" fillId="0" borderId="0" xfId="0" applyFont="1" applyAlignment="1">
      <alignment horizontal="right"/>
    </xf>
    <xf numFmtId="201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right"/>
    </xf>
    <xf numFmtId="172" fontId="10" fillId="0" borderId="0" xfId="0" applyFont="1"/>
    <xf numFmtId="172" fontId="5" fillId="0" borderId="0" xfId="0" applyFont="1"/>
    <xf numFmtId="172" fontId="33" fillId="0" borderId="0" xfId="0" applyFont="1"/>
    <xf numFmtId="0" fontId="5" fillId="0" borderId="0" xfId="170" applyAlignment="1">
      <alignment horizontal="center"/>
    </xf>
    <xf numFmtId="0" fontId="5" fillId="0" borderId="0" xfId="170" applyAlignment="1">
      <alignment horizontal="left"/>
    </xf>
    <xf numFmtId="172" fontId="9" fillId="0" borderId="0" xfId="0" applyFont="1"/>
    <xf numFmtId="7" fontId="10" fillId="0" borderId="6" xfId="0" applyNumberFormat="1" applyFont="1" applyBorder="1"/>
    <xf numFmtId="181" fontId="5" fillId="0" borderId="0" xfId="182" applyNumberFormat="1" applyFont="1" applyFill="1" applyAlignment="1"/>
    <xf numFmtId="0" fontId="5" fillId="0" borderId="0" xfId="172"/>
    <xf numFmtId="44" fontId="5" fillId="0" borderId="0" xfId="172" applyNumberFormat="1"/>
    <xf numFmtId="0" fontId="10" fillId="0" borderId="0" xfId="172" applyFont="1" applyAlignment="1">
      <alignment horizontal="center"/>
    </xf>
    <xf numFmtId="0" fontId="5" fillId="0" borderId="0" xfId="172" applyAlignment="1">
      <alignment horizontal="center"/>
    </xf>
    <xf numFmtId="44" fontId="5" fillId="0" borderId="0" xfId="172" applyNumberFormat="1" applyAlignment="1">
      <alignment horizontal="center"/>
    </xf>
    <xf numFmtId="0" fontId="5" fillId="0" borderId="4" xfId="172" applyBorder="1" applyAlignment="1">
      <alignment horizontal="center"/>
    </xf>
    <xf numFmtId="0" fontId="5" fillId="0" borderId="4" xfId="172" applyBorder="1"/>
    <xf numFmtId="44" fontId="5" fillId="0" borderId="4" xfId="172" applyNumberFormat="1" applyBorder="1" applyAlignment="1">
      <alignment horizontal="center"/>
    </xf>
    <xf numFmtId="0" fontId="10" fillId="0" borderId="0" xfId="172" applyFont="1"/>
    <xf numFmtId="10" fontId="5" fillId="0" borderId="0" xfId="172" applyNumberFormat="1"/>
    <xf numFmtId="0" fontId="5" fillId="0" borderId="0" xfId="172" applyAlignment="1">
      <alignment horizontal="right"/>
    </xf>
    <xf numFmtId="172" fontId="83" fillId="0" borderId="0" xfId="0" applyFont="1"/>
    <xf numFmtId="172" fontId="84" fillId="0" borderId="0" xfId="0" applyFont="1"/>
    <xf numFmtId="172" fontId="83" fillId="0" borderId="0" xfId="0" applyFont="1" applyAlignment="1">
      <alignment horizontal="right"/>
    </xf>
    <xf numFmtId="172" fontId="85" fillId="0" borderId="0" xfId="0" applyFont="1"/>
    <xf numFmtId="0" fontId="83" fillId="0" borderId="0" xfId="0" applyNumberFormat="1" applyFont="1"/>
    <xf numFmtId="172" fontId="85" fillId="0" borderId="0" xfId="0" applyFont="1" applyAlignment="1">
      <alignment horizontal="right"/>
    </xf>
    <xf numFmtId="0" fontId="84" fillId="0" borderId="0" xfId="0" applyNumberFormat="1" applyFont="1" applyAlignment="1" applyProtection="1">
      <alignment horizontal="center"/>
      <protection locked="0"/>
    </xf>
    <xf numFmtId="3" fontId="84" fillId="0" borderId="0" xfId="0" applyNumberFormat="1" applyFont="1" applyAlignment="1">
      <alignment horizontal="center"/>
    </xf>
    <xf numFmtId="49" fontId="84" fillId="0" borderId="0" xfId="0" applyNumberFormat="1" applyFont="1" applyAlignment="1">
      <alignment horizontal="center"/>
    </xf>
    <xf numFmtId="0" fontId="83" fillId="0" borderId="0" xfId="0" applyNumberFormat="1" applyFont="1" applyAlignment="1" applyProtection="1">
      <alignment horizontal="center"/>
      <protection locked="0"/>
    </xf>
    <xf numFmtId="49" fontId="83" fillId="0" borderId="0" xfId="0" applyNumberFormat="1" applyFont="1"/>
    <xf numFmtId="3" fontId="86" fillId="0" borderId="0" xfId="0" applyNumberFormat="1" applyFont="1" applyAlignment="1">
      <alignment horizontal="center"/>
    </xf>
    <xf numFmtId="43" fontId="83" fillId="0" borderId="0" xfId="0" applyNumberFormat="1" applyFont="1"/>
    <xf numFmtId="0" fontId="83" fillId="0" borderId="0" xfId="0" applyNumberFormat="1" applyFont="1" applyAlignment="1">
      <alignment horizontal="center"/>
    </xf>
    <xf numFmtId="3" fontId="83" fillId="0" borderId="0" xfId="0" applyNumberFormat="1" applyFont="1"/>
    <xf numFmtId="172" fontId="84" fillId="0" borderId="0" xfId="0" applyFont="1" applyAlignment="1">
      <alignment horizontal="center"/>
    </xf>
    <xf numFmtId="3" fontId="84" fillId="0" borderId="0" xfId="0" applyNumberFormat="1" applyFont="1"/>
    <xf numFmtId="0" fontId="83" fillId="0" borderId="3" xfId="0" applyNumberFormat="1" applyFont="1" applyBorder="1" applyAlignment="1" applyProtection="1">
      <alignment horizontal="center"/>
      <protection locked="0"/>
    </xf>
    <xf numFmtId="0" fontId="84" fillId="0" borderId="0" xfId="0" applyNumberFormat="1" applyFont="1"/>
    <xf numFmtId="3" fontId="83" fillId="0" borderId="0" xfId="0" applyNumberFormat="1" applyFont="1" applyAlignment="1">
      <alignment horizontal="center"/>
    </xf>
    <xf numFmtId="183" fontId="83" fillId="0" borderId="0" xfId="0" applyNumberFormat="1" applyFont="1" applyAlignment="1">
      <alignment horizontal="center"/>
    </xf>
    <xf numFmtId="173" fontId="83" fillId="0" borderId="0" xfId="105" applyNumberFormat="1" applyFont="1" applyFill="1" applyAlignment="1"/>
    <xf numFmtId="0" fontId="83" fillId="0" borderId="0" xfId="0" applyNumberFormat="1" applyFont="1" applyProtection="1">
      <protection locked="0"/>
    </xf>
    <xf numFmtId="173" fontId="83" fillId="0" borderId="6" xfId="105" applyNumberFormat="1" applyFont="1" applyFill="1" applyBorder="1" applyAlignment="1"/>
    <xf numFmtId="173" fontId="83" fillId="0" borderId="0" xfId="105" applyNumberFormat="1" applyFont="1" applyFill="1" applyBorder="1" applyAlignment="1"/>
    <xf numFmtId="3" fontId="88" fillId="0" borderId="0" xfId="0" applyNumberFormat="1" applyFont="1"/>
    <xf numFmtId="3" fontId="89" fillId="0" borderId="0" xfId="0" applyNumberFormat="1" applyFont="1"/>
    <xf numFmtId="3" fontId="90" fillId="0" borderId="0" xfId="0" applyNumberFormat="1" applyFont="1" applyAlignment="1">
      <alignment horizontal="center"/>
    </xf>
    <xf numFmtId="173" fontId="83" fillId="0" borderId="0" xfId="105" applyNumberFormat="1" applyFont="1" applyFill="1" applyAlignment="1">
      <alignment horizontal="center"/>
    </xf>
    <xf numFmtId="172" fontId="91" fillId="0" borderId="0" xfId="0" applyFont="1"/>
    <xf numFmtId="173" fontId="83" fillId="0" borderId="4" xfId="105" applyNumberFormat="1" applyFont="1" applyFill="1" applyBorder="1" applyAlignment="1"/>
    <xf numFmtId="172" fontId="85" fillId="0" borderId="37" xfId="0" applyFont="1" applyBorder="1"/>
    <xf numFmtId="172" fontId="85" fillId="0" borderId="6" xfId="0" applyFont="1" applyBorder="1"/>
    <xf numFmtId="172" fontId="85" fillId="0" borderId="26" xfId="0" applyFont="1" applyBorder="1"/>
    <xf numFmtId="172" fontId="85" fillId="0" borderId="27" xfId="0" applyFont="1" applyBorder="1"/>
    <xf numFmtId="172" fontId="85" fillId="0" borderId="28" xfId="0" applyFont="1" applyBorder="1"/>
    <xf numFmtId="43" fontId="85" fillId="0" borderId="0" xfId="105" applyFont="1" applyFill="1"/>
    <xf numFmtId="173" fontId="85" fillId="0" borderId="0" xfId="105" applyNumberFormat="1" applyFont="1" applyFill="1"/>
    <xf numFmtId="43" fontId="85" fillId="0" borderId="6" xfId="105" applyFont="1" applyFill="1" applyBorder="1"/>
    <xf numFmtId="172" fontId="85" fillId="0" borderId="6" xfId="105" applyNumberFormat="1" applyFont="1" applyFill="1" applyBorder="1"/>
    <xf numFmtId="172" fontId="85" fillId="0" borderId="29" xfId="0" applyFont="1" applyBorder="1"/>
    <xf numFmtId="0" fontId="83" fillId="0" borderId="4" xfId="0" applyNumberFormat="1" applyFont="1" applyBorder="1"/>
    <xf numFmtId="172" fontId="85" fillId="0" borderId="4" xfId="0" applyFont="1" applyBorder="1"/>
    <xf numFmtId="173" fontId="85" fillId="0" borderId="4" xfId="0" applyNumberFormat="1" applyFont="1" applyBorder="1"/>
    <xf numFmtId="172" fontId="85" fillId="0" borderId="30" xfId="0" applyFont="1" applyBorder="1"/>
    <xf numFmtId="173" fontId="85" fillId="0" borderId="0" xfId="105" applyNumberFormat="1" applyFont="1" applyFill="1" applyBorder="1"/>
    <xf numFmtId="0" fontId="83" fillId="0" borderId="6" xfId="0" applyNumberFormat="1" applyFont="1" applyBorder="1"/>
    <xf numFmtId="202" fontId="85" fillId="0" borderId="0" xfId="105" applyNumberFormat="1" applyFont="1" applyFill="1" applyBorder="1"/>
    <xf numFmtId="43" fontId="85" fillId="0" borderId="0" xfId="105" applyFont="1" applyFill="1" applyBorder="1"/>
    <xf numFmtId="43" fontId="85" fillId="0" borderId="28" xfId="105" applyFont="1" applyFill="1" applyBorder="1" applyAlignment="1"/>
    <xf numFmtId="173" fontId="85" fillId="0" borderId="6" xfId="105" applyNumberFormat="1" applyFont="1" applyFill="1" applyBorder="1"/>
    <xf numFmtId="0" fontId="5" fillId="0" borderId="0" xfId="171" applyAlignment="1">
      <alignment horizontal="center"/>
    </xf>
    <xf numFmtId="0" fontId="5" fillId="0" borderId="0" xfId="171"/>
    <xf numFmtId="0" fontId="86" fillId="0" borderId="0" xfId="169" applyFont="1"/>
    <xf numFmtId="0" fontId="92" fillId="0" borderId="0" xfId="171" applyFont="1" applyAlignment="1">
      <alignment horizontal="right"/>
    </xf>
    <xf numFmtId="0" fontId="86" fillId="0" borderId="0" xfId="171" applyFont="1" applyAlignment="1">
      <alignment horizontal="center"/>
    </xf>
    <xf numFmtId="0" fontId="86" fillId="0" borderId="0" xfId="171" applyFont="1"/>
    <xf numFmtId="172" fontId="86" fillId="0" borderId="0" xfId="0" applyFont="1" applyAlignment="1">
      <alignment horizontal="right"/>
    </xf>
    <xf numFmtId="0" fontId="92" fillId="0" borderId="0" xfId="171" applyFont="1" applyAlignment="1">
      <alignment horizontal="center"/>
    </xf>
    <xf numFmtId="172" fontId="86" fillId="0" borderId="0" xfId="0" applyFont="1" applyAlignment="1">
      <alignment horizontal="center"/>
    </xf>
    <xf numFmtId="172" fontId="86" fillId="0" borderId="4" xfId="0" applyFont="1" applyBorder="1" applyAlignment="1">
      <alignment horizontal="center"/>
    </xf>
    <xf numFmtId="0" fontId="86" fillId="0" borderId="0" xfId="0" applyNumberFormat="1" applyFont="1" applyAlignment="1">
      <alignment horizontal="center"/>
    </xf>
    <xf numFmtId="0" fontId="86" fillId="0" borderId="31" xfId="169" applyFont="1" applyBorder="1" applyAlignment="1">
      <alignment horizontal="center"/>
    </xf>
    <xf numFmtId="0" fontId="86" fillId="0" borderId="20" xfId="169" applyFont="1" applyBorder="1" applyAlignment="1">
      <alignment horizontal="center"/>
    </xf>
    <xf numFmtId="0" fontId="86" fillId="0" borderId="19" xfId="169" applyFont="1" applyBorder="1" applyAlignment="1">
      <alignment horizontal="center"/>
    </xf>
    <xf numFmtId="0" fontId="86" fillId="0" borderId="32" xfId="169" applyFont="1" applyBorder="1" applyAlignment="1">
      <alignment horizontal="center"/>
    </xf>
    <xf numFmtId="0" fontId="86" fillId="0" borderId="0" xfId="169" applyFont="1" applyAlignment="1">
      <alignment horizontal="center"/>
    </xf>
    <xf numFmtId="0" fontId="86" fillId="0" borderId="21" xfId="169" applyFont="1" applyBorder="1" applyAlignment="1">
      <alignment horizontal="center"/>
    </xf>
    <xf numFmtId="0" fontId="86" fillId="0" borderId="33" xfId="169" applyFont="1" applyBorder="1" applyAlignment="1">
      <alignment horizontal="center"/>
    </xf>
    <xf numFmtId="0" fontId="86" fillId="0" borderId="3" xfId="169" applyFont="1" applyBorder="1" applyAlignment="1">
      <alignment horizontal="center"/>
    </xf>
    <xf numFmtId="0" fontId="86" fillId="0" borderId="22" xfId="169" applyFont="1" applyBorder="1" applyAlignment="1">
      <alignment horizontal="center"/>
    </xf>
    <xf numFmtId="0" fontId="86" fillId="0" borderId="21" xfId="169" quotePrefix="1" applyFont="1" applyBorder="1" applyAlignment="1">
      <alignment horizontal="left"/>
    </xf>
    <xf numFmtId="0" fontId="86" fillId="0" borderId="20" xfId="169" applyFont="1" applyBorder="1"/>
    <xf numFmtId="1" fontId="86" fillId="0" borderId="31" xfId="169" applyNumberFormat="1" applyFont="1" applyBorder="1" applyAlignment="1">
      <alignment horizontal="center"/>
    </xf>
    <xf numFmtId="1" fontId="86" fillId="0" borderId="19" xfId="169" applyNumberFormat="1" applyFont="1" applyBorder="1" applyAlignment="1">
      <alignment horizontal="center"/>
    </xf>
    <xf numFmtId="1" fontId="86" fillId="0" borderId="38" xfId="169" applyNumberFormat="1" applyFont="1" applyBorder="1" applyAlignment="1">
      <alignment horizontal="center"/>
    </xf>
    <xf numFmtId="1" fontId="86" fillId="0" borderId="20" xfId="169" applyNumberFormat="1" applyFont="1" applyBorder="1" applyAlignment="1">
      <alignment horizontal="center"/>
    </xf>
    <xf numFmtId="1" fontId="86" fillId="0" borderId="0" xfId="169" applyNumberFormat="1" applyFont="1"/>
    <xf numFmtId="1" fontId="86" fillId="0" borderId="32" xfId="169" applyNumberFormat="1" applyFont="1" applyBorder="1" applyAlignment="1">
      <alignment horizontal="center"/>
    </xf>
    <xf numFmtId="1" fontId="86" fillId="0" borderId="21" xfId="169" applyNumberFormat="1" applyFont="1" applyBorder="1" applyAlignment="1">
      <alignment horizontal="center"/>
    </xf>
    <xf numFmtId="1" fontId="86" fillId="0" borderId="39" xfId="169" applyNumberFormat="1" applyFont="1" applyBorder="1" applyAlignment="1">
      <alignment horizontal="center"/>
    </xf>
    <xf numFmtId="1" fontId="86" fillId="0" borderId="0" xfId="169" applyNumberFormat="1" applyFont="1" applyAlignment="1">
      <alignment horizontal="center"/>
    </xf>
    <xf numFmtId="0" fontId="86" fillId="0" borderId="22" xfId="169" quotePrefix="1" applyFont="1" applyBorder="1" applyAlignment="1">
      <alignment horizontal="left"/>
    </xf>
    <xf numFmtId="0" fontId="86" fillId="0" borderId="3" xfId="169" applyFont="1" applyBorder="1"/>
    <xf numFmtId="1" fontId="86" fillId="0" borderId="33" xfId="169" applyNumberFormat="1" applyFont="1" applyBorder="1" applyAlignment="1">
      <alignment horizontal="center"/>
    </xf>
    <xf numFmtId="1" fontId="86" fillId="0" borderId="22" xfId="169" applyNumberFormat="1" applyFont="1" applyBorder="1" applyAlignment="1">
      <alignment horizontal="center"/>
    </xf>
    <xf numFmtId="1" fontId="86" fillId="0" borderId="40" xfId="169" applyNumberFormat="1" applyFont="1" applyBorder="1" applyAlignment="1">
      <alignment horizontal="center"/>
    </xf>
    <xf numFmtId="0" fontId="86" fillId="0" borderId="32" xfId="169" applyFont="1" applyBorder="1"/>
    <xf numFmtId="0" fontId="86" fillId="0" borderId="21" xfId="169" applyFont="1" applyBorder="1"/>
    <xf numFmtId="0" fontId="86" fillId="0" borderId="25" xfId="169" applyFont="1" applyBorder="1"/>
    <xf numFmtId="0" fontId="86" fillId="0" borderId="9" xfId="169" applyFont="1" applyBorder="1"/>
    <xf numFmtId="1" fontId="86" fillId="0" borderId="25" xfId="169" applyNumberFormat="1" applyFont="1" applyBorder="1" applyAlignment="1">
      <alignment horizontal="center"/>
    </xf>
    <xf numFmtId="1" fontId="86" fillId="0" borderId="23" xfId="169" applyNumberFormat="1" applyFont="1" applyBorder="1" applyAlignment="1">
      <alignment horizontal="center"/>
    </xf>
    <xf numFmtId="1" fontId="86" fillId="0" borderId="34" xfId="169" applyNumberFormat="1" applyFont="1" applyBorder="1" applyAlignment="1">
      <alignment horizontal="center"/>
    </xf>
    <xf numFmtId="1" fontId="86" fillId="0" borderId="9" xfId="169" applyNumberFormat="1" applyFont="1" applyBorder="1" applyAlignment="1">
      <alignment horizontal="center"/>
    </xf>
    <xf numFmtId="0" fontId="86" fillId="0" borderId="38" xfId="169" applyFont="1" applyBorder="1" applyAlignment="1">
      <alignment horizontal="center"/>
    </xf>
    <xf numFmtId="0" fontId="86" fillId="0" borderId="39" xfId="169" applyFont="1" applyBorder="1" applyAlignment="1">
      <alignment horizontal="center"/>
    </xf>
    <xf numFmtId="0" fontId="86" fillId="0" borderId="40" xfId="169" applyFont="1" applyBorder="1" applyAlignment="1">
      <alignment horizontal="center"/>
    </xf>
    <xf numFmtId="0" fontId="86" fillId="0" borderId="19" xfId="169" applyFont="1" applyBorder="1"/>
    <xf numFmtId="0" fontId="86" fillId="0" borderId="0" xfId="169" applyFont="1" applyAlignment="1">
      <alignment horizontal="left"/>
    </xf>
    <xf numFmtId="10" fontId="86" fillId="0" borderId="0" xfId="169" applyNumberFormat="1" applyFont="1"/>
    <xf numFmtId="43" fontId="86" fillId="0" borderId="0" xfId="105" applyFont="1" applyFill="1"/>
    <xf numFmtId="10" fontId="86" fillId="0" borderId="0" xfId="169" applyNumberFormat="1" applyFont="1" applyAlignment="1">
      <alignment horizontal="center"/>
    </xf>
    <xf numFmtId="1" fontId="86" fillId="0" borderId="0" xfId="169" applyNumberFormat="1" applyFont="1" applyAlignment="1">
      <alignment horizontal="left"/>
    </xf>
    <xf numFmtId="172" fontId="80" fillId="0" borderId="0" xfId="0" applyFont="1"/>
    <xf numFmtId="0" fontId="5" fillId="0" borderId="4" xfId="0" applyNumberFormat="1" applyFont="1" applyBorder="1" applyAlignment="1">
      <alignment horizontal="center" vertical="center"/>
    </xf>
    <xf numFmtId="183" fontId="5" fillId="0" borderId="0" xfId="161" applyNumberFormat="1" applyFont="1" applyAlignment="1">
      <alignment horizontal="left" vertical="center"/>
    </xf>
    <xf numFmtId="183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center" vertical="center"/>
    </xf>
    <xf numFmtId="173" fontId="5" fillId="0" borderId="0" xfId="105" applyNumberFormat="1" applyFont="1" applyFill="1" applyAlignment="1">
      <alignment horizontal="center" vertical="center"/>
    </xf>
    <xf numFmtId="172" fontId="5" fillId="0" borderId="0" xfId="0" applyFont="1" applyAlignment="1">
      <alignment horizontal="center" vertical="center"/>
    </xf>
    <xf numFmtId="183" fontId="5" fillId="0" borderId="0" xfId="0" applyNumberFormat="1" applyFont="1" applyAlignment="1">
      <alignment horizontal="left" vertical="center"/>
    </xf>
    <xf numFmtId="172" fontId="80" fillId="0" borderId="0" xfId="0" applyFont="1" applyAlignment="1">
      <alignment horizontal="left"/>
    </xf>
    <xf numFmtId="172" fontId="80" fillId="0" borderId="3" xfId="0" applyFont="1" applyBorder="1"/>
    <xf numFmtId="183" fontId="10" fillId="0" borderId="0" xfId="0" applyNumberFormat="1" applyFont="1" applyAlignment="1">
      <alignment horizontal="left"/>
    </xf>
    <xf numFmtId="183" fontId="5" fillId="0" borderId="0" xfId="0" applyNumberFormat="1" applyFont="1" applyAlignment="1">
      <alignment horizontal="center"/>
    </xf>
    <xf numFmtId="173" fontId="80" fillId="0" borderId="20" xfId="105" applyNumberFormat="1" applyFont="1" applyFill="1" applyBorder="1"/>
    <xf numFmtId="183" fontId="5" fillId="0" borderId="0" xfId="0" applyNumberFormat="1" applyFont="1" applyAlignment="1">
      <alignment horizontal="left"/>
    </xf>
    <xf numFmtId="172" fontId="5" fillId="0" borderId="0" xfId="0" applyFont="1" applyAlignment="1">
      <alignment horizontal="center"/>
    </xf>
    <xf numFmtId="183" fontId="5" fillId="0" borderId="0" xfId="161" applyNumberFormat="1" applyFont="1" applyAlignment="1">
      <alignment horizontal="right"/>
    </xf>
    <xf numFmtId="0" fontId="94" fillId="0" borderId="0" xfId="174" applyFont="1"/>
    <xf numFmtId="0" fontId="86" fillId="0" borderId="0" xfId="174" applyFont="1"/>
    <xf numFmtId="0" fontId="94" fillId="0" borderId="0" xfId="174" applyFont="1" applyAlignment="1">
      <alignment horizontal="right"/>
    </xf>
    <xf numFmtId="0" fontId="95" fillId="0" borderId="0" xfId="174" applyFont="1" applyAlignment="1">
      <alignment horizontal="right"/>
    </xf>
    <xf numFmtId="0" fontId="92" fillId="0" borderId="0" xfId="174" applyFont="1" applyAlignment="1">
      <alignment horizontal="left"/>
    </xf>
    <xf numFmtId="0" fontId="94" fillId="0" borderId="0" xfId="174" applyFont="1" applyAlignment="1">
      <alignment horizontal="center"/>
    </xf>
    <xf numFmtId="0" fontId="94" fillId="0" borderId="4" xfId="174" applyFont="1" applyBorder="1" applyAlignment="1">
      <alignment horizontal="center"/>
    </xf>
    <xf numFmtId="0" fontId="95" fillId="0" borderId="0" xfId="174" applyFont="1"/>
    <xf numFmtId="164" fontId="94" fillId="0" borderId="0" xfId="174" applyNumberFormat="1" applyFont="1"/>
    <xf numFmtId="43" fontId="94" fillId="0" borderId="0" xfId="105" applyFont="1" applyFill="1"/>
    <xf numFmtId="173" fontId="94" fillId="0" borderId="0" xfId="105" applyNumberFormat="1" applyFont="1" applyFill="1"/>
    <xf numFmtId="44" fontId="94" fillId="0" borderId="0" xfId="112" applyFont="1" applyFill="1"/>
    <xf numFmtId="173" fontId="94" fillId="0" borderId="24" xfId="174" applyNumberFormat="1" applyFont="1" applyBorder="1"/>
    <xf numFmtId="6" fontId="95" fillId="0" borderId="24" xfId="174" applyNumberFormat="1" applyFont="1" applyBorder="1"/>
    <xf numFmtId="43" fontId="94" fillId="0" borderId="0" xfId="174" applyNumberFormat="1" applyFont="1"/>
    <xf numFmtId="3" fontId="94" fillId="0" borderId="0" xfId="174" applyNumberFormat="1" applyFont="1"/>
    <xf numFmtId="173" fontId="94" fillId="0" borderId="0" xfId="174" applyNumberFormat="1" applyFont="1"/>
    <xf numFmtId="6" fontId="94" fillId="0" borderId="0" xfId="174" applyNumberFormat="1" applyFont="1"/>
    <xf numFmtId="0" fontId="96" fillId="0" borderId="0" xfId="174" applyFont="1"/>
    <xf numFmtId="174" fontId="92" fillId="0" borderId="0" xfId="112" applyNumberFormat="1" applyFont="1" applyFill="1"/>
    <xf numFmtId="0" fontId="94" fillId="0" borderId="0" xfId="174" quotePrefix="1" applyFont="1" applyAlignment="1">
      <alignment horizontal="left"/>
    </xf>
    <xf numFmtId="3" fontId="92" fillId="0" borderId="0" xfId="174" applyNumberFormat="1" applyFont="1"/>
    <xf numFmtId="0" fontId="97" fillId="0" borderId="0" xfId="174" applyFont="1"/>
    <xf numFmtId="177" fontId="92" fillId="0" borderId="0" xfId="112" applyNumberFormat="1" applyFont="1" applyFill="1" applyAlignment="1">
      <alignment horizontal="right"/>
    </xf>
    <xf numFmtId="0" fontId="97" fillId="0" borderId="0" xfId="174" applyFont="1" applyAlignment="1">
      <alignment horizontal="left"/>
    </xf>
    <xf numFmtId="0" fontId="84" fillId="0" borderId="0" xfId="174" applyFont="1"/>
    <xf numFmtId="0" fontId="98" fillId="0" borderId="0" xfId="174" applyFont="1"/>
    <xf numFmtId="0" fontId="99" fillId="0" borderId="0" xfId="174" applyFont="1" applyAlignment="1">
      <alignment horizontal="center"/>
    </xf>
    <xf numFmtId="0" fontId="99" fillId="0" borderId="0" xfId="174" applyFont="1"/>
    <xf numFmtId="0" fontId="94" fillId="0" borderId="0" xfId="173" applyFont="1"/>
    <xf numFmtId="0" fontId="5" fillId="0" borderId="0" xfId="171" applyAlignment="1">
      <alignment horizontal="right"/>
    </xf>
    <xf numFmtId="0" fontId="10" fillId="0" borderId="0" xfId="171" applyFont="1"/>
    <xf numFmtId="172" fontId="82" fillId="0" borderId="0" xfId="0" applyFont="1"/>
    <xf numFmtId="0" fontId="5" fillId="0" borderId="3" xfId="171" applyBorder="1" applyAlignment="1">
      <alignment horizontal="center"/>
    </xf>
    <xf numFmtId="0" fontId="5" fillId="0" borderId="3" xfId="171" applyBorder="1"/>
    <xf numFmtId="0" fontId="5" fillId="0" borderId="3" xfId="171" applyBorder="1" applyAlignment="1">
      <alignment horizontal="center" wrapText="1"/>
    </xf>
    <xf numFmtId="0" fontId="5" fillId="0" borderId="0" xfId="171" applyAlignment="1">
      <alignment horizontal="center" wrapText="1"/>
    </xf>
    <xf numFmtId="3" fontId="5" fillId="0" borderId="0" xfId="171" applyNumberFormat="1"/>
    <xf numFmtId="44" fontId="5" fillId="0" borderId="0" xfId="171" applyNumberFormat="1"/>
    <xf numFmtId="41" fontId="5" fillId="0" borderId="0" xfId="171" applyNumberFormat="1"/>
    <xf numFmtId="44" fontId="5" fillId="0" borderId="3" xfId="171" applyNumberFormat="1" applyBorder="1"/>
    <xf numFmtId="174" fontId="5" fillId="0" borderId="0" xfId="171" applyNumberFormat="1"/>
    <xf numFmtId="0" fontId="5" fillId="0" borderId="37" xfId="171" applyBorder="1"/>
    <xf numFmtId="0" fontId="5" fillId="0" borderId="6" xfId="171" applyBorder="1"/>
    <xf numFmtId="0" fontId="5" fillId="0" borderId="26" xfId="171" applyBorder="1"/>
    <xf numFmtId="174" fontId="35" fillId="0" borderId="0" xfId="171" applyNumberFormat="1" applyFont="1"/>
    <xf numFmtId="43" fontId="5" fillId="0" borderId="0" xfId="171" applyNumberFormat="1"/>
    <xf numFmtId="175" fontId="11" fillId="0" borderId="0" xfId="171" applyNumberFormat="1" applyFont="1"/>
    <xf numFmtId="176" fontId="5" fillId="0" borderId="0" xfId="171" applyNumberFormat="1"/>
    <xf numFmtId="0" fontId="5" fillId="0" borderId="27" xfId="171" applyBorder="1"/>
    <xf numFmtId="0" fontId="5" fillId="0" borderId="28" xfId="171" applyBorder="1"/>
    <xf numFmtId="42" fontId="5" fillId="0" borderId="0" xfId="171" applyNumberFormat="1"/>
    <xf numFmtId="173" fontId="5" fillId="0" borderId="0" xfId="171" applyNumberFormat="1"/>
    <xf numFmtId="42" fontId="5" fillId="0" borderId="3" xfId="171" applyNumberFormat="1" applyBorder="1"/>
    <xf numFmtId="174" fontId="5" fillId="0" borderId="3" xfId="171" applyNumberFormat="1" applyBorder="1"/>
    <xf numFmtId="173" fontId="5" fillId="0" borderId="3" xfId="171" applyNumberFormat="1" applyBorder="1"/>
    <xf numFmtId="43" fontId="5" fillId="0" borderId="3" xfId="171" applyNumberFormat="1" applyBorder="1"/>
    <xf numFmtId="0" fontId="5" fillId="0" borderId="29" xfId="171" applyBorder="1"/>
    <xf numFmtId="0" fontId="5" fillId="0" borderId="4" xfId="171" applyBorder="1"/>
    <xf numFmtId="0" fontId="5" fillId="0" borderId="30" xfId="171" applyBorder="1"/>
    <xf numFmtId="0" fontId="5" fillId="0" borderId="0" xfId="171" quotePrefix="1"/>
    <xf numFmtId="172" fontId="1" fillId="0" borderId="0" xfId="0" applyFont="1"/>
    <xf numFmtId="0" fontId="1" fillId="0" borderId="0" xfId="0" applyNumberFormat="1" applyFont="1"/>
    <xf numFmtId="169" fontId="1" fillId="0" borderId="0" xfId="0" applyNumberFormat="1" applyFont="1"/>
    <xf numFmtId="203" fontId="1" fillId="0" borderId="0" xfId="105" applyNumberFormat="1" applyFont="1" applyFill="1"/>
    <xf numFmtId="172" fontId="5" fillId="0" borderId="4" xfId="0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170"/>
    <xf numFmtId="16" fontId="5" fillId="0" borderId="0" xfId="170" applyNumberFormat="1" applyAlignment="1">
      <alignment horizontal="center"/>
    </xf>
    <xf numFmtId="173" fontId="5" fillId="0" borderId="0" xfId="105" applyNumberFormat="1" applyFont="1" applyFill="1" applyAlignment="1"/>
    <xf numFmtId="172" fontId="7" fillId="0" borderId="0" xfId="0" applyFont="1"/>
    <xf numFmtId="172" fontId="7" fillId="0" borderId="0" xfId="0" applyFont="1" applyAlignment="1">
      <alignment horizontal="center"/>
    </xf>
    <xf numFmtId="172" fontId="7" fillId="0" borderId="4" xfId="0" applyFont="1" applyBorder="1" applyAlignment="1">
      <alignment horizontal="center"/>
    </xf>
    <xf numFmtId="181" fontId="5" fillId="0" borderId="6" xfId="180" applyNumberFormat="1" applyFont="1" applyFill="1" applyBorder="1" applyAlignment="1"/>
    <xf numFmtId="0" fontId="10" fillId="0" borderId="0" xfId="17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NumberFormat="1" applyFont="1" applyAlignment="1" applyProtection="1">
      <alignment horizontal="center"/>
      <protection locked="0"/>
    </xf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72" fontId="4" fillId="0" borderId="0" xfId="0" applyFont="1" applyAlignment="1">
      <alignment horizontal="center"/>
    </xf>
    <xf numFmtId="0" fontId="10" fillId="0" borderId="0" xfId="172" applyFont="1" applyAlignment="1">
      <alignment horizontal="center"/>
    </xf>
    <xf numFmtId="0" fontId="84" fillId="0" borderId="0" xfId="0" applyNumberFormat="1" applyFont="1" applyAlignment="1" applyProtection="1">
      <alignment horizontal="center"/>
      <protection locked="0"/>
    </xf>
    <xf numFmtId="3" fontId="84" fillId="0" borderId="0" xfId="0" applyNumberFormat="1" applyFont="1" applyAlignment="1">
      <alignment horizontal="center"/>
    </xf>
    <xf numFmtId="49" fontId="84" fillId="0" borderId="0" xfId="0" applyNumberFormat="1" applyFont="1" applyAlignment="1">
      <alignment horizontal="center"/>
    </xf>
    <xf numFmtId="0" fontId="84" fillId="0" borderId="41" xfId="171" applyFont="1" applyBorder="1" applyAlignment="1">
      <alignment horizontal="center"/>
    </xf>
    <xf numFmtId="0" fontId="84" fillId="0" borderId="10" xfId="171" applyFont="1" applyBorder="1" applyAlignment="1">
      <alignment horizontal="center"/>
    </xf>
    <xf numFmtId="0" fontId="84" fillId="0" borderId="42" xfId="171" applyFont="1" applyBorder="1" applyAlignment="1">
      <alignment horizontal="center"/>
    </xf>
    <xf numFmtId="0" fontId="92" fillId="0" borderId="0" xfId="171" applyFont="1" applyAlignment="1">
      <alignment horizontal="center"/>
    </xf>
    <xf numFmtId="0" fontId="92" fillId="0" borderId="0" xfId="174" applyFont="1" applyAlignment="1">
      <alignment horizontal="center"/>
    </xf>
    <xf numFmtId="0" fontId="95" fillId="0" borderId="4" xfId="174" applyFont="1" applyBorder="1"/>
  </cellXfs>
  <cellStyles count="246">
    <cellStyle name="%" xfId="1" xr:uid="{00000000-0005-0000-0000-000000000000}"/>
    <cellStyle name="_033103 13 week CF1" xfId="2" xr:uid="{00000000-0005-0000-0000-000001000000}"/>
    <cellStyle name="_181000-189000" xfId="3" xr:uid="{00000000-0005-0000-0000-000002000000}"/>
    <cellStyle name="_2002  What- No Cap X Morgan" xfId="4" xr:uid="{00000000-0005-0000-0000-000003000000}"/>
    <cellStyle name="_Baseline Rollforward Support 050817" xfId="5" xr:uid="{00000000-0005-0000-0000-000004000000}"/>
    <cellStyle name="_EGTG_2003_YTD_Cash_Flow" xfId="6" xr:uid="{00000000-0005-0000-0000-000005000000}"/>
    <cellStyle name="_Everest_Board_Book_2003_FINAL" xfId="7" xr:uid="{00000000-0005-0000-0000-000006000000}"/>
    <cellStyle name="_Oct03_Everest_Board_Financial_Operating_Report" xfId="8" xr:uid="{00000000-0005-0000-0000-000007000000}"/>
    <cellStyle name="_SpreadSM" xfId="9" xr:uid="{00000000-0005-0000-0000-000008000000}"/>
    <cellStyle name="_Vacation Hours 7-14-08 (2)" xfId="10" xr:uid="{00000000-0005-0000-0000-000009000000}"/>
    <cellStyle name="=C:\WINNT35\SYSTEM32\COMMAND.COM" xfId="11" xr:uid="{00000000-0005-0000-0000-00000A000000}"/>
    <cellStyle name="20% - Accent1" xfId="12" builtinId="30" customBuiltin="1"/>
    <cellStyle name="20% - Accent1 2" xfId="13" xr:uid="{00000000-0005-0000-0000-00000C000000}"/>
    <cellStyle name="20% - Accent2" xfId="14" builtinId="34" customBuiltin="1"/>
    <cellStyle name="20% - Accent2 2" xfId="15" xr:uid="{00000000-0005-0000-0000-00000E000000}"/>
    <cellStyle name="20% - Accent3" xfId="16" builtinId="38" customBuiltin="1"/>
    <cellStyle name="20% - Accent3 2" xfId="17" xr:uid="{00000000-0005-0000-0000-000010000000}"/>
    <cellStyle name="20% - Accent4" xfId="18" builtinId="42" customBuiltin="1"/>
    <cellStyle name="20% - Accent4 2" xfId="19" xr:uid="{00000000-0005-0000-0000-000012000000}"/>
    <cellStyle name="20% - Accent5" xfId="20" builtinId="46" customBuiltin="1"/>
    <cellStyle name="20% - Accent5 2" xfId="21" xr:uid="{00000000-0005-0000-0000-000014000000}"/>
    <cellStyle name="20% - Accent6" xfId="22" builtinId="50" customBuiltin="1"/>
    <cellStyle name="20% - Accent6 2" xfId="23" xr:uid="{00000000-0005-0000-0000-000016000000}"/>
    <cellStyle name="40% - Accent1" xfId="24" builtinId="31" customBuiltin="1"/>
    <cellStyle name="40% - Accent1 2" xfId="25" xr:uid="{00000000-0005-0000-0000-000018000000}"/>
    <cellStyle name="40% - Accent2" xfId="26" builtinId="35" customBuiltin="1"/>
    <cellStyle name="40% - Accent2 2" xfId="27" xr:uid="{00000000-0005-0000-0000-00001A000000}"/>
    <cellStyle name="40% - Accent3" xfId="28" builtinId="39" customBuiltin="1"/>
    <cellStyle name="40% - Accent3 2" xfId="29" xr:uid="{00000000-0005-0000-0000-00001C000000}"/>
    <cellStyle name="40% - Accent4" xfId="30" builtinId="43" customBuiltin="1"/>
    <cellStyle name="40% - Accent4 2" xfId="31" xr:uid="{00000000-0005-0000-0000-00001E000000}"/>
    <cellStyle name="40% - Accent5" xfId="32" builtinId="47" customBuiltin="1"/>
    <cellStyle name="40% - Accent5 2" xfId="33" xr:uid="{00000000-0005-0000-0000-000020000000}"/>
    <cellStyle name="40% - Accent6" xfId="34" builtinId="51" customBuiltin="1"/>
    <cellStyle name="40% - Accent6 2" xfId="35" xr:uid="{00000000-0005-0000-0000-000022000000}"/>
    <cellStyle name="60% - Accent1" xfId="36" builtinId="32" customBuiltin="1"/>
    <cellStyle name="60% - Accent1 2" xfId="37" xr:uid="{00000000-0005-0000-0000-000024000000}"/>
    <cellStyle name="60% - Accent2" xfId="38" builtinId="36" customBuiltin="1"/>
    <cellStyle name="60% - Accent2 2" xfId="39" xr:uid="{00000000-0005-0000-0000-000026000000}"/>
    <cellStyle name="60% - Accent3" xfId="40" builtinId="40" customBuiltin="1"/>
    <cellStyle name="60% - Accent3 2" xfId="41" xr:uid="{00000000-0005-0000-0000-000028000000}"/>
    <cellStyle name="60% - Accent4" xfId="42" builtinId="44" customBuiltin="1"/>
    <cellStyle name="60% - Accent4 2" xfId="43" xr:uid="{00000000-0005-0000-0000-00002A000000}"/>
    <cellStyle name="60% - Accent5" xfId="44" builtinId="48" customBuiltin="1"/>
    <cellStyle name="60% - Accent5 2" xfId="45" xr:uid="{00000000-0005-0000-0000-00002C000000}"/>
    <cellStyle name="60% - Accent6" xfId="46" builtinId="52" customBuiltin="1"/>
    <cellStyle name="60% - Accent6 2" xfId="47" xr:uid="{00000000-0005-0000-0000-00002E000000}"/>
    <cellStyle name="Accent1" xfId="48" builtinId="29" customBuiltin="1"/>
    <cellStyle name="Accent1 2" xfId="49" xr:uid="{00000000-0005-0000-0000-000030000000}"/>
    <cellStyle name="Accent2" xfId="50" builtinId="33" customBuiltin="1"/>
    <cellStyle name="Accent2 2" xfId="51" xr:uid="{00000000-0005-0000-0000-000032000000}"/>
    <cellStyle name="Accent3" xfId="52" builtinId="37" customBuiltin="1"/>
    <cellStyle name="Accent3 2" xfId="53" xr:uid="{00000000-0005-0000-0000-000034000000}"/>
    <cellStyle name="Accent4" xfId="54" builtinId="41" customBuiltin="1"/>
    <cellStyle name="Accent4 2" xfId="55" xr:uid="{00000000-0005-0000-0000-000036000000}"/>
    <cellStyle name="Accent5" xfId="56" builtinId="45" customBuiltin="1"/>
    <cellStyle name="Accent5 2" xfId="57" xr:uid="{00000000-0005-0000-0000-000038000000}"/>
    <cellStyle name="Accent6" xfId="58" builtinId="49" customBuiltin="1"/>
    <cellStyle name="Accent6 2" xfId="59" xr:uid="{00000000-0005-0000-0000-00003A000000}"/>
    <cellStyle name="Accounting" xfId="60" xr:uid="{00000000-0005-0000-0000-00003B000000}"/>
    <cellStyle name="Actual Date" xfId="61" xr:uid="{00000000-0005-0000-0000-00003C000000}"/>
    <cellStyle name="ADDR" xfId="62" xr:uid="{00000000-0005-0000-0000-00003D000000}"/>
    <cellStyle name="Agara" xfId="63" xr:uid="{00000000-0005-0000-0000-00003E000000}"/>
    <cellStyle name="Bad" xfId="64" builtinId="27" customBuiltin="1"/>
    <cellStyle name="Bad 2" xfId="65" xr:uid="{00000000-0005-0000-0000-000040000000}"/>
    <cellStyle name="Body" xfId="66" xr:uid="{00000000-0005-0000-0000-000041000000}"/>
    <cellStyle name="Bottom bold border" xfId="67" xr:uid="{00000000-0005-0000-0000-000042000000}"/>
    <cellStyle name="Bottom single border" xfId="68" xr:uid="{00000000-0005-0000-0000-000043000000}"/>
    <cellStyle name="Business Unit" xfId="69" xr:uid="{00000000-0005-0000-0000-000044000000}"/>
    <cellStyle name="C00A" xfId="70" xr:uid="{00000000-0005-0000-0000-000045000000}"/>
    <cellStyle name="C00B" xfId="71" xr:uid="{00000000-0005-0000-0000-000046000000}"/>
    <cellStyle name="C00L" xfId="72" xr:uid="{00000000-0005-0000-0000-000047000000}"/>
    <cellStyle name="C01A" xfId="73" xr:uid="{00000000-0005-0000-0000-000048000000}"/>
    <cellStyle name="C01B" xfId="74" xr:uid="{00000000-0005-0000-0000-000049000000}"/>
    <cellStyle name="C01H" xfId="75" xr:uid="{00000000-0005-0000-0000-00004A000000}"/>
    <cellStyle name="C01L" xfId="76" xr:uid="{00000000-0005-0000-0000-00004B000000}"/>
    <cellStyle name="C02A" xfId="77" xr:uid="{00000000-0005-0000-0000-00004C000000}"/>
    <cellStyle name="C02B" xfId="78" xr:uid="{00000000-0005-0000-0000-00004D000000}"/>
    <cellStyle name="C02H" xfId="79" xr:uid="{00000000-0005-0000-0000-00004E000000}"/>
    <cellStyle name="C02L" xfId="80" xr:uid="{00000000-0005-0000-0000-00004F000000}"/>
    <cellStyle name="C03A" xfId="81" xr:uid="{00000000-0005-0000-0000-000050000000}"/>
    <cellStyle name="C03B" xfId="82" xr:uid="{00000000-0005-0000-0000-000051000000}"/>
    <cellStyle name="C03H" xfId="83" xr:uid="{00000000-0005-0000-0000-000052000000}"/>
    <cellStyle name="C03L" xfId="84" xr:uid="{00000000-0005-0000-0000-000053000000}"/>
    <cellStyle name="C04A" xfId="85" xr:uid="{00000000-0005-0000-0000-000054000000}"/>
    <cellStyle name="C04B" xfId="86" xr:uid="{00000000-0005-0000-0000-000055000000}"/>
    <cellStyle name="C04H" xfId="87" xr:uid="{00000000-0005-0000-0000-000056000000}"/>
    <cellStyle name="C04L" xfId="88" xr:uid="{00000000-0005-0000-0000-000057000000}"/>
    <cellStyle name="C05A" xfId="89" xr:uid="{00000000-0005-0000-0000-000058000000}"/>
    <cellStyle name="C05B" xfId="90" xr:uid="{00000000-0005-0000-0000-000059000000}"/>
    <cellStyle name="C05H" xfId="91" xr:uid="{00000000-0005-0000-0000-00005A000000}"/>
    <cellStyle name="C05L" xfId="92" xr:uid="{00000000-0005-0000-0000-00005B000000}"/>
    <cellStyle name="C06A" xfId="93" xr:uid="{00000000-0005-0000-0000-00005C000000}"/>
    <cellStyle name="C06B" xfId="94" xr:uid="{00000000-0005-0000-0000-00005D000000}"/>
    <cellStyle name="C06H" xfId="95" xr:uid="{00000000-0005-0000-0000-00005E000000}"/>
    <cellStyle name="C06L" xfId="96" xr:uid="{00000000-0005-0000-0000-00005F000000}"/>
    <cellStyle name="C07A" xfId="97" xr:uid="{00000000-0005-0000-0000-000060000000}"/>
    <cellStyle name="C07B" xfId="98" xr:uid="{00000000-0005-0000-0000-000061000000}"/>
    <cellStyle name="C07H" xfId="99" xr:uid="{00000000-0005-0000-0000-000062000000}"/>
    <cellStyle name="C07L" xfId="100" xr:uid="{00000000-0005-0000-0000-000063000000}"/>
    <cellStyle name="Calculation" xfId="101" builtinId="22" customBuiltin="1"/>
    <cellStyle name="Calculation 2" xfId="102" xr:uid="{00000000-0005-0000-0000-000065000000}"/>
    <cellStyle name="Check Cell" xfId="103" builtinId="23" customBuiltin="1"/>
    <cellStyle name="Check Cell 2" xfId="104" xr:uid="{00000000-0005-0000-0000-000067000000}"/>
    <cellStyle name="Comma" xfId="105" builtinId="3"/>
    <cellStyle name="Comma 0" xfId="106" xr:uid="{00000000-0005-0000-0000-000069000000}"/>
    <cellStyle name="Comma 2" xfId="107" xr:uid="{00000000-0005-0000-0000-00006A000000}"/>
    <cellStyle name="Comma 3" xfId="108" xr:uid="{00000000-0005-0000-0000-00006B000000}"/>
    <cellStyle name="Comma 4" xfId="109" xr:uid="{00000000-0005-0000-0000-00006C000000}"/>
    <cellStyle name="Comma 5" xfId="110" xr:uid="{00000000-0005-0000-0000-00006D000000}"/>
    <cellStyle name="Comma 96" xfId="245" xr:uid="{9ECA433B-8FBA-4748-96FD-E4EF8CF3C701}"/>
    <cellStyle name="Comma0 - Style1" xfId="111" xr:uid="{00000000-0005-0000-0000-00006E000000}"/>
    <cellStyle name="Currency" xfId="112" builtinId="4"/>
    <cellStyle name="Currency 2" xfId="113" xr:uid="{00000000-0005-0000-0000-000070000000}"/>
    <cellStyle name="Currency 2 2" xfId="114" xr:uid="{00000000-0005-0000-0000-000071000000}"/>
    <cellStyle name="Currency 3" xfId="115" xr:uid="{00000000-0005-0000-0000-000072000000}"/>
    <cellStyle name="Date" xfId="116" xr:uid="{00000000-0005-0000-0000-000073000000}"/>
    <cellStyle name="Euro" xfId="117" xr:uid="{00000000-0005-0000-0000-000074000000}"/>
    <cellStyle name="Explanatory Text" xfId="118" builtinId="53" customBuiltin="1"/>
    <cellStyle name="Explanatory Text 2" xfId="119" xr:uid="{00000000-0005-0000-0000-000076000000}"/>
    <cellStyle name="Fixed" xfId="120" xr:uid="{00000000-0005-0000-0000-000077000000}"/>
    <cellStyle name="Fixed1 - Style1" xfId="121" xr:uid="{00000000-0005-0000-0000-000078000000}"/>
    <cellStyle name="Gilsans" xfId="122" xr:uid="{00000000-0005-0000-0000-000079000000}"/>
    <cellStyle name="Gilsansl" xfId="123" xr:uid="{00000000-0005-0000-0000-00007A000000}"/>
    <cellStyle name="Good" xfId="124" builtinId="26" customBuiltin="1"/>
    <cellStyle name="Good 2" xfId="125" xr:uid="{00000000-0005-0000-0000-00007C000000}"/>
    <cellStyle name="Grey" xfId="126" xr:uid="{00000000-0005-0000-0000-00007D000000}"/>
    <cellStyle name="HEADER" xfId="127" xr:uid="{00000000-0005-0000-0000-00007E000000}"/>
    <cellStyle name="Header1" xfId="128" xr:uid="{00000000-0005-0000-0000-00007F000000}"/>
    <cellStyle name="Header2" xfId="129" xr:uid="{00000000-0005-0000-0000-000080000000}"/>
    <cellStyle name="Heading" xfId="130" xr:uid="{00000000-0005-0000-0000-000081000000}"/>
    <cellStyle name="Heading 1" xfId="131" builtinId="16" customBuiltin="1"/>
    <cellStyle name="Heading 1 2" xfId="132" xr:uid="{00000000-0005-0000-0000-000083000000}"/>
    <cellStyle name="Heading 2" xfId="133" builtinId="17" customBuiltin="1"/>
    <cellStyle name="Heading 2 2" xfId="134" xr:uid="{00000000-0005-0000-0000-000085000000}"/>
    <cellStyle name="Heading 3" xfId="135" builtinId="18" customBuiltin="1"/>
    <cellStyle name="Heading 3 2" xfId="136" xr:uid="{00000000-0005-0000-0000-000087000000}"/>
    <cellStyle name="Heading 4" xfId="137" builtinId="19" customBuiltin="1"/>
    <cellStyle name="Heading 4 2" xfId="138" xr:uid="{00000000-0005-0000-0000-000089000000}"/>
    <cellStyle name="Heading1" xfId="139" xr:uid="{00000000-0005-0000-0000-00008A000000}"/>
    <cellStyle name="Heading2" xfId="140" xr:uid="{00000000-0005-0000-0000-00008B000000}"/>
    <cellStyle name="HIGHLIGHT" xfId="141" xr:uid="{00000000-0005-0000-0000-00008C000000}"/>
    <cellStyle name="Input" xfId="142" builtinId="20" customBuiltin="1"/>
    <cellStyle name="Input [yellow]" xfId="143" xr:uid="{00000000-0005-0000-0000-00008E000000}"/>
    <cellStyle name="Input 2" xfId="144" xr:uid="{00000000-0005-0000-0000-00008F000000}"/>
    <cellStyle name="Lines" xfId="145" xr:uid="{00000000-0005-0000-0000-000090000000}"/>
    <cellStyle name="Linked Cell" xfId="146" builtinId="24" customBuiltin="1"/>
    <cellStyle name="Linked Cell 2" xfId="147" xr:uid="{00000000-0005-0000-0000-000092000000}"/>
    <cellStyle name="MEM SSN" xfId="148" xr:uid="{00000000-0005-0000-0000-000093000000}"/>
    <cellStyle name="Mine" xfId="149" xr:uid="{00000000-0005-0000-0000-000094000000}"/>
    <cellStyle name="mmm-yy" xfId="150" xr:uid="{00000000-0005-0000-0000-000095000000}"/>
    <cellStyle name="Monétaire [0]_pldt" xfId="151" xr:uid="{00000000-0005-0000-0000-000096000000}"/>
    <cellStyle name="Monétaire_pldt" xfId="152" xr:uid="{00000000-0005-0000-0000-000097000000}"/>
    <cellStyle name="Neutral" xfId="153" builtinId="28" customBuiltin="1"/>
    <cellStyle name="Neutral 2" xfId="154" xr:uid="{00000000-0005-0000-0000-000099000000}"/>
    <cellStyle name="New" xfId="155" xr:uid="{00000000-0005-0000-0000-00009A000000}"/>
    <cellStyle name="No Border" xfId="156" xr:uid="{00000000-0005-0000-0000-00009B000000}"/>
    <cellStyle name="no dec" xfId="157" xr:uid="{00000000-0005-0000-0000-00009C000000}"/>
    <cellStyle name="Normal" xfId="0" builtinId="0"/>
    <cellStyle name="Normal - Style1" xfId="158" xr:uid="{00000000-0005-0000-0000-00009E000000}"/>
    <cellStyle name="Normal 2" xfId="159" xr:uid="{00000000-0005-0000-0000-00009F000000}"/>
    <cellStyle name="Normal 2 2" xfId="160" xr:uid="{00000000-0005-0000-0000-0000A0000000}"/>
    <cellStyle name="Normal 3" xfId="161" xr:uid="{00000000-0005-0000-0000-0000A1000000}"/>
    <cellStyle name="Normal 3 2" xfId="162" xr:uid="{00000000-0005-0000-0000-0000A2000000}"/>
    <cellStyle name="Normal 3 5" xfId="163" xr:uid="{00000000-0005-0000-0000-0000A3000000}"/>
    <cellStyle name="Normal 4" xfId="164" xr:uid="{00000000-0005-0000-0000-0000A4000000}"/>
    <cellStyle name="Normal 4 2" xfId="165" xr:uid="{00000000-0005-0000-0000-0000A5000000}"/>
    <cellStyle name="Normal CEN" xfId="166" xr:uid="{00000000-0005-0000-0000-0000A6000000}"/>
    <cellStyle name="Normal Centered" xfId="167" xr:uid="{00000000-0005-0000-0000-0000A7000000}"/>
    <cellStyle name="NORMAL CTR" xfId="168" xr:uid="{00000000-0005-0000-0000-0000A8000000}"/>
    <cellStyle name="Normal_2002 AREA LOADS FOR JNT TARIFF" xfId="169" xr:uid="{00000000-0005-0000-0000-0000A9000000}"/>
    <cellStyle name="Normal_Capital True-up" xfId="170" xr:uid="{00000000-0005-0000-0000-0000AA000000}"/>
    <cellStyle name="Normal_CU AC Rate Design" xfId="171" xr:uid="{00000000-0005-0000-0000-0000AB000000}"/>
    <cellStyle name="Normal_PRECorp2002HeintzResponse 8-21-03" xfId="172" xr:uid="{00000000-0005-0000-0000-0000AC000000}"/>
    <cellStyle name="Normal_Sheet1" xfId="173" xr:uid="{00000000-0005-0000-0000-0000AD000000}"/>
    <cellStyle name="Normal_TopSheet Type Ancillaries Worksheet-Updated 81903" xfId="174" xr:uid="{00000000-0005-0000-0000-0000AE000000}"/>
    <cellStyle name="Note" xfId="175" builtinId="10" customBuiltin="1"/>
    <cellStyle name="Note 2" xfId="176" xr:uid="{00000000-0005-0000-0000-0000B0000000}"/>
    <cellStyle name="nUMBER" xfId="177" xr:uid="{00000000-0005-0000-0000-0000B1000000}"/>
    <cellStyle name="Output" xfId="178" builtinId="21" customBuiltin="1"/>
    <cellStyle name="Output 2" xfId="179" xr:uid="{00000000-0005-0000-0000-0000B3000000}"/>
    <cellStyle name="Percent" xfId="180" builtinId="5"/>
    <cellStyle name="Percent [2]" xfId="181" xr:uid="{00000000-0005-0000-0000-0000B5000000}"/>
    <cellStyle name="Percent 14" xfId="182" xr:uid="{00000000-0005-0000-0000-0000B6000000}"/>
    <cellStyle name="Percent 2" xfId="183" xr:uid="{00000000-0005-0000-0000-0000B7000000}"/>
    <cellStyle name="PSChar" xfId="184" xr:uid="{00000000-0005-0000-0000-0000B8000000}"/>
    <cellStyle name="PSDate" xfId="185" xr:uid="{00000000-0005-0000-0000-0000B9000000}"/>
    <cellStyle name="PSDec" xfId="186" xr:uid="{00000000-0005-0000-0000-0000BA000000}"/>
    <cellStyle name="PSHeading" xfId="187" xr:uid="{00000000-0005-0000-0000-0000BB000000}"/>
    <cellStyle name="PSInt" xfId="188" xr:uid="{00000000-0005-0000-0000-0000BC000000}"/>
    <cellStyle name="PSSpacer" xfId="189" xr:uid="{00000000-0005-0000-0000-0000BD000000}"/>
    <cellStyle name="R00A" xfId="190" xr:uid="{00000000-0005-0000-0000-0000BE000000}"/>
    <cellStyle name="R00B" xfId="191" xr:uid="{00000000-0005-0000-0000-0000BF000000}"/>
    <cellStyle name="R00L" xfId="192" xr:uid="{00000000-0005-0000-0000-0000C0000000}"/>
    <cellStyle name="R01A" xfId="193" xr:uid="{00000000-0005-0000-0000-0000C1000000}"/>
    <cellStyle name="R01B" xfId="194" xr:uid="{00000000-0005-0000-0000-0000C2000000}"/>
    <cellStyle name="R01H" xfId="195" xr:uid="{00000000-0005-0000-0000-0000C3000000}"/>
    <cellStyle name="R01L" xfId="196" xr:uid="{00000000-0005-0000-0000-0000C4000000}"/>
    <cellStyle name="R02A" xfId="197" xr:uid="{00000000-0005-0000-0000-0000C5000000}"/>
    <cellStyle name="R02B" xfId="198" xr:uid="{00000000-0005-0000-0000-0000C6000000}"/>
    <cellStyle name="R02H" xfId="199" xr:uid="{00000000-0005-0000-0000-0000C7000000}"/>
    <cellStyle name="R02L" xfId="200" xr:uid="{00000000-0005-0000-0000-0000C8000000}"/>
    <cellStyle name="R03A" xfId="201" xr:uid="{00000000-0005-0000-0000-0000C9000000}"/>
    <cellStyle name="R03B" xfId="202" xr:uid="{00000000-0005-0000-0000-0000CA000000}"/>
    <cellStyle name="R03H" xfId="203" xr:uid="{00000000-0005-0000-0000-0000CB000000}"/>
    <cellStyle name="R03L" xfId="204" xr:uid="{00000000-0005-0000-0000-0000CC000000}"/>
    <cellStyle name="R04A" xfId="205" xr:uid="{00000000-0005-0000-0000-0000CD000000}"/>
    <cellStyle name="R04B" xfId="206" xr:uid="{00000000-0005-0000-0000-0000CE000000}"/>
    <cellStyle name="R04H" xfId="207" xr:uid="{00000000-0005-0000-0000-0000CF000000}"/>
    <cellStyle name="R04L" xfId="208" xr:uid="{00000000-0005-0000-0000-0000D0000000}"/>
    <cellStyle name="R05A" xfId="209" xr:uid="{00000000-0005-0000-0000-0000D1000000}"/>
    <cellStyle name="R05B" xfId="210" xr:uid="{00000000-0005-0000-0000-0000D2000000}"/>
    <cellStyle name="R05H" xfId="211" xr:uid="{00000000-0005-0000-0000-0000D3000000}"/>
    <cellStyle name="R05L" xfId="212" xr:uid="{00000000-0005-0000-0000-0000D4000000}"/>
    <cellStyle name="R06A" xfId="213" xr:uid="{00000000-0005-0000-0000-0000D5000000}"/>
    <cellStyle name="R06B" xfId="214" xr:uid="{00000000-0005-0000-0000-0000D6000000}"/>
    <cellStyle name="R06H" xfId="215" xr:uid="{00000000-0005-0000-0000-0000D7000000}"/>
    <cellStyle name="R06L" xfId="216" xr:uid="{00000000-0005-0000-0000-0000D8000000}"/>
    <cellStyle name="R07A" xfId="217" xr:uid="{00000000-0005-0000-0000-0000D9000000}"/>
    <cellStyle name="R07B" xfId="218" xr:uid="{00000000-0005-0000-0000-0000DA000000}"/>
    <cellStyle name="R07H" xfId="219" xr:uid="{00000000-0005-0000-0000-0000DB000000}"/>
    <cellStyle name="R07L" xfId="220" xr:uid="{00000000-0005-0000-0000-0000DC000000}"/>
    <cellStyle name="Resource Detail" xfId="221" xr:uid="{00000000-0005-0000-0000-0000DD000000}"/>
    <cellStyle name="Shade" xfId="222" xr:uid="{00000000-0005-0000-0000-0000DE000000}"/>
    <cellStyle name="single acct" xfId="223" xr:uid="{00000000-0005-0000-0000-0000DF000000}"/>
    <cellStyle name="Single Border" xfId="224" xr:uid="{00000000-0005-0000-0000-0000E0000000}"/>
    <cellStyle name="Small Page Heading" xfId="225" xr:uid="{00000000-0005-0000-0000-0000E1000000}"/>
    <cellStyle name="ssn" xfId="226" xr:uid="{00000000-0005-0000-0000-0000E2000000}"/>
    <cellStyle name="Style 1" xfId="227" xr:uid="{00000000-0005-0000-0000-0000E3000000}"/>
    <cellStyle name="Style 2" xfId="228" xr:uid="{00000000-0005-0000-0000-0000E4000000}"/>
    <cellStyle name="Style 27" xfId="229" xr:uid="{00000000-0005-0000-0000-0000E5000000}"/>
    <cellStyle name="Style 28" xfId="230" xr:uid="{00000000-0005-0000-0000-0000E6000000}"/>
    <cellStyle name="Table Sub Heading" xfId="231" xr:uid="{00000000-0005-0000-0000-0000E7000000}"/>
    <cellStyle name="Table Title" xfId="232" xr:uid="{00000000-0005-0000-0000-0000E8000000}"/>
    <cellStyle name="Table Units" xfId="233" xr:uid="{00000000-0005-0000-0000-0000E9000000}"/>
    <cellStyle name="Theirs" xfId="234" xr:uid="{00000000-0005-0000-0000-0000EA000000}"/>
    <cellStyle name="Times New Roman" xfId="235" xr:uid="{00000000-0005-0000-0000-0000EB000000}"/>
    <cellStyle name="Title" xfId="236" builtinId="15" customBuiltin="1"/>
    <cellStyle name="Title 2" xfId="237" xr:uid="{00000000-0005-0000-0000-0000ED000000}"/>
    <cellStyle name="Total" xfId="238" builtinId="25" customBuiltin="1"/>
    <cellStyle name="Total 2" xfId="239" xr:uid="{00000000-0005-0000-0000-0000EF000000}"/>
    <cellStyle name="Unprot" xfId="240" xr:uid="{00000000-0005-0000-0000-0000F0000000}"/>
    <cellStyle name="Unprot$" xfId="241" xr:uid="{00000000-0005-0000-0000-0000F1000000}"/>
    <cellStyle name="Unprotect" xfId="242" xr:uid="{00000000-0005-0000-0000-0000F2000000}"/>
    <cellStyle name="Warning Text" xfId="243" builtinId="11" customBuiltin="1"/>
    <cellStyle name="Warning Text 2" xfId="244" xr:uid="{00000000-0005-0000-0000-0000F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DFB4A"/>
      <color rgb="FFFF33CC"/>
      <color rgb="FF46DA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6"/>
  <sheetViews>
    <sheetView tabSelected="1" workbookViewId="0">
      <selection activeCell="L13" sqref="L13"/>
    </sheetView>
  </sheetViews>
  <sheetFormatPr defaultColWidth="7.109375" defaultRowHeight="12.75"/>
  <cols>
    <col min="1" max="1" width="3.88671875" style="181" customWidth="1"/>
    <col min="2" max="2" width="7.109375" style="182" customWidth="1"/>
    <col min="3" max="3" width="6.88671875" style="182" customWidth="1"/>
    <col min="4" max="4" width="11.5546875" style="182" customWidth="1"/>
    <col min="5" max="5" width="11.5546875" style="182" bestFit="1" customWidth="1"/>
    <col min="6" max="6" width="12.109375" style="182" customWidth="1"/>
    <col min="7" max="7" width="8.88671875" style="182" bestFit="1" customWidth="1"/>
    <col min="8" max="8" width="9.5546875" style="182" bestFit="1" customWidth="1"/>
    <col min="9" max="9" width="7.109375" style="182" customWidth="1"/>
    <col min="10" max="10" width="8.88671875" style="182" bestFit="1" customWidth="1"/>
    <col min="11" max="11" width="7.109375" style="182" customWidth="1"/>
    <col min="12" max="12" width="11.44140625" style="182" customWidth="1"/>
    <col min="13" max="16384" width="7.109375" style="182"/>
  </cols>
  <sheetData>
    <row r="1" spans="1:12">
      <c r="H1" s="280" t="s">
        <v>0</v>
      </c>
    </row>
    <row r="3" spans="1:12" ht="15" customHeight="1">
      <c r="A3" s="324" t="s">
        <v>1</v>
      </c>
      <c r="B3" s="324"/>
      <c r="C3" s="324"/>
      <c r="D3" s="324"/>
      <c r="E3" s="324"/>
      <c r="F3" s="324"/>
      <c r="G3" s="324"/>
      <c r="H3" s="324"/>
    </row>
    <row r="4" spans="1:12" ht="15" customHeight="1">
      <c r="A4" s="324" t="s">
        <v>2</v>
      </c>
      <c r="B4" s="324"/>
      <c r="C4" s="324"/>
      <c r="D4" s="324"/>
      <c r="E4" s="324"/>
      <c r="F4" s="324"/>
      <c r="G4" s="324"/>
      <c r="H4" s="324"/>
    </row>
    <row r="6" spans="1:12">
      <c r="A6" s="281" t="s">
        <v>3</v>
      </c>
    </row>
    <row r="8" spans="1:12" ht="14.25">
      <c r="A8" s="181">
        <v>1</v>
      </c>
      <c r="B8" s="182" t="s">
        <v>4</v>
      </c>
      <c r="H8" s="7">
        <v>1922601.54</v>
      </c>
      <c r="L8" s="282"/>
    </row>
    <row r="10" spans="1:12" ht="39" thickBot="1">
      <c r="D10" s="283" t="str">
        <f>+B20</f>
        <v>Entity</v>
      </c>
      <c r="E10" s="284"/>
      <c r="F10" s="285" t="s">
        <v>5</v>
      </c>
      <c r="G10" s="283" t="s">
        <v>6</v>
      </c>
      <c r="H10" s="285" t="s">
        <v>7</v>
      </c>
    </row>
    <row r="11" spans="1:12">
      <c r="D11" s="181"/>
      <c r="F11" s="286"/>
      <c r="G11" s="181"/>
      <c r="H11" s="286"/>
    </row>
    <row r="12" spans="1:12">
      <c r="A12" s="181">
        <v>2</v>
      </c>
      <c r="D12" s="182" t="s">
        <v>8</v>
      </c>
      <c r="F12" s="8">
        <f>+L22</f>
        <v>33.275091546478563</v>
      </c>
      <c r="G12" s="9">
        <f>+F12/F$15</f>
        <v>0.63557389893570726</v>
      </c>
      <c r="H12" s="7">
        <f>+H$8*G12</f>
        <v>1221955.3568775952</v>
      </c>
      <c r="J12" s="287"/>
      <c r="K12" s="10"/>
    </row>
    <row r="13" spans="1:12">
      <c r="A13" s="181">
        <v>3</v>
      </c>
      <c r="D13" s="182" t="s">
        <v>9</v>
      </c>
      <c r="F13" s="288">
        <f>+L23</f>
        <v>16.901779381804488</v>
      </c>
      <c r="G13" s="9">
        <f>+F13/F$15</f>
        <v>0.32283396743296006</v>
      </c>
      <c r="H13" s="7">
        <f>+H$8*G13</f>
        <v>620681.08295091882</v>
      </c>
      <c r="J13" s="289"/>
      <c r="K13" s="10"/>
    </row>
    <row r="14" spans="1:12" ht="13.5" thickBot="1">
      <c r="A14" s="181">
        <v>4</v>
      </c>
      <c r="D14" s="284" t="s">
        <v>10</v>
      </c>
      <c r="E14" s="284"/>
      <c r="F14" s="290">
        <f>+L24</f>
        <v>2.1775312933924709</v>
      </c>
      <c r="G14" s="11">
        <f>+F14/F$15</f>
        <v>4.1592133631332719E-2</v>
      </c>
      <c r="H14" s="12">
        <f>+H$8*G14</f>
        <v>79965.100171486076</v>
      </c>
      <c r="J14" s="289"/>
      <c r="K14" s="10"/>
    </row>
    <row r="15" spans="1:12">
      <c r="A15" s="181">
        <v>5</v>
      </c>
      <c r="D15" s="182" t="s">
        <v>11</v>
      </c>
      <c r="F15" s="288">
        <f>SUM(F12:F14)</f>
        <v>52.354402221675521</v>
      </c>
      <c r="G15" s="13">
        <f>+F15/F$15</f>
        <v>1</v>
      </c>
      <c r="H15" s="291">
        <f>SUM(H12:H14)</f>
        <v>1922601.5400000003</v>
      </c>
      <c r="J15" s="287"/>
    </row>
    <row r="18" spans="1:18">
      <c r="A18" s="281" t="s">
        <v>12</v>
      </c>
      <c r="E18" s="281" t="s">
        <v>13</v>
      </c>
    </row>
    <row r="20" spans="1:18" ht="39" thickBot="1">
      <c r="B20" s="284" t="s">
        <v>14</v>
      </c>
      <c r="C20" s="284"/>
      <c r="D20" s="285" t="s">
        <v>15</v>
      </c>
      <c r="E20" s="285" t="s">
        <v>16</v>
      </c>
      <c r="F20" s="285" t="s">
        <v>17</v>
      </c>
      <c r="G20" s="285" t="s">
        <v>18</v>
      </c>
      <c r="H20" s="285" t="s">
        <v>19</v>
      </c>
    </row>
    <row r="21" spans="1:18">
      <c r="M21" s="292" t="s">
        <v>20</v>
      </c>
      <c r="N21" s="293"/>
      <c r="O21" s="293"/>
      <c r="P21" s="294"/>
    </row>
    <row r="22" spans="1:18">
      <c r="A22" s="181">
        <v>6</v>
      </c>
      <c r="B22" s="182" t="str">
        <f>+D12</f>
        <v>Black Hills</v>
      </c>
      <c r="D22" s="295">
        <f>'True-Up'!J116</f>
        <v>32870421.160202723</v>
      </c>
      <c r="E22" s="291">
        <f>-H12</f>
        <v>-1221955.3568775952</v>
      </c>
      <c r="F22" s="291">
        <f>+E22+D22</f>
        <v>31648465.803325128</v>
      </c>
      <c r="G22" s="24">
        <f>+'WP7 CU AC LOADS'!J24*1000</f>
        <v>938448.41666666674</v>
      </c>
      <c r="H22" s="296">
        <f>+F22/G22</f>
        <v>33.724246576854249</v>
      </c>
      <c r="J22" s="297" t="s">
        <v>21</v>
      </c>
      <c r="L22" s="298">
        <v>33.275091546478563</v>
      </c>
      <c r="M22" s="299" t="s">
        <v>22</v>
      </c>
      <c r="P22" s="300"/>
      <c r="R22" s="296"/>
    </row>
    <row r="23" spans="1:18">
      <c r="A23" s="181">
        <v>7</v>
      </c>
      <c r="B23" s="182" t="str">
        <f>+D13</f>
        <v>Basin Electric</v>
      </c>
      <c r="D23" s="301">
        <v>16482130</v>
      </c>
      <c r="E23" s="291">
        <f>-H13</f>
        <v>-620681.08295091882</v>
      </c>
      <c r="F23" s="291">
        <f>+E23+D23</f>
        <v>15861448.917049082</v>
      </c>
      <c r="G23" s="302">
        <f>+G22</f>
        <v>938448.41666666674</v>
      </c>
      <c r="H23" s="296">
        <f>+F23/G23</f>
        <v>16.901780252758428</v>
      </c>
      <c r="J23" s="297" t="s">
        <v>21</v>
      </c>
      <c r="L23" s="298">
        <v>16.901779381804488</v>
      </c>
      <c r="M23" s="299" t="s">
        <v>23</v>
      </c>
      <c r="P23" s="300"/>
      <c r="R23" s="296"/>
    </row>
    <row r="24" spans="1:18" ht="13.5" thickBot="1">
      <c r="A24" s="181">
        <v>8</v>
      </c>
      <c r="B24" s="284" t="str">
        <f>+D14</f>
        <v>PRECorp</v>
      </c>
      <c r="C24" s="284"/>
      <c r="D24" s="303">
        <v>2123466</v>
      </c>
      <c r="E24" s="304">
        <f>-H14</f>
        <v>-79965.100171486076</v>
      </c>
      <c r="F24" s="304">
        <f>+E24+D24</f>
        <v>2043500.8998285139</v>
      </c>
      <c r="G24" s="305">
        <f>+G23</f>
        <v>938448.41666666674</v>
      </c>
      <c r="H24" s="306">
        <f>+F24/G24</f>
        <v>2.1775314056013348</v>
      </c>
      <c r="J24" s="297" t="s">
        <v>21</v>
      </c>
      <c r="L24" s="298">
        <v>2.1775312933924709</v>
      </c>
      <c r="M24" s="307" t="s">
        <v>24</v>
      </c>
      <c r="N24" s="308"/>
      <c r="O24" s="308"/>
      <c r="P24" s="309"/>
      <c r="R24" s="296"/>
    </row>
    <row r="25" spans="1:18">
      <c r="A25" s="181">
        <v>9</v>
      </c>
      <c r="B25" s="182" t="s">
        <v>11</v>
      </c>
      <c r="D25" s="291">
        <f>SUM(D22:D24)</f>
        <v>51476017.160202727</v>
      </c>
      <c r="E25" s="291">
        <f>SUM(E22:E24)</f>
        <v>-1922601.5400000003</v>
      </c>
      <c r="F25" s="291">
        <f>SUM(F22:F24)</f>
        <v>49553415.620202728</v>
      </c>
      <c r="H25" s="296">
        <f>SUM(H22:H24)</f>
        <v>52.803558235214012</v>
      </c>
    </row>
    <row r="26" spans="1:18">
      <c r="F26" s="291"/>
      <c r="G26" s="302"/>
      <c r="H26" s="296"/>
    </row>
    <row r="27" spans="1:18">
      <c r="A27" s="281" t="s">
        <v>25</v>
      </c>
    </row>
    <row r="28" spans="1:18">
      <c r="A28" s="181">
        <v>10</v>
      </c>
      <c r="D28" s="182" t="s">
        <v>26</v>
      </c>
      <c r="F28" s="8">
        <f>+H25</f>
        <v>52.803558235214012</v>
      </c>
      <c r="G28" s="310" t="s">
        <v>27</v>
      </c>
    </row>
    <row r="29" spans="1:18">
      <c r="A29" s="181">
        <f t="shared" ref="A29:A34" si="0">+A28+1</f>
        <v>11</v>
      </c>
      <c r="D29" s="182" t="s">
        <v>28</v>
      </c>
      <c r="F29" s="8">
        <f>ROUND(F28/12,2)</f>
        <v>4.4000000000000004</v>
      </c>
      <c r="G29" s="310" t="s">
        <v>29</v>
      </c>
    </row>
    <row r="30" spans="1:18">
      <c r="A30" s="181">
        <f t="shared" si="0"/>
        <v>12</v>
      </c>
      <c r="D30" s="182" t="s">
        <v>30</v>
      </c>
      <c r="F30" s="8">
        <f>ROUND(F28/52,2)</f>
        <v>1.02</v>
      </c>
      <c r="G30" s="310" t="s">
        <v>31</v>
      </c>
    </row>
    <row r="31" spans="1:18">
      <c r="A31" s="181">
        <f t="shared" si="0"/>
        <v>13</v>
      </c>
      <c r="D31" s="182" t="s">
        <v>32</v>
      </c>
      <c r="E31" s="182" t="s">
        <v>33</v>
      </c>
      <c r="F31" s="14">
        <f>+F30/6</f>
        <v>0.17</v>
      </c>
      <c r="G31" s="310" t="s">
        <v>34</v>
      </c>
    </row>
    <row r="32" spans="1:18">
      <c r="A32" s="181">
        <f t="shared" si="0"/>
        <v>14</v>
      </c>
      <c r="D32" s="182" t="s">
        <v>35</v>
      </c>
      <c r="E32" s="182" t="s">
        <v>36</v>
      </c>
      <c r="F32" s="14">
        <f>+F30/7</f>
        <v>0.14571428571428571</v>
      </c>
      <c r="G32" s="310" t="s">
        <v>34</v>
      </c>
    </row>
    <row r="33" spans="1:7">
      <c r="A33" s="181">
        <f t="shared" si="0"/>
        <v>15</v>
      </c>
      <c r="D33" s="182" t="s">
        <v>37</v>
      </c>
      <c r="E33" s="182" t="s">
        <v>38</v>
      </c>
      <c r="F33" s="15">
        <f>+F31/16</f>
        <v>1.0625000000000001E-2</v>
      </c>
      <c r="G33" s="310" t="s">
        <v>39</v>
      </c>
    </row>
    <row r="34" spans="1:7">
      <c r="A34" s="181">
        <f t="shared" si="0"/>
        <v>16</v>
      </c>
      <c r="D34" s="182" t="s">
        <v>40</v>
      </c>
      <c r="E34" s="182" t="s">
        <v>41</v>
      </c>
      <c r="F34" s="15">
        <f>+F32/24</f>
        <v>6.0714285714285714E-3</v>
      </c>
      <c r="G34" s="310" t="s">
        <v>39</v>
      </c>
    </row>
    <row r="40" spans="1:7">
      <c r="A40" s="281" t="s">
        <v>42</v>
      </c>
    </row>
    <row r="42" spans="1:7">
      <c r="B42" s="182" t="str">
        <f>+D20</f>
        <v>Component Annual Revenue Requirements</v>
      </c>
      <c r="E42" s="291">
        <f>+D25</f>
        <v>51476017.160202727</v>
      </c>
    </row>
    <row r="43" spans="1:7">
      <c r="B43" s="182" t="s">
        <v>43</v>
      </c>
      <c r="E43" s="291">
        <f>+E25</f>
        <v>-1922601.5400000003</v>
      </c>
    </row>
    <row r="44" spans="1:7">
      <c r="B44" s="182" t="str">
        <f>+F20</f>
        <v>Net Revenue Requirements</v>
      </c>
      <c r="E44" s="291">
        <f>+F25</f>
        <v>49553415.620202728</v>
      </c>
    </row>
    <row r="45" spans="1:7">
      <c r="B45" s="182" t="str">
        <f>+G20</f>
        <v>Actual 2025 Load</v>
      </c>
      <c r="E45" s="302">
        <f>+G22</f>
        <v>938448.41666666674</v>
      </c>
    </row>
    <row r="46" spans="1:7">
      <c r="B46" s="182" t="str">
        <f>+H20</f>
        <v>Annual Rate</v>
      </c>
      <c r="E46" s="8">
        <f>+E44/E45</f>
        <v>52.80355823521402</v>
      </c>
    </row>
  </sheetData>
  <mergeCells count="2">
    <mergeCell ref="A3:H3"/>
    <mergeCell ref="A4:H4"/>
  </mergeCells>
  <phoneticPr fontId="13" type="noConversion"/>
  <printOptions horizontalCentered="1"/>
  <pageMargins left="0.75" right="0.75" top="1" bottom="1" header="0.5" footer="0.5"/>
  <pageSetup orientation="portrait" r:id="rId1"/>
  <headerFooter alignWithMargins="0">
    <oddHeader>&amp;L&amp;8 2016 BHP Transmission Rate True-Up&amp;R&amp;"Arial,Regular"&amp;10Page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M239"/>
  <sheetViews>
    <sheetView zoomScale="85" zoomScaleNormal="85" workbookViewId="0"/>
  </sheetViews>
  <sheetFormatPr defaultColWidth="8.77734375" defaultRowHeight="15"/>
  <cols>
    <col min="1" max="1" width="6" customWidth="1"/>
    <col min="2" max="2" width="1.44140625" customWidth="1"/>
    <col min="3" max="3" width="41.109375" customWidth="1"/>
    <col min="4" max="4" width="34.5546875" customWidth="1"/>
    <col min="5" max="5" width="15.109375" customWidth="1"/>
    <col min="6" max="6" width="7.88671875" customWidth="1"/>
    <col min="7" max="7" width="11.88671875" bestFit="1" customWidth="1"/>
    <col min="8" max="8" width="14" customWidth="1"/>
    <col min="9" max="9" width="4.88671875" customWidth="1"/>
    <col min="10" max="10" width="16.33203125" bestFit="1" customWidth="1"/>
    <col min="11" max="11" width="14.44140625" bestFit="1" customWidth="1"/>
    <col min="12" max="12" width="13.44140625" bestFit="1" customWidth="1"/>
    <col min="13" max="14" width="14.44140625" bestFit="1" customWidth="1"/>
    <col min="16" max="16" width="15.109375" bestFit="1" customWidth="1"/>
  </cols>
  <sheetData>
    <row r="1" spans="1:39">
      <c r="I1" s="25" t="s">
        <v>44</v>
      </c>
      <c r="J1" s="26">
        <v>46173</v>
      </c>
    </row>
    <row r="2" spans="1:39" ht="15.75">
      <c r="A2" s="27"/>
      <c r="B2" s="27"/>
      <c r="C2" s="27"/>
      <c r="D2" s="28"/>
      <c r="E2" s="27"/>
      <c r="F2" s="27"/>
      <c r="G2" s="27"/>
      <c r="I2" s="29" t="s">
        <v>45</v>
      </c>
      <c r="J2" s="30">
        <v>2025</v>
      </c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</row>
    <row r="3" spans="1:39">
      <c r="A3" s="27"/>
      <c r="B3" s="27"/>
      <c r="C3" s="27"/>
      <c r="D3" s="27"/>
      <c r="E3" s="27"/>
      <c r="F3" s="27"/>
      <c r="G3" s="27"/>
      <c r="H3" s="27"/>
      <c r="I3" s="27"/>
      <c r="J3" s="27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</row>
    <row r="4" spans="1:39" ht="15" customHeight="1">
      <c r="A4" s="326" t="s">
        <v>46</v>
      </c>
      <c r="B4" s="326"/>
      <c r="C4" s="326"/>
      <c r="D4" s="326"/>
      <c r="E4" s="326"/>
      <c r="F4" s="326"/>
      <c r="G4" s="326"/>
      <c r="H4" s="326"/>
      <c r="I4" s="326"/>
      <c r="J4" s="326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</row>
    <row r="5" spans="1:39" ht="15.75">
      <c r="A5" s="327" t="s">
        <v>47</v>
      </c>
      <c r="B5" s="327"/>
      <c r="C5" s="327"/>
      <c r="D5" s="327"/>
      <c r="E5" s="327"/>
      <c r="F5" s="327"/>
      <c r="G5" s="327"/>
      <c r="H5" s="327"/>
      <c r="I5" s="327"/>
      <c r="J5" s="327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</row>
    <row r="6" spans="1:39">
      <c r="A6" s="27"/>
      <c r="B6" s="27"/>
      <c r="C6" s="33"/>
      <c r="D6" s="33"/>
      <c r="F6" s="33"/>
      <c r="G6" s="33"/>
      <c r="H6" s="33"/>
      <c r="I6" s="33"/>
      <c r="J6" s="33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</row>
    <row r="7" spans="1:39" ht="15" customHeight="1">
      <c r="A7" s="325" t="s">
        <v>48</v>
      </c>
      <c r="B7" s="325"/>
      <c r="C7" s="325"/>
      <c r="D7" s="325"/>
      <c r="E7" s="325"/>
      <c r="F7" s="325"/>
      <c r="G7" s="325"/>
      <c r="H7" s="325"/>
      <c r="I7" s="325"/>
      <c r="J7" s="325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</row>
    <row r="8" spans="1:39">
      <c r="A8" s="34"/>
      <c r="B8" s="27"/>
      <c r="C8" s="33"/>
      <c r="D8" s="33"/>
      <c r="E8" s="35"/>
      <c r="F8" s="33"/>
      <c r="G8" s="33"/>
      <c r="H8" s="33"/>
      <c r="I8" s="33"/>
      <c r="J8" s="33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</row>
    <row r="9" spans="1:39">
      <c r="A9" s="27"/>
      <c r="B9" s="27"/>
      <c r="C9" s="36" t="s">
        <v>49</v>
      </c>
      <c r="D9" s="36" t="s">
        <v>50</v>
      </c>
      <c r="E9" s="36" t="s">
        <v>51</v>
      </c>
      <c r="F9" s="37" t="s">
        <v>52</v>
      </c>
      <c r="G9" s="37"/>
      <c r="H9" s="38" t="s">
        <v>53</v>
      </c>
      <c r="I9" s="37"/>
      <c r="J9" s="39" t="s">
        <v>54</v>
      </c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</row>
    <row r="10" spans="1:39" ht="15.75">
      <c r="A10" s="27"/>
      <c r="B10" s="27"/>
      <c r="C10" s="33"/>
      <c r="D10" s="32" t="s">
        <v>55</v>
      </c>
      <c r="E10" s="37"/>
      <c r="F10" s="37"/>
      <c r="G10" s="40" t="s">
        <v>56</v>
      </c>
      <c r="H10" s="34"/>
      <c r="I10" s="37"/>
      <c r="J10" s="31" t="s">
        <v>57</v>
      </c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</row>
    <row r="11" spans="1:39" ht="15.75">
      <c r="A11" s="34" t="s">
        <v>58</v>
      </c>
      <c r="B11" s="27"/>
      <c r="C11" s="33"/>
      <c r="D11" s="41" t="s">
        <v>59</v>
      </c>
      <c r="E11" s="31" t="s">
        <v>60</v>
      </c>
      <c r="F11" s="42"/>
      <c r="G11" s="43" t="s">
        <v>61</v>
      </c>
      <c r="H11" s="44"/>
      <c r="I11" s="42"/>
      <c r="J11" s="34" t="s">
        <v>62</v>
      </c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</row>
    <row r="12" spans="1:39" ht="16.5" thickBot="1">
      <c r="A12" s="45" t="s">
        <v>63</v>
      </c>
      <c r="B12" s="27"/>
      <c r="C12" s="46" t="s">
        <v>64</v>
      </c>
      <c r="D12" s="37"/>
      <c r="E12" s="37"/>
      <c r="F12" s="37"/>
      <c r="G12" s="37"/>
      <c r="H12" s="37"/>
      <c r="I12" s="37"/>
      <c r="J12" s="37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</row>
    <row r="13" spans="1:39">
      <c r="A13" s="34"/>
      <c r="B13" s="27"/>
      <c r="C13" s="33"/>
      <c r="D13" s="37"/>
      <c r="E13" s="37"/>
      <c r="F13" s="37"/>
      <c r="G13" s="37"/>
      <c r="H13" s="37"/>
      <c r="I13" s="37"/>
      <c r="J13" s="37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</row>
    <row r="14" spans="1:39">
      <c r="A14" s="34"/>
      <c r="B14" s="27"/>
      <c r="C14" s="33" t="s">
        <v>65</v>
      </c>
      <c r="D14" s="37" t="s">
        <v>66</v>
      </c>
      <c r="E14" s="37"/>
      <c r="F14" s="37"/>
      <c r="G14" s="37"/>
      <c r="H14" s="37"/>
      <c r="I14" s="37"/>
      <c r="J14" s="37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</row>
    <row r="15" spans="1:39">
      <c r="A15" s="34">
        <v>1</v>
      </c>
      <c r="B15" s="27"/>
      <c r="C15" s="33" t="s">
        <v>67</v>
      </c>
      <c r="D15" s="37" t="s">
        <v>68</v>
      </c>
      <c r="E15" s="37">
        <f>+'WP6 Rate Base'!R15</f>
        <v>733522094.33230758</v>
      </c>
      <c r="F15" s="37"/>
      <c r="G15" s="37" t="s">
        <v>69</v>
      </c>
      <c r="H15" s="47" t="s">
        <v>52</v>
      </c>
      <c r="I15" s="37"/>
      <c r="J15" s="37" t="s">
        <v>52</v>
      </c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</row>
    <row r="16" spans="1:39">
      <c r="A16" s="34">
        <f t="shared" ref="A16:A48" si="0">+A15+1</f>
        <v>2</v>
      </c>
      <c r="B16" s="27"/>
      <c r="C16" s="33" t="s">
        <v>70</v>
      </c>
      <c r="D16" s="37" t="s">
        <v>71</v>
      </c>
      <c r="E16" s="37">
        <f>+'WP6 Rate Base'!R16</f>
        <v>299766466.90153843</v>
      </c>
      <c r="F16" s="37"/>
      <c r="G16" s="37" t="s">
        <v>72</v>
      </c>
      <c r="H16" s="47">
        <f>+J144</f>
        <v>0.87410699999999997</v>
      </c>
      <c r="I16" s="37"/>
      <c r="J16" s="37">
        <f>+H16*E16</f>
        <v>262027967.08390304</v>
      </c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</row>
    <row r="17" spans="1:39">
      <c r="A17" s="34">
        <f t="shared" si="0"/>
        <v>3</v>
      </c>
      <c r="B17" s="27"/>
      <c r="C17" s="33" t="s">
        <v>73</v>
      </c>
      <c r="D17" s="37" t="s">
        <v>74</v>
      </c>
      <c r="E17" s="37">
        <f>+'WP6 Rate Base'!R17</f>
        <v>584281926.50754821</v>
      </c>
      <c r="F17" s="37"/>
      <c r="G17" s="37" t="s">
        <v>69</v>
      </c>
      <c r="H17" s="48"/>
      <c r="I17" s="37"/>
      <c r="J17" s="37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</row>
    <row r="18" spans="1:39">
      <c r="A18" s="34">
        <f t="shared" si="0"/>
        <v>4</v>
      </c>
      <c r="B18" s="27"/>
      <c r="C18" s="33" t="s">
        <v>75</v>
      </c>
      <c r="D18" s="37" t="s">
        <v>76</v>
      </c>
      <c r="E18" s="37">
        <f>+'WP6 Rate Base'!R18</f>
        <v>68841689.932307705</v>
      </c>
      <c r="F18" s="37"/>
      <c r="G18" s="37" t="s">
        <v>77</v>
      </c>
      <c r="H18" s="47">
        <f>J176</f>
        <v>0.13038577955067673</v>
      </c>
      <c r="I18" s="37"/>
      <c r="J18" s="37">
        <f>+H18*E18</f>
        <v>8975977.4074099138</v>
      </c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</row>
    <row r="19" spans="1:39">
      <c r="A19" s="34">
        <f t="shared" si="0"/>
        <v>5</v>
      </c>
      <c r="B19" s="27"/>
      <c r="C19" s="33" t="s">
        <v>78</v>
      </c>
      <c r="D19" s="37" t="s">
        <v>79</v>
      </c>
      <c r="E19" s="37">
        <f>+'WP6 Rate Base'!R19</f>
        <v>36222812.538461536</v>
      </c>
      <c r="F19" s="37"/>
      <c r="G19" s="37" t="s">
        <v>77</v>
      </c>
      <c r="H19" s="47">
        <f>+H18</f>
        <v>0.13038577955067673</v>
      </c>
      <c r="I19" s="37"/>
      <c r="J19" s="37">
        <f>+H19*E19</f>
        <v>4722939.6503453348</v>
      </c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</row>
    <row r="20" spans="1:39">
      <c r="A20" s="34">
        <f t="shared" si="0"/>
        <v>6</v>
      </c>
      <c r="B20" s="27"/>
      <c r="C20" s="33" t="s">
        <v>80</v>
      </c>
      <c r="D20" s="37" t="s">
        <v>76</v>
      </c>
      <c r="E20" s="37">
        <f>+'WP6 Rate Base'!R20</f>
        <v>8972462.9600000009</v>
      </c>
      <c r="F20" s="37"/>
      <c r="G20" s="37" t="s">
        <v>81</v>
      </c>
      <c r="H20" s="47">
        <f>+J182</f>
        <v>0.33600633494666743</v>
      </c>
      <c r="I20" s="37"/>
      <c r="J20" s="37">
        <f>+H20*E20</f>
        <v>3014804.3946343274</v>
      </c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</row>
    <row r="21" spans="1:39" ht="15.75" thickBot="1">
      <c r="A21" s="34">
        <f t="shared" si="0"/>
        <v>7</v>
      </c>
      <c r="B21" s="27"/>
      <c r="C21" s="33" t="s">
        <v>82</v>
      </c>
      <c r="D21" s="37" t="s">
        <v>83</v>
      </c>
      <c r="E21" s="49">
        <f>+'WP6 Rate Base'!R21</f>
        <v>0</v>
      </c>
      <c r="F21" s="37"/>
      <c r="G21" s="37" t="s">
        <v>84</v>
      </c>
      <c r="H21" s="47">
        <v>0</v>
      </c>
      <c r="I21" s="37"/>
      <c r="J21" s="49">
        <f>+H21*E21</f>
        <v>0</v>
      </c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</row>
    <row r="22" spans="1:39">
      <c r="A22" s="34">
        <f t="shared" si="0"/>
        <v>8</v>
      </c>
      <c r="B22" s="27"/>
      <c r="C22" s="50" t="s">
        <v>85</v>
      </c>
      <c r="D22" s="37" t="str">
        <f>"(sum lines "&amp;A15&amp;" - "&amp;A21&amp;")"</f>
        <v>(sum lines 1 - 7)</v>
      </c>
      <c r="E22" s="37">
        <f>SUM(E15:E21)</f>
        <v>1731607453.1721632</v>
      </c>
      <c r="F22" s="37"/>
      <c r="G22" s="37" t="s">
        <v>86</v>
      </c>
      <c r="H22" s="51">
        <f>IF(E22&gt;0,+J22/E22,0)</f>
        <v>0.16097279324229094</v>
      </c>
      <c r="I22" s="37"/>
      <c r="J22" s="37">
        <f>SUM(J15:J21)</f>
        <v>278741688.53629261</v>
      </c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</row>
    <row r="23" spans="1:39">
      <c r="A23" s="34">
        <f t="shared" si="0"/>
        <v>9</v>
      </c>
      <c r="B23" s="27"/>
      <c r="C23" s="33"/>
      <c r="D23" s="37"/>
      <c r="E23" s="37"/>
      <c r="F23" s="37"/>
      <c r="G23" s="37"/>
      <c r="H23" s="51"/>
      <c r="I23" s="37"/>
      <c r="J23" s="37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</row>
    <row r="24" spans="1:39">
      <c r="A24" s="34">
        <f t="shared" si="0"/>
        <v>10</v>
      </c>
      <c r="B24" s="27"/>
      <c r="C24" s="33" t="s">
        <v>87</v>
      </c>
      <c r="D24" s="37" t="s">
        <v>66</v>
      </c>
      <c r="E24" s="37"/>
      <c r="F24" s="37"/>
      <c r="G24" s="37"/>
      <c r="H24" s="37"/>
      <c r="I24" s="37"/>
      <c r="J24" s="37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</row>
    <row r="25" spans="1:39">
      <c r="A25" s="34">
        <f t="shared" si="0"/>
        <v>11</v>
      </c>
      <c r="B25" s="27"/>
      <c r="C25" s="33" t="str">
        <f>+C15</f>
        <v xml:space="preserve">  Production</v>
      </c>
      <c r="D25" s="37" t="s">
        <v>88</v>
      </c>
      <c r="E25" s="37">
        <f>+'WP6 Rate Base'!R25</f>
        <v>272782719.92076921</v>
      </c>
      <c r="F25" s="37"/>
      <c r="G25" s="37" t="str">
        <f>+G15</f>
        <v>NA</v>
      </c>
      <c r="H25" s="47" t="str">
        <f>+H15</f>
        <v xml:space="preserve"> </v>
      </c>
      <c r="I25" s="37"/>
      <c r="J25" s="37" t="s">
        <v>52</v>
      </c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</row>
    <row r="26" spans="1:39">
      <c r="A26" s="34">
        <f t="shared" si="0"/>
        <v>12</v>
      </c>
      <c r="B26" s="27"/>
      <c r="C26" s="33" t="s">
        <v>70</v>
      </c>
      <c r="D26" s="37" t="s">
        <v>89</v>
      </c>
      <c r="E26" s="37">
        <f>+'WP6 Rate Base'!R26</f>
        <v>53602898.31694451</v>
      </c>
      <c r="F26" s="37"/>
      <c r="G26" s="37" t="s">
        <v>90</v>
      </c>
      <c r="H26" s="47">
        <f>+J162</f>
        <v>0.78586800000000001</v>
      </c>
      <c r="I26" s="37"/>
      <c r="J26" s="37">
        <f>+H26*E26</f>
        <v>42124802.49454055</v>
      </c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</row>
    <row r="27" spans="1:39">
      <c r="A27" s="34">
        <f t="shared" si="0"/>
        <v>13</v>
      </c>
      <c r="B27" s="27"/>
      <c r="C27" s="33" t="s">
        <v>73</v>
      </c>
      <c r="D27" s="37" t="s">
        <v>91</v>
      </c>
      <c r="E27" s="37">
        <f>+'WP6 Rate Base'!R27</f>
        <v>190060847.34754822</v>
      </c>
      <c r="F27" s="37"/>
      <c r="G27" s="37" t="s">
        <v>69</v>
      </c>
      <c r="H27" s="47"/>
      <c r="I27" s="37"/>
      <c r="J27" s="37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</row>
    <row r="28" spans="1:39">
      <c r="A28" s="34">
        <f t="shared" si="0"/>
        <v>14</v>
      </c>
      <c r="B28" s="27"/>
      <c r="C28" s="33" t="str">
        <f>+C18</f>
        <v xml:space="preserve">  General &amp; Intangible</v>
      </c>
      <c r="D28" s="37" t="s">
        <v>92</v>
      </c>
      <c r="E28" s="37">
        <f>+'WP6 Rate Base'!R28</f>
        <v>49083708.521969438</v>
      </c>
      <c r="F28" s="37"/>
      <c r="G28" s="37" t="str">
        <f>+G18</f>
        <v>W/S</v>
      </c>
      <c r="H28" s="47">
        <f>+H18</f>
        <v>0.13038577955067673</v>
      </c>
      <c r="I28" s="37"/>
      <c r="J28" s="37">
        <f>+H28*E28</f>
        <v>6399817.5988751799</v>
      </c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</row>
    <row r="29" spans="1:39">
      <c r="A29" s="34">
        <f t="shared" si="0"/>
        <v>15</v>
      </c>
      <c r="B29" s="27"/>
      <c r="C29" s="33" t="s">
        <v>78</v>
      </c>
      <c r="D29" s="37" t="s">
        <v>79</v>
      </c>
      <c r="E29" s="37">
        <f>+'WP6 Rate Base'!R29</f>
        <v>12856410.076923076</v>
      </c>
      <c r="F29" s="37"/>
      <c r="G29" s="37" t="str">
        <f>+G19</f>
        <v>W/S</v>
      </c>
      <c r="H29" s="47">
        <f>+H28</f>
        <v>0.13038577955067673</v>
      </c>
      <c r="I29" s="37"/>
      <c r="J29" s="37">
        <f>+H29*E29</f>
        <v>1676293.0501027911</v>
      </c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</row>
    <row r="30" spans="1:39">
      <c r="A30" s="34">
        <f t="shared" si="0"/>
        <v>16</v>
      </c>
      <c r="B30" s="27"/>
      <c r="C30" s="33" t="str">
        <f>+C20</f>
        <v xml:space="preserve">  Communication System</v>
      </c>
      <c r="D30" s="37" t="s">
        <v>76</v>
      </c>
      <c r="E30" s="37">
        <f>+'WP6 Rate Base'!R30</f>
        <v>3056579.6384837124</v>
      </c>
      <c r="F30" s="37"/>
      <c r="G30" s="37" t="str">
        <f>+G20</f>
        <v>T&amp;D</v>
      </c>
      <c r="H30" s="47">
        <f>+H20</f>
        <v>0.33600633494666743</v>
      </c>
      <c r="I30" s="37"/>
      <c r="J30" s="37">
        <f>+H30*E30</f>
        <v>1027030.121799522</v>
      </c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</row>
    <row r="31" spans="1:39" ht="15.75" thickBot="1">
      <c r="A31" s="34">
        <f t="shared" si="0"/>
        <v>17</v>
      </c>
      <c r="B31" s="27"/>
      <c r="C31" s="33" t="str">
        <f>+C21</f>
        <v xml:space="preserve">  Common</v>
      </c>
      <c r="D31" s="37" t="s">
        <v>83</v>
      </c>
      <c r="E31" s="49">
        <f>+'WP6 Rate Base'!R31</f>
        <v>0</v>
      </c>
      <c r="F31" s="37"/>
      <c r="G31" s="37" t="str">
        <f>+G21</f>
        <v>CE</v>
      </c>
      <c r="H31" s="47">
        <f>+H21</f>
        <v>0</v>
      </c>
      <c r="I31" s="37"/>
      <c r="J31" s="49">
        <f>+H31*E31</f>
        <v>0</v>
      </c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</row>
    <row r="32" spans="1:39">
      <c r="A32" s="34">
        <f t="shared" si="0"/>
        <v>18</v>
      </c>
      <c r="B32" s="27"/>
      <c r="C32" s="33" t="s">
        <v>93</v>
      </c>
      <c r="D32" s="37" t="str">
        <f>"(sum lines "&amp;A25&amp;" - "&amp;A31&amp;")"</f>
        <v>(sum lines 11 - 17)</v>
      </c>
      <c r="E32" s="37">
        <f>SUM(E25:E31)</f>
        <v>581443163.82263827</v>
      </c>
      <c r="F32" s="37"/>
      <c r="G32" s="37"/>
      <c r="H32" s="37"/>
      <c r="I32" s="37"/>
      <c r="J32" s="37">
        <f>SUM(J25:J31)</f>
        <v>51227943.265318044</v>
      </c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</row>
    <row r="33" spans="1:39">
      <c r="A33" s="34">
        <f t="shared" si="0"/>
        <v>19</v>
      </c>
      <c r="B33" s="27"/>
      <c r="C33" s="27"/>
      <c r="D33" s="37" t="s">
        <v>52</v>
      </c>
      <c r="E33" s="27"/>
      <c r="F33" s="37"/>
      <c r="G33" s="37"/>
      <c r="H33" s="51"/>
      <c r="I33" s="37"/>
      <c r="J33" s="27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</row>
    <row r="34" spans="1:39">
      <c r="A34" s="34">
        <f t="shared" si="0"/>
        <v>20</v>
      </c>
      <c r="B34" s="27"/>
      <c r="C34" s="33" t="s">
        <v>94</v>
      </c>
      <c r="D34" s="37" t="s">
        <v>66</v>
      </c>
      <c r="E34" s="37"/>
      <c r="F34" s="37"/>
      <c r="G34" s="37"/>
      <c r="H34" s="37"/>
      <c r="I34" s="37"/>
      <c r="J34" s="37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</row>
    <row r="35" spans="1:39">
      <c r="A35" s="34">
        <f t="shared" si="0"/>
        <v>21</v>
      </c>
      <c r="B35" s="27"/>
      <c r="C35" s="33" t="str">
        <f>+C25</f>
        <v xml:space="preserve">  Production</v>
      </c>
      <c r="D35" s="37" t="str">
        <f t="shared" ref="D35:D41" si="1">"(line "&amp;A15&amp;" - line "&amp;A25&amp;")"</f>
        <v>(line 1 - line 11)</v>
      </c>
      <c r="E35" s="37">
        <f t="shared" ref="E35:E42" si="2">E15-E25</f>
        <v>460739374.41153836</v>
      </c>
      <c r="F35" s="37"/>
      <c r="G35" s="37" t="s">
        <v>95</v>
      </c>
      <c r="H35" s="51"/>
      <c r="I35" s="37"/>
      <c r="J35" s="37" t="s">
        <v>52</v>
      </c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</row>
    <row r="36" spans="1:39">
      <c r="A36" s="34">
        <f t="shared" si="0"/>
        <v>22</v>
      </c>
      <c r="B36" s="27"/>
      <c r="C36" s="33" t="s">
        <v>70</v>
      </c>
      <c r="D36" s="37" t="str">
        <f t="shared" si="1"/>
        <v>(line 2 - line 12)</v>
      </c>
      <c r="E36" s="37">
        <f t="shared" si="2"/>
        <v>246163568.58459392</v>
      </c>
      <c r="F36" s="37"/>
      <c r="G36" s="37" t="s">
        <v>95</v>
      </c>
      <c r="H36" s="47"/>
      <c r="I36" s="37"/>
      <c r="J36" s="37">
        <f>J16-J26</f>
        <v>219903164.5893625</v>
      </c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</row>
    <row r="37" spans="1:39">
      <c r="A37" s="34">
        <f t="shared" si="0"/>
        <v>23</v>
      </c>
      <c r="B37" s="27"/>
      <c r="C37" s="33" t="s">
        <v>96</v>
      </c>
      <c r="D37" s="37" t="str">
        <f t="shared" si="1"/>
        <v>(line 3 - line 13)</v>
      </c>
      <c r="E37" s="37">
        <f t="shared" si="2"/>
        <v>394221079.15999997</v>
      </c>
      <c r="F37" s="37"/>
      <c r="G37" s="37" t="s">
        <v>95</v>
      </c>
      <c r="H37" s="51"/>
      <c r="I37" s="37"/>
      <c r="J37" s="37"/>
      <c r="K37" s="311"/>
      <c r="L37" s="311"/>
      <c r="M37" s="311"/>
      <c r="N37" s="311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</row>
    <row r="38" spans="1:39">
      <c r="A38" s="34">
        <f t="shared" si="0"/>
        <v>24</v>
      </c>
      <c r="B38" s="27"/>
      <c r="C38" s="33" t="str">
        <f>+C28</f>
        <v xml:space="preserve">  General &amp; Intangible</v>
      </c>
      <c r="D38" s="37" t="str">
        <f t="shared" si="1"/>
        <v>(line 4 - line 14)</v>
      </c>
      <c r="E38" s="37">
        <f t="shared" si="2"/>
        <v>19757981.410338268</v>
      </c>
      <c r="F38" s="37"/>
      <c r="G38" s="37" t="s">
        <v>95</v>
      </c>
      <c r="H38" s="51"/>
      <c r="I38" s="37"/>
      <c r="J38" s="37">
        <f>J18-J28</f>
        <v>2576159.808534734</v>
      </c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</row>
    <row r="39" spans="1:39">
      <c r="A39" s="34">
        <f t="shared" si="0"/>
        <v>25</v>
      </c>
      <c r="B39" s="27"/>
      <c r="C39" s="33" t="s">
        <v>78</v>
      </c>
      <c r="D39" s="37" t="str">
        <f t="shared" si="1"/>
        <v>(line 5 - line 15)</v>
      </c>
      <c r="E39" s="37">
        <f t="shared" si="2"/>
        <v>23366402.46153846</v>
      </c>
      <c r="F39" s="37"/>
      <c r="G39" s="37" t="s">
        <v>95</v>
      </c>
      <c r="H39" s="51"/>
      <c r="I39" s="37"/>
      <c r="J39" s="37">
        <f>J19-J29</f>
        <v>3046646.600242544</v>
      </c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</row>
    <row r="40" spans="1:39">
      <c r="A40" s="34">
        <f t="shared" si="0"/>
        <v>26</v>
      </c>
      <c r="B40" s="27"/>
      <c r="C40" s="33" t="str">
        <f>+C30</f>
        <v xml:space="preserve">  Communication System</v>
      </c>
      <c r="D40" s="37" t="str">
        <f t="shared" si="1"/>
        <v>(line 6 - line 16)</v>
      </c>
      <c r="E40" s="37">
        <f t="shared" si="2"/>
        <v>5915883.3215162884</v>
      </c>
      <c r="F40" s="37"/>
      <c r="G40" s="37" t="s">
        <v>95</v>
      </c>
      <c r="H40" s="51"/>
      <c r="I40" s="37"/>
      <c r="J40" s="37">
        <f>J20-J30</f>
        <v>1987774.2728348053</v>
      </c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</row>
    <row r="41" spans="1:39" ht="15.75" thickBot="1">
      <c r="A41" s="34">
        <f t="shared" si="0"/>
        <v>27</v>
      </c>
      <c r="B41" s="27"/>
      <c r="C41" s="33" t="str">
        <f>+C31</f>
        <v xml:space="preserve">  Common</v>
      </c>
      <c r="D41" s="37" t="str">
        <f t="shared" si="1"/>
        <v>(line 7 - line 17)</v>
      </c>
      <c r="E41" s="49">
        <f t="shared" si="2"/>
        <v>0</v>
      </c>
      <c r="F41" s="37"/>
      <c r="G41" s="37" t="s">
        <v>95</v>
      </c>
      <c r="H41" s="51"/>
      <c r="I41" s="37"/>
      <c r="J41" s="49">
        <f>J21-J31</f>
        <v>0</v>
      </c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</row>
    <row r="42" spans="1:39">
      <c r="A42" s="34">
        <f t="shared" si="0"/>
        <v>28</v>
      </c>
      <c r="B42" s="27"/>
      <c r="C42" s="33" t="s">
        <v>97</v>
      </c>
      <c r="D42" s="37" t="str">
        <f>"(sum lines "&amp;A35&amp;" - "&amp;A41&amp;")"</f>
        <v>(sum lines 21 - 27)</v>
      </c>
      <c r="E42" s="37">
        <f t="shared" si="2"/>
        <v>1150164289.349525</v>
      </c>
      <c r="F42" s="37"/>
      <c r="G42" s="37" t="s">
        <v>98</v>
      </c>
      <c r="H42" s="51">
        <f>IF(E42&gt;0,+J42/E42,0)</f>
        <v>0.19780978020074413</v>
      </c>
      <c r="I42" s="37"/>
      <c r="J42" s="37">
        <f>SUM(J35:J41)</f>
        <v>227513745.27097461</v>
      </c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</row>
    <row r="43" spans="1:39">
      <c r="A43" s="34">
        <f t="shared" si="0"/>
        <v>29</v>
      </c>
      <c r="B43" s="27"/>
      <c r="C43" s="27"/>
      <c r="D43" s="37"/>
      <c r="E43" s="1"/>
      <c r="F43" s="37"/>
      <c r="G43" s="27"/>
      <c r="H43" s="27"/>
      <c r="I43" s="37"/>
      <c r="J43" s="27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</row>
    <row r="44" spans="1:39">
      <c r="A44" s="34">
        <f t="shared" si="0"/>
        <v>30</v>
      </c>
      <c r="B44" s="27"/>
      <c r="C44" s="50" t="s">
        <v>99</v>
      </c>
      <c r="D44" s="37" t="s">
        <v>100</v>
      </c>
      <c r="E44" s="37"/>
      <c r="F44" s="37"/>
      <c r="G44" s="37"/>
      <c r="H44" s="37"/>
      <c r="I44" s="37"/>
      <c r="J44" s="37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</row>
    <row r="45" spans="1:39">
      <c r="A45" s="34">
        <f t="shared" si="0"/>
        <v>31</v>
      </c>
      <c r="B45" s="27"/>
      <c r="C45" s="33" t="s">
        <v>101</v>
      </c>
      <c r="D45" s="37" t="s">
        <v>102</v>
      </c>
      <c r="E45" s="1">
        <f>+'WP6 Rate Base'!G50</f>
        <v>0</v>
      </c>
      <c r="F45" s="37"/>
      <c r="G45" s="37" t="str">
        <f>+G25</f>
        <v>NA</v>
      </c>
      <c r="H45" s="52" t="s">
        <v>103</v>
      </c>
      <c r="I45" s="37"/>
      <c r="J45" s="1">
        <v>0</v>
      </c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</row>
    <row r="46" spans="1:39">
      <c r="A46" s="34">
        <f t="shared" si="0"/>
        <v>32</v>
      </c>
      <c r="B46" s="27"/>
      <c r="C46" s="33" t="s">
        <v>104</v>
      </c>
      <c r="D46" s="37" t="s">
        <v>105</v>
      </c>
      <c r="E46" s="1">
        <f>+'WP6 Rate Base'!G51</f>
        <v>-161841785.26999998</v>
      </c>
      <c r="F46" s="37"/>
      <c r="G46" s="37" t="s">
        <v>106</v>
      </c>
      <c r="H46" s="47">
        <f>+H42</f>
        <v>0.19780978020074413</v>
      </c>
      <c r="I46" s="37"/>
      <c r="J46" s="1">
        <f>E46*H46</f>
        <v>-32013887.971554726</v>
      </c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</row>
    <row r="47" spans="1:39">
      <c r="A47" s="34">
        <f t="shared" si="0"/>
        <v>33</v>
      </c>
      <c r="B47" s="27"/>
      <c r="C47" s="33" t="s">
        <v>107</v>
      </c>
      <c r="D47" s="37" t="s">
        <v>108</v>
      </c>
      <c r="E47" s="1">
        <f>+'WP6 Rate Base'!G52</f>
        <v>-18319088</v>
      </c>
      <c r="F47" s="37"/>
      <c r="G47" s="37" t="str">
        <f>+G46</f>
        <v>NP</v>
      </c>
      <c r="H47" s="47">
        <f>H42</f>
        <v>0.19780978020074413</v>
      </c>
      <c r="I47" s="37"/>
      <c r="J47" s="1">
        <f>E47*H47</f>
        <v>-3623694.7707580896</v>
      </c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</row>
    <row r="48" spans="1:39">
      <c r="A48" s="34">
        <f t="shared" si="0"/>
        <v>34</v>
      </c>
      <c r="B48" s="27"/>
      <c r="C48" s="33" t="s">
        <v>109</v>
      </c>
      <c r="D48" s="37" t="s">
        <v>110</v>
      </c>
      <c r="E48" s="1">
        <f>+'WP6 Rate Base'!G53</f>
        <v>45026328.5</v>
      </c>
      <c r="F48" s="37"/>
      <c r="G48" s="37" t="str">
        <f>+G47</f>
        <v>NP</v>
      </c>
      <c r="H48" s="47">
        <f>+H47</f>
        <v>0.19780978020074413</v>
      </c>
      <c r="I48" s="37"/>
      <c r="J48" s="1">
        <f>E48*H48</f>
        <v>8906648.1438315008</v>
      </c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</row>
    <row r="49" spans="1:39">
      <c r="A49" s="34" t="s">
        <v>111</v>
      </c>
      <c r="B49" s="27"/>
      <c r="C49" s="33" t="s">
        <v>112</v>
      </c>
      <c r="D49" s="37" t="s">
        <v>113</v>
      </c>
      <c r="E49" s="1"/>
      <c r="F49" s="37"/>
      <c r="G49" s="37"/>
      <c r="H49" s="47"/>
      <c r="I49" s="37"/>
      <c r="J49" s="53">
        <v>-11984814.384071998</v>
      </c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</row>
    <row r="50" spans="1:39">
      <c r="A50" s="34">
        <f>+A48+1</f>
        <v>35</v>
      </c>
      <c r="B50" s="27"/>
      <c r="C50" s="27" t="s">
        <v>114</v>
      </c>
      <c r="D50" s="27" t="s">
        <v>115</v>
      </c>
      <c r="E50" s="1">
        <f>'WP6 Rate Base'!G54</f>
        <v>0</v>
      </c>
      <c r="F50" s="37"/>
      <c r="G50" s="37" t="str">
        <f>+G48</f>
        <v>NP</v>
      </c>
      <c r="H50" s="47">
        <f>+H47</f>
        <v>0.19780978020074413</v>
      </c>
      <c r="I50" s="37"/>
      <c r="J50" s="2">
        <f>E50*H50</f>
        <v>0</v>
      </c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</row>
    <row r="51" spans="1:39" ht="15.75" thickBot="1">
      <c r="A51" s="34">
        <f t="shared" ref="A51:A63" si="3">+A50+1</f>
        <v>36</v>
      </c>
      <c r="B51" s="27"/>
      <c r="C51" s="33" t="s">
        <v>116</v>
      </c>
      <c r="D51" s="27" t="s">
        <v>117</v>
      </c>
      <c r="E51" s="16">
        <f>+'WP6 Rate Base'!G55</f>
        <v>1740994.4649999999</v>
      </c>
      <c r="F51" s="37"/>
      <c r="G51" s="37" t="str">
        <f>+G50</f>
        <v>NP</v>
      </c>
      <c r="H51" s="47">
        <f>+H50</f>
        <v>0.19780978020074413</v>
      </c>
      <c r="I51" s="37"/>
      <c r="J51" s="16">
        <f>+H51*E51</f>
        <v>344385.73245236208</v>
      </c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</row>
    <row r="52" spans="1:39">
      <c r="A52" s="34">
        <f t="shared" si="3"/>
        <v>37</v>
      </c>
      <c r="B52" s="27"/>
      <c r="C52" s="33" t="s">
        <v>118</v>
      </c>
      <c r="D52" s="37" t="str">
        <f>"(sum lines "&amp;A45&amp;" - "&amp;A51&amp;")"</f>
        <v>(sum lines 31 - 36)</v>
      </c>
      <c r="E52" s="1">
        <f>SUM(E45:E51)</f>
        <v>-133393550.30499998</v>
      </c>
      <c r="F52" s="37"/>
      <c r="G52" s="37"/>
      <c r="H52" s="37"/>
      <c r="I52" s="37"/>
      <c r="J52" s="1">
        <f>SUM(J45:J51)</f>
        <v>-38371363.250100955</v>
      </c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</row>
    <row r="53" spans="1:39">
      <c r="A53" s="34">
        <f t="shared" si="3"/>
        <v>38</v>
      </c>
      <c r="B53" s="27"/>
      <c r="C53" s="27"/>
      <c r="D53" s="37"/>
      <c r="E53" s="27"/>
      <c r="F53" s="37"/>
      <c r="G53" s="37"/>
      <c r="H53" s="51"/>
      <c r="I53" s="37"/>
      <c r="J53" s="27"/>
      <c r="K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</row>
    <row r="54" spans="1:39">
      <c r="A54" s="34">
        <f t="shared" si="3"/>
        <v>39</v>
      </c>
      <c r="B54" s="27"/>
      <c r="C54" s="50" t="s">
        <v>119</v>
      </c>
      <c r="D54" s="37" t="s">
        <v>120</v>
      </c>
      <c r="E54" s="37">
        <f>+'WP6 Rate Base'!G58</f>
        <v>6220981</v>
      </c>
      <c r="F54" s="37"/>
      <c r="G54" s="37" t="s">
        <v>121</v>
      </c>
      <c r="H54" s="47">
        <v>0</v>
      </c>
      <c r="I54" s="37"/>
      <c r="J54" s="37">
        <f>+H54*E54</f>
        <v>0</v>
      </c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</row>
    <row r="55" spans="1:39">
      <c r="A55" s="34">
        <f t="shared" si="3"/>
        <v>40</v>
      </c>
      <c r="B55" s="27"/>
      <c r="C55" s="33"/>
      <c r="D55" s="37"/>
      <c r="E55" s="37"/>
      <c r="F55" s="37"/>
      <c r="G55" s="37"/>
      <c r="H55" s="37"/>
      <c r="I55" s="37"/>
      <c r="J55" s="37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/>
      <c r="AM55" s="311"/>
    </row>
    <row r="56" spans="1:39">
      <c r="A56" s="34">
        <f t="shared" si="3"/>
        <v>41</v>
      </c>
      <c r="B56" s="27"/>
      <c r="C56" s="33" t="s">
        <v>122</v>
      </c>
      <c r="D56" s="37" t="s">
        <v>52</v>
      </c>
      <c r="E56" s="37"/>
      <c r="F56" s="37"/>
      <c r="G56" s="37"/>
      <c r="H56" s="37"/>
      <c r="I56" s="37"/>
      <c r="J56" s="37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</row>
    <row r="57" spans="1:39">
      <c r="A57" s="34">
        <f t="shared" si="3"/>
        <v>42</v>
      </c>
      <c r="B57" s="27"/>
      <c r="C57" s="33" t="s">
        <v>123</v>
      </c>
      <c r="D57" s="27" t="str">
        <f>"(1/8 * line "&amp;A86&amp;")"</f>
        <v>(1/8 * line 58)</v>
      </c>
      <c r="E57" s="37">
        <f>+E86/8</f>
        <v>4255880.83</v>
      </c>
      <c r="F57" s="37"/>
      <c r="G57" s="37" t="s">
        <v>95</v>
      </c>
      <c r="H57" s="51"/>
      <c r="I57" s="37"/>
      <c r="J57" s="37">
        <f>+J86/8</f>
        <v>693968.11581438046</v>
      </c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</row>
    <row r="58" spans="1:39">
      <c r="A58" s="34">
        <f t="shared" si="3"/>
        <v>43</v>
      </c>
      <c r="B58" s="27"/>
      <c r="C58" s="33" t="s">
        <v>124</v>
      </c>
      <c r="D58" s="37" t="s">
        <v>125</v>
      </c>
      <c r="E58" s="37">
        <f>+'WP6 Rate Base'!G62</f>
        <v>8755820.5</v>
      </c>
      <c r="F58" s="37"/>
      <c r="G58" s="37" t="s">
        <v>81</v>
      </c>
      <c r="H58" s="47">
        <f>+J182</f>
        <v>0.33600633494666743</v>
      </c>
      <c r="I58" s="37"/>
      <c r="J58" s="37">
        <f>+H58*E58</f>
        <v>2942011.1556558972</v>
      </c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</row>
    <row r="59" spans="1:39">
      <c r="A59" s="34">
        <f t="shared" si="3"/>
        <v>44</v>
      </c>
      <c r="B59" s="27"/>
      <c r="C59" s="33" t="s">
        <v>124</v>
      </c>
      <c r="D59" s="37" t="s">
        <v>126</v>
      </c>
      <c r="E59" s="37">
        <f>+'WP6 Rate Base'!G63</f>
        <v>150440.5</v>
      </c>
      <c r="F59" s="37"/>
      <c r="G59" s="37" t="s">
        <v>72</v>
      </c>
      <c r="H59" s="47">
        <f>+J144</f>
        <v>0.87410699999999997</v>
      </c>
      <c r="I59" s="37"/>
      <c r="J59" s="37">
        <f>+H59*E59</f>
        <v>131501.09413349998</v>
      </c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</row>
    <row r="60" spans="1:39" ht="15.75" thickBot="1">
      <c r="A60" s="34">
        <f t="shared" si="3"/>
        <v>45</v>
      </c>
      <c r="B60" s="27"/>
      <c r="C60" s="33" t="s">
        <v>127</v>
      </c>
      <c r="D60" s="37" t="s">
        <v>128</v>
      </c>
      <c r="E60" s="54">
        <f>+'WP6 Rate Base'!G64</f>
        <v>4559304</v>
      </c>
      <c r="F60" s="37"/>
      <c r="G60" s="37" t="s">
        <v>129</v>
      </c>
      <c r="H60" s="47">
        <f>+H22</f>
        <v>0.16097279324229094</v>
      </c>
      <c r="I60" s="37"/>
      <c r="J60" s="49">
        <f>+H60*E60</f>
        <v>733923.90012075007</v>
      </c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</row>
    <row r="61" spans="1:39">
      <c r="A61" s="34">
        <f t="shared" si="3"/>
        <v>46</v>
      </c>
      <c r="B61" s="27"/>
      <c r="C61" s="33" t="s">
        <v>130</v>
      </c>
      <c r="D61" s="37" t="str">
        <f>"(sum lines "&amp;A57&amp;" - "&amp;A60&amp;")"</f>
        <v>(sum lines 42 - 45)</v>
      </c>
      <c r="E61" s="37">
        <f>SUM(E57:E60)</f>
        <v>17721445.829999998</v>
      </c>
      <c r="F61" s="33"/>
      <c r="G61" s="33"/>
      <c r="H61" s="33"/>
      <c r="I61" s="33"/>
      <c r="J61" s="37">
        <f>SUM(J57:J60)</f>
        <v>4501404.2657245276</v>
      </c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</row>
    <row r="62" spans="1:39" ht="15.75" thickBot="1">
      <c r="A62" s="34">
        <f t="shared" si="3"/>
        <v>47</v>
      </c>
      <c r="B62" s="27"/>
      <c r="C62" s="27"/>
      <c r="D62" s="37"/>
      <c r="E62" s="27"/>
      <c r="F62" s="37"/>
      <c r="G62" s="37"/>
      <c r="H62" s="37"/>
      <c r="I62" s="37"/>
      <c r="J62" s="55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</row>
    <row r="63" spans="1:39" ht="15.75" thickBot="1">
      <c r="A63" s="34">
        <f t="shared" si="3"/>
        <v>48</v>
      </c>
      <c r="B63" s="27"/>
      <c r="C63" s="33" t="s">
        <v>131</v>
      </c>
      <c r="D63" s="37" t="str">
        <f>"(sum lines "&amp;A42&amp;", "&amp;A52&amp;", "&amp;A54&amp;", &amp; "&amp;A61&amp;")"</f>
        <v>(sum lines 28, 37, 39, &amp; 46)</v>
      </c>
      <c r="E63" s="37"/>
      <c r="F63" s="37"/>
      <c r="G63" s="37"/>
      <c r="H63" s="51"/>
      <c r="I63" s="37"/>
      <c r="J63" s="56">
        <f>+J61+J54+J52+J42</f>
        <v>193643786.28659818</v>
      </c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</row>
    <row r="64" spans="1:39" ht="15.75" thickTop="1">
      <c r="A64" s="34"/>
      <c r="B64" s="27"/>
      <c r="C64" s="33"/>
      <c r="D64" s="37"/>
      <c r="E64" s="37"/>
      <c r="F64" s="37"/>
      <c r="G64" s="37"/>
      <c r="H64" s="51"/>
      <c r="I64" s="29" t="s">
        <v>44</v>
      </c>
      <c r="J64" s="57">
        <f>J1</f>
        <v>46173</v>
      </c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</row>
    <row r="65" spans="1:39">
      <c r="A65" s="34"/>
      <c r="B65" s="27"/>
      <c r="C65" s="33"/>
      <c r="D65" s="37"/>
      <c r="E65" s="37"/>
      <c r="F65" s="37"/>
      <c r="G65" s="37"/>
      <c r="I65" s="29" t="str">
        <f>$I$2</f>
        <v>Service Year</v>
      </c>
      <c r="J65" s="33">
        <f>$J$2</f>
        <v>2025</v>
      </c>
      <c r="K65" s="311"/>
      <c r="L65" s="311"/>
      <c r="M65" s="311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</row>
    <row r="66" spans="1:39">
      <c r="A66" s="34"/>
      <c r="B66" s="27"/>
      <c r="C66" s="33"/>
      <c r="D66" s="37"/>
      <c r="E66" s="37"/>
      <c r="F66" s="37"/>
      <c r="G66" s="37"/>
      <c r="H66" s="37"/>
      <c r="I66" s="37"/>
      <c r="J66" s="37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</row>
    <row r="67" spans="1:39" ht="15.75">
      <c r="A67" s="326" t="s">
        <v>46</v>
      </c>
      <c r="B67" s="326"/>
      <c r="C67" s="326"/>
      <c r="D67" s="326"/>
      <c r="E67" s="326"/>
      <c r="F67" s="326"/>
      <c r="G67" s="326"/>
      <c r="H67" s="326"/>
      <c r="I67" s="326"/>
      <c r="J67" s="326"/>
      <c r="K67" s="311"/>
      <c r="L67" s="311"/>
      <c r="M67" s="311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/>
      <c r="AM67" s="311"/>
    </row>
    <row r="68" spans="1:39" ht="15.75">
      <c r="A68" s="327" t="s">
        <v>47</v>
      </c>
      <c r="B68" s="327"/>
      <c r="C68" s="327"/>
      <c r="D68" s="327"/>
      <c r="E68" s="327"/>
      <c r="F68" s="327"/>
      <c r="G68" s="327"/>
      <c r="H68" s="327"/>
      <c r="I68" s="327"/>
      <c r="J68" s="327"/>
      <c r="K68" s="311"/>
      <c r="L68" s="311"/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  <c r="AJ68" s="311"/>
      <c r="AK68" s="311"/>
      <c r="AL68" s="311"/>
      <c r="AM68" s="311"/>
    </row>
    <row r="69" spans="1:39">
      <c r="A69" s="27"/>
      <c r="B69" s="27"/>
      <c r="C69" s="33"/>
      <c r="D69" s="33"/>
      <c r="F69" s="33"/>
      <c r="G69" s="33"/>
      <c r="H69" s="33"/>
      <c r="I69" s="33"/>
      <c r="J69" s="33"/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</row>
    <row r="70" spans="1:39" ht="15.75">
      <c r="A70" s="325" t="s">
        <v>48</v>
      </c>
      <c r="B70" s="325"/>
      <c r="C70" s="325"/>
      <c r="D70" s="325"/>
      <c r="E70" s="325"/>
      <c r="F70" s="325"/>
      <c r="G70" s="325"/>
      <c r="H70" s="325"/>
      <c r="I70" s="325"/>
      <c r="J70" s="325"/>
      <c r="K70" s="311"/>
      <c r="L70" s="311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  <c r="AG70" s="311"/>
      <c r="AH70" s="311"/>
      <c r="AI70" s="311"/>
      <c r="AJ70" s="311"/>
      <c r="AK70" s="311"/>
      <c r="AL70" s="311"/>
      <c r="AM70" s="311"/>
    </row>
    <row r="71" spans="1:39">
      <c r="A71" s="34"/>
      <c r="B71" s="27"/>
      <c r="C71" s="36" t="s">
        <v>49</v>
      </c>
      <c r="D71" s="36" t="s">
        <v>50</v>
      </c>
      <c r="E71" s="36" t="s">
        <v>51</v>
      </c>
      <c r="F71" s="37" t="s">
        <v>52</v>
      </c>
      <c r="G71" s="37"/>
      <c r="H71" s="38" t="s">
        <v>53</v>
      </c>
      <c r="I71" s="37"/>
      <c r="J71" s="39" t="s">
        <v>54</v>
      </c>
      <c r="K71" s="311"/>
      <c r="L71" s="311"/>
      <c r="M71" s="311"/>
      <c r="N71" s="311"/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1"/>
      <c r="AC71" s="311"/>
      <c r="AD71" s="311"/>
      <c r="AE71" s="311"/>
      <c r="AF71" s="311"/>
      <c r="AG71" s="311"/>
      <c r="AH71" s="311"/>
      <c r="AI71" s="311"/>
      <c r="AJ71" s="311"/>
      <c r="AK71" s="311"/>
      <c r="AL71" s="311"/>
      <c r="AM71" s="311"/>
    </row>
    <row r="72" spans="1:39">
      <c r="A72" s="34"/>
      <c r="B72" s="27"/>
      <c r="C72" s="36"/>
      <c r="D72" s="50"/>
      <c r="E72" s="50"/>
      <c r="F72" s="50"/>
      <c r="G72" s="50"/>
      <c r="H72" s="50"/>
      <c r="I72" s="50"/>
      <c r="J72" s="50"/>
      <c r="K72" s="311"/>
      <c r="L72" s="311"/>
      <c r="M72" s="311"/>
      <c r="N72" s="311"/>
      <c r="O72" s="311"/>
      <c r="P72" s="311"/>
      <c r="Q72" s="311"/>
      <c r="R72" s="311"/>
      <c r="S72" s="311"/>
      <c r="T72" s="311"/>
      <c r="U72" s="311"/>
      <c r="V72" s="311"/>
      <c r="W72" s="311"/>
      <c r="X72" s="311"/>
      <c r="Y72" s="311"/>
      <c r="Z72" s="311"/>
      <c r="AA72" s="311"/>
      <c r="AB72" s="311"/>
      <c r="AC72" s="311"/>
      <c r="AD72" s="311"/>
      <c r="AE72" s="311"/>
      <c r="AF72" s="311"/>
      <c r="AG72" s="311"/>
      <c r="AH72" s="311"/>
      <c r="AI72" s="311"/>
      <c r="AJ72" s="311"/>
      <c r="AK72" s="311"/>
      <c r="AL72" s="311"/>
      <c r="AM72" s="311"/>
    </row>
    <row r="73" spans="1:39" ht="15.75">
      <c r="A73" s="34" t="s">
        <v>58</v>
      </c>
      <c r="B73" s="27"/>
      <c r="C73" s="33"/>
      <c r="D73" s="32" t="s">
        <v>55</v>
      </c>
      <c r="E73" s="37"/>
      <c r="F73" s="37"/>
      <c r="G73" s="42" t="str">
        <f>+G10</f>
        <v xml:space="preserve">      Allocator</v>
      </c>
      <c r="H73" s="34"/>
      <c r="I73" s="37"/>
      <c r="J73" s="31" t="s">
        <v>57</v>
      </c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311"/>
      <c r="AB73" s="311"/>
      <c r="AC73" s="311"/>
      <c r="AD73" s="311"/>
      <c r="AE73" s="311"/>
      <c r="AF73" s="311"/>
      <c r="AG73" s="311"/>
      <c r="AH73" s="311"/>
      <c r="AI73" s="311"/>
      <c r="AJ73" s="311"/>
      <c r="AK73" s="311"/>
      <c r="AL73" s="311"/>
      <c r="AM73" s="311"/>
    </row>
    <row r="74" spans="1:39" ht="16.5" thickBot="1">
      <c r="A74" s="45" t="s">
        <v>63</v>
      </c>
      <c r="B74" s="27"/>
      <c r="C74" s="33"/>
      <c r="D74" s="41" t="s">
        <v>59</v>
      </c>
      <c r="E74" s="31" t="s">
        <v>60</v>
      </c>
      <c r="F74" s="42"/>
      <c r="G74" s="43" t="str">
        <f>+G11</f>
        <v xml:space="preserve">        (page 4)</v>
      </c>
      <c r="H74" s="27"/>
      <c r="I74" s="42"/>
      <c r="J74" s="34" t="s">
        <v>62</v>
      </c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311"/>
      <c r="AA74" s="311"/>
      <c r="AB74" s="311"/>
      <c r="AC74" s="311"/>
      <c r="AD74" s="311"/>
      <c r="AE74" s="311"/>
      <c r="AF74" s="311"/>
      <c r="AG74" s="311"/>
      <c r="AH74" s="311"/>
      <c r="AI74" s="311"/>
      <c r="AJ74" s="311"/>
      <c r="AK74" s="311"/>
      <c r="AL74" s="311"/>
      <c r="AM74" s="311"/>
    </row>
    <row r="75" spans="1:39" ht="15.75">
      <c r="A75" s="27"/>
      <c r="B75" s="27"/>
      <c r="C75" s="33"/>
      <c r="D75" s="37"/>
      <c r="E75" s="58"/>
      <c r="F75" s="59"/>
      <c r="G75" s="60"/>
      <c r="H75" s="27"/>
      <c r="I75" s="59"/>
      <c r="J75" s="58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311"/>
      <c r="AB75" s="311"/>
      <c r="AC75" s="311"/>
      <c r="AD75" s="311"/>
      <c r="AE75" s="311"/>
      <c r="AF75" s="311"/>
      <c r="AG75" s="311"/>
      <c r="AH75" s="311"/>
      <c r="AI75" s="311"/>
      <c r="AJ75" s="311"/>
      <c r="AK75" s="311"/>
      <c r="AL75" s="311"/>
      <c r="AM75" s="311"/>
    </row>
    <row r="76" spans="1:39">
      <c r="A76" s="34"/>
      <c r="B76" s="27"/>
      <c r="C76" s="33" t="s">
        <v>132</v>
      </c>
      <c r="D76" s="37"/>
      <c r="E76" s="37"/>
      <c r="F76" s="37"/>
      <c r="G76" s="37"/>
      <c r="H76" s="37"/>
      <c r="I76" s="37"/>
      <c r="J76" s="37"/>
      <c r="K76" s="311"/>
      <c r="L76" s="311"/>
      <c r="M76" s="311"/>
      <c r="O76" s="311"/>
      <c r="P76" s="311"/>
      <c r="Q76" s="311"/>
      <c r="R76" s="311"/>
      <c r="S76" s="311"/>
      <c r="T76" s="311"/>
      <c r="U76" s="311"/>
      <c r="V76" s="311"/>
      <c r="W76" s="311"/>
      <c r="X76" s="311"/>
      <c r="Y76" s="311"/>
      <c r="Z76" s="311"/>
      <c r="AA76" s="311"/>
      <c r="AB76" s="311"/>
      <c r="AC76" s="311"/>
      <c r="AD76" s="311"/>
      <c r="AE76" s="311"/>
      <c r="AF76" s="311"/>
      <c r="AG76" s="311"/>
      <c r="AH76" s="311"/>
      <c r="AI76" s="311"/>
      <c r="AJ76" s="311"/>
      <c r="AK76" s="311"/>
      <c r="AL76" s="311"/>
      <c r="AM76" s="311"/>
    </row>
    <row r="77" spans="1:39">
      <c r="A77" s="34">
        <f>+A63+1</f>
        <v>49</v>
      </c>
      <c r="B77" s="27"/>
      <c r="C77" s="33" t="s">
        <v>133</v>
      </c>
      <c r="D77" s="37" t="s">
        <v>134</v>
      </c>
      <c r="E77" s="37">
        <v>32060458</v>
      </c>
      <c r="F77" s="37"/>
      <c r="G77" s="37" t="s">
        <v>72</v>
      </c>
      <c r="H77" s="47">
        <f>+J144</f>
        <v>0.87410699999999997</v>
      </c>
      <c r="I77" s="37"/>
      <c r="J77" s="37">
        <f>+H77*E77</f>
        <v>28024270.761005998</v>
      </c>
      <c r="K77" s="311"/>
      <c r="L77" s="311"/>
      <c r="M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</row>
    <row r="78" spans="1:39">
      <c r="A78" s="34">
        <f>+A77+1</f>
        <v>50</v>
      </c>
      <c r="B78" s="27"/>
      <c r="C78" s="33" t="s">
        <v>135</v>
      </c>
      <c r="D78" s="37" t="s">
        <v>136</v>
      </c>
      <c r="E78" s="37">
        <f>126603+2241477+60253+367372+931293+18705+46584+170351+25870553</f>
        <v>29833191</v>
      </c>
      <c r="F78" s="37"/>
      <c r="G78" s="37" t="str">
        <f>+G77</f>
        <v>TP</v>
      </c>
      <c r="H78" s="47">
        <f>+H77</f>
        <v>0.87410699999999997</v>
      </c>
      <c r="I78" s="37"/>
      <c r="J78" s="37">
        <f t="shared" ref="J78:J85" si="4">+H78*E78</f>
        <v>26077401.085437</v>
      </c>
      <c r="K78" s="311"/>
      <c r="L78" s="311"/>
      <c r="M78" s="311"/>
      <c r="O78" s="311"/>
      <c r="P78" s="311"/>
      <c r="Q78" s="311"/>
      <c r="R78" s="311"/>
      <c r="S78" s="311"/>
      <c r="T78" s="311"/>
      <c r="U78" s="311"/>
      <c r="V78" s="311"/>
      <c r="W78" s="311"/>
      <c r="X78" s="311"/>
      <c r="Y78" s="311"/>
      <c r="Z78" s="311"/>
      <c r="AA78" s="311"/>
      <c r="AB78" s="311"/>
      <c r="AC78" s="311"/>
      <c r="AD78" s="311"/>
      <c r="AE78" s="311"/>
      <c r="AF78" s="311"/>
      <c r="AG78" s="311"/>
      <c r="AH78" s="311"/>
      <c r="AI78" s="311"/>
      <c r="AJ78" s="311"/>
      <c r="AK78" s="311"/>
      <c r="AL78" s="311"/>
      <c r="AM78" s="311"/>
    </row>
    <row r="79" spans="1:39">
      <c r="A79" s="34">
        <f t="shared" ref="A79:A120" si="5">+A78+1</f>
        <v>51</v>
      </c>
      <c r="B79" s="27"/>
      <c r="C79" s="33" t="s">
        <v>137</v>
      </c>
      <c r="D79" s="37" t="s">
        <v>138</v>
      </c>
      <c r="E79" s="37">
        <v>33541921</v>
      </c>
      <c r="F79" s="37"/>
      <c r="G79" s="37" t="s">
        <v>77</v>
      </c>
      <c r="H79" s="47">
        <f>+H28</f>
        <v>0.13038577955067673</v>
      </c>
      <c r="I79" s="37"/>
      <c r="J79" s="37">
        <f t="shared" si="4"/>
        <v>4373389.5172122149</v>
      </c>
      <c r="K79" s="311"/>
      <c r="L79" s="311"/>
      <c r="M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</row>
    <row r="80" spans="1:39">
      <c r="A80" s="34">
        <f t="shared" si="5"/>
        <v>52</v>
      </c>
      <c r="B80" s="27"/>
      <c r="C80" s="33" t="s">
        <v>139</v>
      </c>
      <c r="D80" s="37" t="s">
        <v>140</v>
      </c>
      <c r="E80" s="37">
        <v>625532</v>
      </c>
      <c r="F80" s="37"/>
      <c r="G80" s="37" t="s">
        <v>77</v>
      </c>
      <c r="H80" s="47">
        <v>1</v>
      </c>
      <c r="I80" s="37"/>
      <c r="J80" s="37">
        <f t="shared" si="4"/>
        <v>625532</v>
      </c>
      <c r="K80" s="311"/>
      <c r="L80" s="311"/>
      <c r="M80" s="6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</row>
    <row r="81" spans="1:39">
      <c r="A81" s="34">
        <f t="shared" si="5"/>
        <v>53</v>
      </c>
      <c r="B81" s="27"/>
      <c r="C81" s="33" t="s">
        <v>141</v>
      </c>
      <c r="D81" s="37" t="s">
        <v>142</v>
      </c>
      <c r="E81" s="37">
        <v>227200</v>
      </c>
      <c r="F81" s="37"/>
      <c r="G81" s="37" t="str">
        <f>G79</f>
        <v>W/S</v>
      </c>
      <c r="H81" s="47">
        <f>H79</f>
        <v>0.13038577955067673</v>
      </c>
      <c r="I81" s="37"/>
      <c r="J81" s="37">
        <f t="shared" si="4"/>
        <v>29623.649113913754</v>
      </c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  <c r="AF81" s="311"/>
      <c r="AG81" s="311"/>
      <c r="AH81" s="311"/>
      <c r="AI81" s="311"/>
      <c r="AJ81" s="311"/>
      <c r="AK81" s="311"/>
      <c r="AL81" s="311"/>
      <c r="AM81" s="311"/>
    </row>
    <row r="82" spans="1:39">
      <c r="A82" s="34">
        <f t="shared" si="5"/>
        <v>54</v>
      </c>
      <c r="B82" s="27"/>
      <c r="C82" s="33" t="s">
        <v>143</v>
      </c>
      <c r="D82" s="37" t="s">
        <v>144</v>
      </c>
      <c r="E82" s="37">
        <v>311301.3600000001</v>
      </c>
      <c r="F82" s="37"/>
      <c r="G82" s="37" t="str">
        <f>+G81</f>
        <v>W/S</v>
      </c>
      <c r="H82" s="47">
        <f>+H81</f>
        <v>0.13038577955067673</v>
      </c>
      <c r="I82" s="37"/>
      <c r="J82" s="37">
        <f t="shared" si="4"/>
        <v>40589.270498785867</v>
      </c>
      <c r="K82" s="311"/>
      <c r="L82" s="311"/>
      <c r="M82" s="311"/>
      <c r="N82" s="311"/>
      <c r="O82" s="311"/>
      <c r="P82" s="311"/>
      <c r="Q82" s="311"/>
      <c r="R82" s="311"/>
      <c r="S82" s="311"/>
      <c r="T82" s="311"/>
      <c r="U82" s="311"/>
      <c r="V82" s="311"/>
      <c r="W82" s="311"/>
      <c r="X82" s="311"/>
      <c r="Y82" s="311"/>
      <c r="Z82" s="311"/>
      <c r="AA82" s="311"/>
      <c r="AB82" s="311"/>
      <c r="AC82" s="311"/>
      <c r="AD82" s="311"/>
      <c r="AE82" s="311"/>
      <c r="AF82" s="311"/>
      <c r="AG82" s="311"/>
      <c r="AH82" s="311"/>
      <c r="AI82" s="311"/>
      <c r="AJ82" s="311"/>
      <c r="AK82" s="311"/>
      <c r="AL82" s="311"/>
      <c r="AM82" s="311"/>
    </row>
    <row r="83" spans="1:39">
      <c r="A83" s="34">
        <f t="shared" si="5"/>
        <v>55</v>
      </c>
      <c r="B83" s="27"/>
      <c r="C83" s="33" t="s">
        <v>145</v>
      </c>
      <c r="D83" s="37"/>
      <c r="E83" s="37">
        <v>1012508</v>
      </c>
      <c r="F83" s="37"/>
      <c r="G83" s="37" t="str">
        <f>G79</f>
        <v>W/S</v>
      </c>
      <c r="H83" s="47">
        <f>H79</f>
        <v>0.13038577955067673</v>
      </c>
      <c r="I83" s="37"/>
      <c r="J83" s="37">
        <f t="shared" si="4"/>
        <v>132016.64488129661</v>
      </c>
      <c r="K83" s="311"/>
      <c r="L83" s="311"/>
      <c r="M83" s="311"/>
      <c r="N83" s="311"/>
      <c r="O83" s="311"/>
      <c r="P83" s="311"/>
      <c r="Q83" s="311"/>
      <c r="R83" s="311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  <c r="AF83" s="311"/>
      <c r="AG83" s="311"/>
      <c r="AH83" s="311"/>
      <c r="AI83" s="311"/>
      <c r="AJ83" s="311"/>
      <c r="AK83" s="311"/>
      <c r="AL83" s="311"/>
      <c r="AM83" s="311"/>
    </row>
    <row r="84" spans="1:39">
      <c r="A84" s="34">
        <f t="shared" si="5"/>
        <v>56</v>
      </c>
      <c r="B84" s="27"/>
      <c r="C84" s="33" t="s">
        <v>146</v>
      </c>
      <c r="D84" s="37"/>
      <c r="E84" s="37"/>
      <c r="F84" s="37"/>
      <c r="G84" s="62" t="str">
        <f>+G77</f>
        <v>TP</v>
      </c>
      <c r="H84" s="47">
        <f>+H77</f>
        <v>0.87410699999999997</v>
      </c>
      <c r="I84" s="37"/>
      <c r="J84" s="37">
        <f>+H84*E84</f>
        <v>0</v>
      </c>
      <c r="K84" s="311"/>
      <c r="L84" s="311"/>
      <c r="M84" s="311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  <c r="AE84" s="311"/>
      <c r="AF84" s="311"/>
      <c r="AG84" s="311"/>
      <c r="AH84" s="311"/>
      <c r="AI84" s="311"/>
      <c r="AJ84" s="311"/>
      <c r="AK84" s="311"/>
      <c r="AL84" s="311"/>
      <c r="AM84" s="311"/>
    </row>
    <row r="85" spans="1:39" ht="15.75" thickBot="1">
      <c r="A85" s="34">
        <f t="shared" si="5"/>
        <v>57</v>
      </c>
      <c r="B85" s="27"/>
      <c r="C85" s="33" t="s">
        <v>82</v>
      </c>
      <c r="D85" s="37" t="str">
        <f>+D31</f>
        <v>356.1</v>
      </c>
      <c r="E85" s="49">
        <v>0</v>
      </c>
      <c r="F85" s="37"/>
      <c r="G85" s="37" t="s">
        <v>84</v>
      </c>
      <c r="H85" s="47">
        <f>+H31</f>
        <v>0</v>
      </c>
      <c r="I85" s="37"/>
      <c r="J85" s="49">
        <f t="shared" si="4"/>
        <v>0</v>
      </c>
      <c r="K85" s="311"/>
      <c r="L85" s="311"/>
      <c r="M85" s="311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1"/>
      <c r="AF85" s="311"/>
      <c r="AG85" s="311"/>
      <c r="AH85" s="311"/>
      <c r="AI85" s="311"/>
      <c r="AJ85" s="311"/>
      <c r="AK85" s="311"/>
      <c r="AL85" s="311"/>
      <c r="AM85" s="311"/>
    </row>
    <row r="86" spans="1:39">
      <c r="A86" s="34">
        <f t="shared" si="5"/>
        <v>58</v>
      </c>
      <c r="B86" s="27"/>
      <c r="C86" s="33" t="str">
        <f>"TOTAL O&amp;M   (sum lines "&amp;A77&amp;", "&amp;A79&amp;", "&amp;A81&amp;", "&amp;A84&amp;", "&amp;A85&amp;" less lines "&amp;A78&amp;", "&amp;A80&amp;", "&amp;A82&amp;" , "&amp;A83&amp;")"</f>
        <v>TOTAL O&amp;M   (sum lines 49, 51, 53, 56, 57 less lines 50, 52, 54 , 55)</v>
      </c>
      <c r="D86" s="37"/>
      <c r="E86" s="37">
        <f>+E77-E78+E79-E80-E83+E85+E84+E81-E82</f>
        <v>34047046.640000001</v>
      </c>
      <c r="F86" s="37"/>
      <c r="G86" s="37"/>
      <c r="H86" s="37"/>
      <c r="I86" s="37"/>
      <c r="J86" s="37">
        <f>+J77-J78+J79-J80-J83+J85+J84+J81-J82</f>
        <v>5551744.9265150437</v>
      </c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</row>
    <row r="87" spans="1:39">
      <c r="A87" s="34">
        <f t="shared" si="5"/>
        <v>59</v>
      </c>
      <c r="B87" s="27"/>
      <c r="C87" s="27"/>
      <c r="D87" s="37"/>
      <c r="E87" s="27"/>
      <c r="F87" s="37"/>
      <c r="G87" s="37"/>
      <c r="H87" s="37"/>
      <c r="I87" s="37"/>
      <c r="J87" s="27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</row>
    <row r="88" spans="1:39">
      <c r="A88" s="34">
        <f t="shared" si="5"/>
        <v>60</v>
      </c>
      <c r="B88" s="27"/>
      <c r="C88" s="33" t="s">
        <v>147</v>
      </c>
      <c r="D88" s="37"/>
      <c r="E88" s="37"/>
      <c r="F88" s="37"/>
      <c r="G88" s="37"/>
      <c r="H88" s="37"/>
      <c r="I88" s="37"/>
      <c r="J88" s="37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</row>
    <row r="89" spans="1:39">
      <c r="A89" s="34">
        <f t="shared" si="5"/>
        <v>61</v>
      </c>
      <c r="B89" s="27"/>
      <c r="C89" s="33" t="str">
        <f>+C16</f>
        <v xml:space="preserve">  Transmission</v>
      </c>
      <c r="D89" s="37" t="s">
        <v>148</v>
      </c>
      <c r="E89" s="37">
        <f>E16*'BHP WP5 Depreciation Rates'!H17</f>
        <v>6954582.0321156913</v>
      </c>
      <c r="F89" s="37"/>
      <c r="G89" s="37" t="s">
        <v>72</v>
      </c>
      <c r="H89" s="47">
        <f>+J144</f>
        <v>0.87410699999999997</v>
      </c>
      <c r="I89" s="37"/>
      <c r="J89" s="37">
        <f>+H89*E89</f>
        <v>6079048.8363465508</v>
      </c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</row>
    <row r="90" spans="1:39">
      <c r="A90" s="34">
        <f t="shared" si="5"/>
        <v>62</v>
      </c>
      <c r="B90" s="27"/>
      <c r="C90" s="33" t="s">
        <v>149</v>
      </c>
      <c r="D90" s="37" t="s">
        <v>150</v>
      </c>
      <c r="E90" s="37">
        <f>(E18+E20)*'BHP WP5 Depreciation Rates'!H31</f>
        <v>5081264.1838676929</v>
      </c>
      <c r="F90" s="37"/>
      <c r="G90" s="37" t="s">
        <v>77</v>
      </c>
      <c r="H90" s="47">
        <f>H79</f>
        <v>0.13038577955067673</v>
      </c>
      <c r="I90" s="37"/>
      <c r="J90" s="37">
        <f>+H90*E90</f>
        <v>662524.59171652235</v>
      </c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</row>
    <row r="91" spans="1:39" ht="15.75" thickBot="1">
      <c r="A91" s="34">
        <f t="shared" si="5"/>
        <v>63</v>
      </c>
      <c r="B91" s="27"/>
      <c r="C91" s="33" t="str">
        <f>+C85</f>
        <v xml:space="preserve">  Common</v>
      </c>
      <c r="D91" s="37" t="s">
        <v>151</v>
      </c>
      <c r="E91" s="49">
        <v>0</v>
      </c>
      <c r="F91" s="37"/>
      <c r="G91" s="37" t="s">
        <v>84</v>
      </c>
      <c r="H91" s="47">
        <f>+H85</f>
        <v>0</v>
      </c>
      <c r="I91" s="37"/>
      <c r="J91" s="49">
        <f>+H91*E91</f>
        <v>0</v>
      </c>
      <c r="K91" s="311"/>
      <c r="L91" s="311"/>
      <c r="M91" s="311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  <c r="AD91" s="311"/>
      <c r="AE91" s="311"/>
      <c r="AF91" s="311"/>
      <c r="AG91" s="311"/>
      <c r="AH91" s="311"/>
      <c r="AI91" s="311"/>
      <c r="AJ91" s="311"/>
      <c r="AK91" s="311"/>
      <c r="AL91" s="311"/>
      <c r="AM91" s="311"/>
    </row>
    <row r="92" spans="1:39">
      <c r="A92" s="34">
        <f t="shared" si="5"/>
        <v>64</v>
      </c>
      <c r="B92" s="27"/>
      <c r="C92" s="33" t="str">
        <f>"TOTAL DEPRECIATION (Sum lines "&amp;A89&amp;" - "&amp;A91&amp;")"</f>
        <v>TOTAL DEPRECIATION (Sum lines 61 - 63)</v>
      </c>
      <c r="D92" s="37"/>
      <c r="E92" s="37">
        <f>SUM(E89:E91)</f>
        <v>12035846.215983383</v>
      </c>
      <c r="F92" s="37"/>
      <c r="G92" s="37"/>
      <c r="H92" s="37"/>
      <c r="I92" s="37"/>
      <c r="J92" s="37">
        <f>SUM(J89:J91)</f>
        <v>6741573.4280630732</v>
      </c>
      <c r="K92" s="311"/>
      <c r="L92" s="311"/>
      <c r="M92" s="311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  <c r="AD92" s="311"/>
      <c r="AE92" s="311"/>
      <c r="AF92" s="311"/>
      <c r="AG92" s="311"/>
      <c r="AH92" s="311"/>
      <c r="AI92" s="311"/>
      <c r="AJ92" s="311"/>
      <c r="AK92" s="311"/>
      <c r="AL92" s="311"/>
      <c r="AM92" s="311"/>
    </row>
    <row r="93" spans="1:39">
      <c r="A93" s="34">
        <f t="shared" si="5"/>
        <v>65</v>
      </c>
      <c r="B93" s="27"/>
      <c r="C93" s="33"/>
      <c r="D93" s="37"/>
      <c r="E93" s="37"/>
      <c r="F93" s="37"/>
      <c r="G93" s="37"/>
      <c r="H93" s="37"/>
      <c r="I93" s="37"/>
      <c r="J93" s="37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/>
    </row>
    <row r="94" spans="1:39">
      <c r="A94" s="34">
        <f t="shared" si="5"/>
        <v>66</v>
      </c>
      <c r="B94" s="27"/>
      <c r="C94" s="33" t="s">
        <v>152</v>
      </c>
      <c r="D94" s="27"/>
      <c r="E94" s="37"/>
      <c r="F94" s="37"/>
      <c r="G94" s="37"/>
      <c r="H94" s="37"/>
      <c r="I94" s="37"/>
      <c r="J94" s="37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</row>
    <row r="95" spans="1:39">
      <c r="A95" s="34">
        <f t="shared" si="5"/>
        <v>67</v>
      </c>
      <c r="B95" s="27"/>
      <c r="C95" s="33" t="s">
        <v>153</v>
      </c>
      <c r="D95" s="27"/>
      <c r="E95" s="6"/>
      <c r="F95" s="37"/>
      <c r="G95" s="37"/>
      <c r="H95" s="27"/>
      <c r="I95" s="37"/>
      <c r="J95" s="27"/>
      <c r="K95" s="311"/>
      <c r="L95" s="311"/>
      <c r="M95" s="311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  <c r="AD95" s="311"/>
      <c r="AE95" s="311"/>
      <c r="AF95" s="311"/>
      <c r="AG95" s="311"/>
      <c r="AH95" s="311"/>
      <c r="AI95" s="311"/>
      <c r="AJ95" s="311"/>
      <c r="AK95" s="311"/>
      <c r="AL95" s="311"/>
      <c r="AM95" s="311"/>
    </row>
    <row r="96" spans="1:39">
      <c r="A96" s="34">
        <f t="shared" si="5"/>
        <v>68</v>
      </c>
      <c r="B96" s="27"/>
      <c r="C96" s="33" t="s">
        <v>154</v>
      </c>
      <c r="D96" s="37" t="s">
        <v>155</v>
      </c>
      <c r="E96" s="37">
        <f>19007+1947161+45477</f>
        <v>2011645</v>
      </c>
      <c r="F96" s="37"/>
      <c r="G96" s="37" t="s">
        <v>77</v>
      </c>
      <c r="H96" s="63">
        <f>+J176</f>
        <v>0.13038577955067673</v>
      </c>
      <c r="I96" s="37"/>
      <c r="J96" s="37">
        <f>+H96*E96</f>
        <v>262289.90150422108</v>
      </c>
      <c r="K96" s="311"/>
      <c r="L96" s="311"/>
      <c r="M96" s="311"/>
      <c r="N96" s="311"/>
      <c r="O96" s="311"/>
      <c r="P96" s="311"/>
      <c r="Q96" s="311"/>
      <c r="R96" s="311"/>
      <c r="S96" s="311"/>
      <c r="T96" s="311"/>
      <c r="U96" s="311"/>
      <c r="V96" s="311"/>
      <c r="W96" s="311"/>
      <c r="X96" s="311"/>
      <c r="Y96" s="311"/>
      <c r="Z96" s="311"/>
      <c r="AA96" s="311"/>
      <c r="AB96" s="311"/>
      <c r="AC96" s="311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</row>
    <row r="97" spans="1:39">
      <c r="A97" s="34">
        <f t="shared" si="5"/>
        <v>69</v>
      </c>
      <c r="B97" s="27"/>
      <c r="C97" s="33" t="s">
        <v>156</v>
      </c>
      <c r="D97" s="37" t="s">
        <v>157</v>
      </c>
      <c r="E97" s="37">
        <v>0</v>
      </c>
      <c r="F97" s="37"/>
      <c r="G97" s="37" t="str">
        <f>+G96</f>
        <v>W/S</v>
      </c>
      <c r="H97" s="63">
        <f>+H96</f>
        <v>0.13038577955067673</v>
      </c>
      <c r="I97" s="37"/>
      <c r="J97" s="37">
        <f>+H97*E97</f>
        <v>0</v>
      </c>
      <c r="K97" s="311"/>
      <c r="L97" s="311"/>
      <c r="M97" s="311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  <c r="AD97" s="311"/>
      <c r="AE97" s="311"/>
      <c r="AF97" s="311"/>
      <c r="AG97" s="311"/>
      <c r="AH97" s="311"/>
      <c r="AI97" s="311"/>
      <c r="AJ97" s="311"/>
      <c r="AK97" s="311"/>
      <c r="AL97" s="311"/>
      <c r="AM97" s="311"/>
    </row>
    <row r="98" spans="1:39">
      <c r="A98" s="34">
        <f t="shared" si="5"/>
        <v>70</v>
      </c>
      <c r="B98" s="27"/>
      <c r="C98" s="33" t="s">
        <v>158</v>
      </c>
      <c r="D98" s="37" t="s">
        <v>52</v>
      </c>
      <c r="E98" s="37"/>
      <c r="F98" s="37"/>
      <c r="G98" s="37"/>
      <c r="H98" s="27"/>
      <c r="I98" s="37"/>
      <c r="J98" s="27"/>
      <c r="K98" s="311"/>
      <c r="L98" s="311"/>
      <c r="M98" s="311"/>
      <c r="N98" s="311"/>
      <c r="O98" s="311"/>
      <c r="P98" s="311"/>
      <c r="Q98" s="311"/>
      <c r="R98" s="311"/>
      <c r="S98" s="311"/>
      <c r="T98" s="311"/>
      <c r="U98" s="311"/>
      <c r="V98" s="311"/>
      <c r="W98" s="311"/>
      <c r="X98" s="311"/>
      <c r="Y98" s="311"/>
      <c r="Z98" s="311"/>
      <c r="AA98" s="311"/>
      <c r="AB98" s="311"/>
      <c r="AC98" s="311"/>
      <c r="AD98" s="311"/>
      <c r="AE98" s="311"/>
      <c r="AF98" s="311"/>
      <c r="AG98" s="311"/>
      <c r="AH98" s="311"/>
      <c r="AI98" s="311"/>
      <c r="AJ98" s="311"/>
      <c r="AK98" s="311"/>
      <c r="AL98" s="311"/>
      <c r="AM98" s="311"/>
    </row>
    <row r="99" spans="1:39">
      <c r="A99" s="34">
        <f t="shared" si="5"/>
        <v>71</v>
      </c>
      <c r="B99" s="27"/>
      <c r="C99" s="33" t="s">
        <v>159</v>
      </c>
      <c r="D99" s="37" t="s">
        <v>160</v>
      </c>
      <c r="E99" s="37">
        <v>7446394.1999999983</v>
      </c>
      <c r="F99" s="37"/>
      <c r="G99" s="37" t="s">
        <v>129</v>
      </c>
      <c r="H99" s="63">
        <f>+H22</f>
        <v>0.16097279324229094</v>
      </c>
      <c r="I99" s="37"/>
      <c r="J99" s="37">
        <f>+H99*E99</f>
        <v>1198666.8739571942</v>
      </c>
      <c r="K99" s="311"/>
      <c r="L99" s="311"/>
      <c r="M99" s="311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  <c r="AD99" s="311"/>
      <c r="AE99" s="311"/>
      <c r="AF99" s="311"/>
      <c r="AG99" s="311"/>
      <c r="AH99" s="311"/>
      <c r="AI99" s="311"/>
      <c r="AJ99" s="311"/>
      <c r="AK99" s="311"/>
      <c r="AL99" s="311"/>
      <c r="AM99" s="311"/>
    </row>
    <row r="100" spans="1:39">
      <c r="A100" s="34">
        <f t="shared" si="5"/>
        <v>72</v>
      </c>
      <c r="B100" s="27"/>
      <c r="C100" s="33" t="s">
        <v>161</v>
      </c>
      <c r="D100" s="37" t="s">
        <v>157</v>
      </c>
      <c r="E100" s="37">
        <f>131509+36100-2859-6778+56637</f>
        <v>214609</v>
      </c>
      <c r="F100" s="37"/>
      <c r="G100" s="37" t="str">
        <f>+G45</f>
        <v>NA</v>
      </c>
      <c r="H100" s="64" t="s">
        <v>103</v>
      </c>
      <c r="I100" s="37"/>
      <c r="J100" s="37">
        <v>0</v>
      </c>
      <c r="L100" s="311"/>
      <c r="M100" s="311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  <c r="AD100" s="311"/>
      <c r="AE100" s="311"/>
      <c r="AF100" s="311"/>
      <c r="AG100" s="311"/>
      <c r="AH100" s="311"/>
      <c r="AI100" s="311"/>
      <c r="AJ100" s="311"/>
      <c r="AK100" s="311"/>
      <c r="AL100" s="311"/>
      <c r="AM100" s="311"/>
    </row>
    <row r="101" spans="1:39" ht="15.75" thickBot="1">
      <c r="A101" s="34">
        <f t="shared" si="5"/>
        <v>73</v>
      </c>
      <c r="B101" s="27"/>
      <c r="C101" s="33" t="s">
        <v>162</v>
      </c>
      <c r="D101" s="37" t="str">
        <f>+D100</f>
        <v>263.i</v>
      </c>
      <c r="E101" s="49">
        <v>0</v>
      </c>
      <c r="F101" s="37"/>
      <c r="G101" s="37" t="str">
        <f>+G99</f>
        <v>GP</v>
      </c>
      <c r="H101" s="63">
        <f>+H99</f>
        <v>0.16097279324229094</v>
      </c>
      <c r="I101" s="37"/>
      <c r="J101" s="49">
        <f>+H101*E101</f>
        <v>0</v>
      </c>
      <c r="L101" s="311"/>
      <c r="M101" s="311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  <c r="AD101" s="311"/>
      <c r="AE101" s="311"/>
      <c r="AF101" s="311"/>
      <c r="AG101" s="311"/>
      <c r="AH101" s="311"/>
      <c r="AI101" s="311"/>
      <c r="AJ101" s="311"/>
      <c r="AK101" s="311"/>
      <c r="AL101" s="311"/>
      <c r="AM101" s="311"/>
    </row>
    <row r="102" spans="1:39">
      <c r="A102" s="34">
        <f t="shared" si="5"/>
        <v>74</v>
      </c>
      <c r="B102" s="27"/>
      <c r="C102" s="33" t="str">
        <f>"TOTAL OTHER TAXES  (sum lines "&amp;A96&amp;" - "&amp;A101&amp;")"</f>
        <v>TOTAL OTHER TAXES  (sum lines 68 - 73)</v>
      </c>
      <c r="D102" s="37"/>
      <c r="E102" s="37">
        <f>SUM(E96:E101)</f>
        <v>9672648.1999999993</v>
      </c>
      <c r="F102" s="37"/>
      <c r="G102" s="37"/>
      <c r="H102" s="63"/>
      <c r="I102" s="37"/>
      <c r="J102" s="37">
        <f>SUM(J96:J101)</f>
        <v>1460956.7754614153</v>
      </c>
      <c r="K102" s="311"/>
      <c r="L102" s="311"/>
      <c r="M102" s="311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  <c r="AD102" s="311"/>
      <c r="AE102" s="311"/>
      <c r="AF102" s="311"/>
      <c r="AG102" s="311"/>
      <c r="AH102" s="311"/>
      <c r="AI102" s="311"/>
      <c r="AJ102" s="311"/>
      <c r="AK102" s="311"/>
      <c r="AL102" s="311"/>
      <c r="AM102" s="311"/>
    </row>
    <row r="103" spans="1:39">
      <c r="A103" s="34">
        <f t="shared" si="5"/>
        <v>75</v>
      </c>
      <c r="B103" s="27"/>
      <c r="C103" s="33"/>
      <c r="D103" s="37"/>
      <c r="E103" s="37"/>
      <c r="F103" s="37"/>
      <c r="G103" s="37">
        <v>9730445</v>
      </c>
      <c r="H103" s="63"/>
      <c r="I103" s="37"/>
      <c r="J103" s="37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</row>
    <row r="104" spans="1:39">
      <c r="A104" s="34">
        <f t="shared" si="5"/>
        <v>76</v>
      </c>
      <c r="B104" s="27"/>
      <c r="C104" s="33"/>
      <c r="D104" s="37"/>
      <c r="E104" s="37"/>
      <c r="F104" s="37"/>
      <c r="G104" s="37">
        <f>G103-E102</f>
        <v>57796.800000000745</v>
      </c>
      <c r="H104" s="63"/>
      <c r="I104" s="37"/>
      <c r="J104" s="37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</row>
    <row r="105" spans="1:39">
      <c r="A105" s="34">
        <f t="shared" si="5"/>
        <v>77</v>
      </c>
      <c r="B105" s="27"/>
      <c r="C105" s="33" t="s">
        <v>163</v>
      </c>
      <c r="D105" s="37" t="s">
        <v>164</v>
      </c>
      <c r="E105" s="37"/>
      <c r="F105" s="37"/>
      <c r="G105" s="27"/>
      <c r="H105" s="65"/>
      <c r="I105" s="37"/>
      <c r="J105" s="27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</row>
    <row r="106" spans="1:39">
      <c r="A106" s="34">
        <f t="shared" si="5"/>
        <v>78</v>
      </c>
      <c r="B106" s="27"/>
      <c r="C106" s="66" t="s">
        <v>165</v>
      </c>
      <c r="D106" s="37"/>
      <c r="E106" s="67">
        <f>IF(E233&gt;0,1-(((1-E234)*(1-E233))/(1-E234*E233*E235)),0)</f>
        <v>0.20999999999999996</v>
      </c>
      <c r="F106" s="37"/>
      <c r="G106" s="27"/>
      <c r="H106" s="65"/>
      <c r="I106" s="37"/>
      <c r="J106" s="27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</row>
    <row r="107" spans="1:39">
      <c r="A107" s="34">
        <f t="shared" si="5"/>
        <v>79</v>
      </c>
      <c r="B107" s="27"/>
      <c r="C107" s="27" t="s">
        <v>166</v>
      </c>
      <c r="D107" s="37"/>
      <c r="E107" s="67">
        <f>IF(J200&gt;0,(E106/(1-E106))*(1-J197/J200),0)</f>
        <v>0.19485128198573529</v>
      </c>
      <c r="F107" s="37"/>
      <c r="G107" s="27"/>
      <c r="H107" s="65"/>
      <c r="I107" s="37"/>
      <c r="J107" s="27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</row>
    <row r="108" spans="1:39">
      <c r="A108" s="34">
        <f t="shared" si="5"/>
        <v>80</v>
      </c>
      <c r="B108" s="27"/>
      <c r="C108" s="33" t="str">
        <f>"       where WCLTD=(line "&amp;A197&amp;") and R= (line "&amp;A200&amp;")"</f>
        <v xml:space="preserve">       where WCLTD=(line 154) and R= (line 157)</v>
      </c>
      <c r="D108" s="37"/>
      <c r="E108" s="37"/>
      <c r="F108" s="37"/>
      <c r="G108" s="27"/>
      <c r="H108" s="65"/>
      <c r="I108" s="37"/>
      <c r="J108" s="27"/>
      <c r="K108" s="311"/>
      <c r="L108" s="311"/>
      <c r="M108" s="311"/>
      <c r="N108" s="311"/>
      <c r="O108" s="311"/>
      <c r="P108" s="311"/>
      <c r="Q108" s="311"/>
      <c r="R108" s="311"/>
      <c r="S108" s="311"/>
      <c r="T108" s="311"/>
      <c r="U108" s="311"/>
      <c r="V108" s="311"/>
      <c r="W108" s="311"/>
      <c r="X108" s="311"/>
      <c r="Y108" s="311"/>
      <c r="Z108" s="311"/>
      <c r="AA108" s="311"/>
      <c r="AB108" s="311"/>
      <c r="AC108" s="311"/>
      <c r="AD108" s="311"/>
      <c r="AE108" s="311"/>
      <c r="AF108" s="311"/>
      <c r="AG108" s="311"/>
      <c r="AH108" s="311"/>
      <c r="AI108" s="311"/>
      <c r="AJ108" s="311"/>
      <c r="AK108" s="311"/>
      <c r="AL108" s="311"/>
      <c r="AM108" s="311"/>
    </row>
    <row r="109" spans="1:39">
      <c r="A109" s="34">
        <f t="shared" si="5"/>
        <v>81</v>
      </c>
      <c r="B109" s="27"/>
      <c r="C109" s="33" t="s">
        <v>167</v>
      </c>
      <c r="D109" s="37"/>
      <c r="E109" s="37"/>
      <c r="F109" s="37"/>
      <c r="G109" s="27"/>
      <c r="H109" s="65"/>
      <c r="I109" s="37"/>
      <c r="J109" s="27"/>
      <c r="K109" s="311"/>
      <c r="L109" s="311"/>
      <c r="M109" s="311"/>
      <c r="N109" s="311"/>
      <c r="O109" s="311"/>
      <c r="P109" s="311"/>
      <c r="Q109" s="311"/>
      <c r="R109" s="311"/>
      <c r="S109" s="311"/>
      <c r="T109" s="311"/>
      <c r="U109" s="311"/>
      <c r="V109" s="311"/>
      <c r="W109" s="311"/>
      <c r="X109" s="311"/>
      <c r="Y109" s="311"/>
      <c r="Z109" s="311"/>
      <c r="AA109" s="311"/>
      <c r="AB109" s="311"/>
      <c r="AC109" s="311"/>
      <c r="AD109" s="311"/>
      <c r="AE109" s="311"/>
      <c r="AF109" s="311"/>
      <c r="AG109" s="311"/>
      <c r="AH109" s="311"/>
      <c r="AI109" s="311"/>
      <c r="AJ109" s="311"/>
      <c r="AK109" s="311"/>
      <c r="AL109" s="311"/>
      <c r="AM109" s="311"/>
    </row>
    <row r="110" spans="1:39">
      <c r="A110" s="34">
        <f t="shared" si="5"/>
        <v>82</v>
      </c>
      <c r="B110" s="27"/>
      <c r="C110" s="66" t="s">
        <v>168</v>
      </c>
      <c r="D110" s="37" t="s">
        <v>169</v>
      </c>
      <c r="E110" s="68"/>
      <c r="F110" s="37"/>
      <c r="G110" s="27"/>
      <c r="H110" s="65"/>
      <c r="I110" s="37"/>
      <c r="J110" s="69">
        <v>315293.11096708855</v>
      </c>
      <c r="K110" s="311"/>
      <c r="L110" s="311"/>
      <c r="M110" s="311"/>
      <c r="N110" s="311"/>
      <c r="O110" s="311"/>
      <c r="P110" s="311"/>
      <c r="Q110" s="311"/>
      <c r="R110" s="311"/>
      <c r="S110" s="311"/>
      <c r="T110" s="311"/>
      <c r="U110" s="311"/>
      <c r="V110" s="311"/>
      <c r="W110" s="311"/>
      <c r="X110" s="311"/>
      <c r="Y110" s="311"/>
      <c r="Z110" s="311"/>
      <c r="AA110" s="311"/>
      <c r="AB110" s="311"/>
      <c r="AC110" s="311"/>
      <c r="AD110" s="311"/>
      <c r="AE110" s="311"/>
      <c r="AF110" s="311"/>
      <c r="AG110" s="311"/>
      <c r="AH110" s="311"/>
      <c r="AI110" s="311"/>
      <c r="AJ110" s="311"/>
      <c r="AK110" s="311"/>
      <c r="AL110" s="311"/>
      <c r="AM110" s="311"/>
    </row>
    <row r="111" spans="1:39">
      <c r="A111" s="34">
        <f t="shared" si="5"/>
        <v>83</v>
      </c>
      <c r="B111" s="27"/>
      <c r="C111" s="70" t="s">
        <v>170</v>
      </c>
      <c r="D111" s="27" t="str">
        <f>"(line "&amp;A107&amp;" * line "&amp;A114&amp;") - (line "&amp;A110&amp;")"</f>
        <v>(line 79 * line 86) - (line 82)</v>
      </c>
      <c r="E111" s="71"/>
      <c r="F111" s="37"/>
      <c r="G111" s="37" t="s">
        <v>52</v>
      </c>
      <c r="H111" s="63" t="s">
        <v>52</v>
      </c>
      <c r="I111" s="37"/>
      <c r="J111" s="37">
        <f>E107*J113-J110</f>
        <v>2853503.6125754756</v>
      </c>
      <c r="K111" s="311"/>
      <c r="L111" s="311"/>
      <c r="M111" s="311"/>
      <c r="N111" s="311"/>
      <c r="O111" s="311"/>
      <c r="P111" s="311"/>
      <c r="Q111" s="311"/>
      <c r="R111" s="311"/>
      <c r="S111" s="311"/>
      <c r="T111" s="311"/>
      <c r="U111" s="311"/>
      <c r="V111" s="311"/>
      <c r="W111" s="311"/>
      <c r="X111" s="311"/>
      <c r="Y111" s="311"/>
      <c r="Z111" s="311"/>
      <c r="AA111" s="311"/>
      <c r="AB111" s="311"/>
      <c r="AC111" s="311"/>
      <c r="AD111" s="311"/>
      <c r="AE111" s="311"/>
      <c r="AF111" s="311"/>
      <c r="AG111" s="311"/>
      <c r="AH111" s="311"/>
      <c r="AI111" s="311"/>
      <c r="AJ111" s="311"/>
      <c r="AK111" s="311"/>
      <c r="AL111" s="311"/>
      <c r="AM111" s="311"/>
    </row>
    <row r="112" spans="1:39">
      <c r="A112" s="34">
        <f t="shared" si="5"/>
        <v>84</v>
      </c>
      <c r="B112" s="27"/>
      <c r="C112" s="72"/>
      <c r="D112" s="73"/>
      <c r="E112" s="37"/>
      <c r="F112" s="37"/>
      <c r="G112" s="37"/>
      <c r="H112" s="63"/>
      <c r="I112" s="37"/>
      <c r="J112" s="37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</row>
    <row r="113" spans="1:39">
      <c r="A113" s="34">
        <f t="shared" si="5"/>
        <v>85</v>
      </c>
      <c r="B113" s="27"/>
      <c r="C113" s="33" t="s">
        <v>171</v>
      </c>
      <c r="D113" s="51"/>
      <c r="E113" s="37"/>
      <c r="F113" s="37"/>
      <c r="G113" s="37" t="s">
        <v>95</v>
      </c>
      <c r="H113" s="65"/>
      <c r="I113" s="37"/>
      <c r="J113" s="37">
        <f>+$J200*J63</f>
        <v>16262642.417587716</v>
      </c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</row>
    <row r="114" spans="1:39" ht="17.25" customHeight="1">
      <c r="A114" s="34">
        <f t="shared" si="5"/>
        <v>86</v>
      </c>
      <c r="B114" s="27"/>
      <c r="C114" s="70" t="str">
        <f>"  [ Rate Base (line "&amp;A63&amp;") * R (line "&amp;A200&amp;")]"</f>
        <v xml:space="preserve">  [ Rate Base (line 48) * R (line 157)]</v>
      </c>
      <c r="D114" s="27"/>
      <c r="E114" s="37"/>
      <c r="F114" s="37"/>
      <c r="G114" s="37"/>
      <c r="H114" s="65"/>
      <c r="I114" s="37"/>
      <c r="J114" s="37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</row>
    <row r="115" spans="1:39">
      <c r="A115" s="34">
        <f t="shared" si="5"/>
        <v>87</v>
      </c>
      <c r="B115" s="27"/>
      <c r="C115" s="33"/>
      <c r="D115" s="27"/>
      <c r="E115" s="37"/>
      <c r="F115" s="37"/>
      <c r="G115" s="37"/>
      <c r="H115" s="65"/>
      <c r="I115" s="37"/>
      <c r="J115" s="37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</row>
    <row r="116" spans="1:39" ht="15.75" thickBot="1">
      <c r="A116" s="34">
        <f t="shared" si="5"/>
        <v>88</v>
      </c>
      <c r="B116" s="27"/>
      <c r="C116" s="33" t="str">
        <f>"REVENUE REQUIREMENT  (sum lines "&amp;A86&amp;", "&amp;A92&amp;", "&amp;A102&amp;", "&amp;A111&amp;", "&amp;A113&amp;")"</f>
        <v>REVENUE REQUIREMENT  (sum lines 58, 64, 74, 83, 85)</v>
      </c>
      <c r="D116" s="37"/>
      <c r="E116" s="74">
        <f>E111+E102+E92+E86</f>
        <v>55755541.055983379</v>
      </c>
      <c r="F116" s="37"/>
      <c r="G116" s="37"/>
      <c r="H116" s="37"/>
      <c r="I116" s="37"/>
      <c r="J116" s="75">
        <f>J111+J102+J92+J86+J113</f>
        <v>32870421.160202723</v>
      </c>
      <c r="K116" s="311"/>
      <c r="L116" s="311"/>
      <c r="M116" s="311"/>
      <c r="N116" s="311"/>
      <c r="O116" s="311"/>
      <c r="P116" s="311"/>
      <c r="Q116" s="311"/>
      <c r="R116" s="311"/>
      <c r="S116" s="311"/>
      <c r="T116" s="311"/>
      <c r="U116" s="311"/>
      <c r="V116" s="311"/>
      <c r="W116" s="311"/>
      <c r="X116" s="311"/>
      <c r="Y116" s="311"/>
      <c r="Z116" s="311"/>
      <c r="AA116" s="311"/>
      <c r="AB116" s="311"/>
      <c r="AC116" s="311"/>
      <c r="AD116" s="311"/>
      <c r="AE116" s="311"/>
      <c r="AF116" s="311"/>
      <c r="AG116" s="311"/>
      <c r="AH116" s="311"/>
      <c r="AI116" s="311"/>
      <c r="AJ116" s="311"/>
      <c r="AK116" s="311"/>
      <c r="AL116" s="311"/>
      <c r="AM116" s="311"/>
    </row>
    <row r="117" spans="1:39" ht="15.75" thickTop="1">
      <c r="A117" s="34">
        <f t="shared" si="5"/>
        <v>89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311"/>
      <c r="L117" s="311"/>
      <c r="M117" s="311"/>
      <c r="N117" s="311"/>
      <c r="O117" s="311"/>
      <c r="P117" s="311"/>
      <c r="Q117" s="311"/>
      <c r="R117" s="311"/>
      <c r="S117" s="311"/>
      <c r="T117" s="311"/>
      <c r="U117" s="311"/>
      <c r="V117" s="311"/>
      <c r="W117" s="311"/>
      <c r="X117" s="311"/>
      <c r="Y117" s="311"/>
      <c r="Z117" s="311"/>
      <c r="AA117" s="311"/>
      <c r="AB117" s="311"/>
      <c r="AC117" s="311"/>
      <c r="AD117" s="311"/>
      <c r="AE117" s="311"/>
      <c r="AF117" s="311"/>
      <c r="AG117" s="311"/>
      <c r="AH117" s="311"/>
      <c r="AI117" s="311"/>
      <c r="AJ117" s="311"/>
      <c r="AK117" s="311"/>
      <c r="AL117" s="311"/>
      <c r="AM117" s="311"/>
    </row>
    <row r="118" spans="1:39">
      <c r="A118" s="34">
        <f t="shared" si="5"/>
        <v>90</v>
      </c>
      <c r="B118" s="27"/>
      <c r="C118" s="33" t="s">
        <v>172</v>
      </c>
      <c r="D118" s="27"/>
      <c r="E118" s="27"/>
      <c r="F118" s="27"/>
      <c r="G118" s="27"/>
      <c r="H118" s="27"/>
      <c r="I118" s="27"/>
      <c r="J118" s="69">
        <v>32320343.892158676</v>
      </c>
      <c r="L118" s="311"/>
      <c r="M118" s="311"/>
      <c r="N118" s="311"/>
      <c r="O118" s="311"/>
      <c r="P118" s="311"/>
      <c r="Q118" s="311"/>
      <c r="R118" s="311"/>
      <c r="S118" s="311"/>
      <c r="T118" s="311"/>
      <c r="U118" s="311"/>
      <c r="V118" s="311"/>
      <c r="W118" s="311"/>
      <c r="X118" s="311"/>
      <c r="Y118" s="311"/>
      <c r="Z118" s="311"/>
      <c r="AA118" s="311"/>
      <c r="AB118" s="311"/>
      <c r="AC118" s="311"/>
      <c r="AD118" s="311"/>
      <c r="AE118" s="311"/>
      <c r="AF118" s="311"/>
      <c r="AG118" s="311"/>
      <c r="AH118" s="311"/>
      <c r="AI118" s="311"/>
      <c r="AJ118" s="311"/>
      <c r="AK118" s="311"/>
      <c r="AL118" s="311"/>
      <c r="AM118" s="311"/>
    </row>
    <row r="119" spans="1:39">
      <c r="A119" s="34">
        <f t="shared" si="5"/>
        <v>91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311"/>
      <c r="L119" s="311"/>
      <c r="M119" s="311"/>
      <c r="N119" s="311"/>
      <c r="O119" s="311"/>
      <c r="P119" s="311"/>
      <c r="Q119" s="311"/>
      <c r="R119" s="311"/>
      <c r="S119" s="311"/>
      <c r="T119" s="311"/>
      <c r="U119" s="311"/>
      <c r="V119" s="311"/>
      <c r="W119" s="311"/>
      <c r="X119" s="311"/>
      <c r="Y119" s="311"/>
      <c r="Z119" s="311"/>
      <c r="AA119" s="311"/>
      <c r="AB119" s="311"/>
      <c r="AC119" s="311"/>
      <c r="AD119" s="311"/>
      <c r="AE119" s="311"/>
      <c r="AF119" s="311"/>
      <c r="AG119" s="311"/>
      <c r="AH119" s="311"/>
      <c r="AI119" s="311"/>
      <c r="AJ119" s="311"/>
      <c r="AK119" s="311"/>
      <c r="AL119" s="311"/>
      <c r="AM119" s="311"/>
    </row>
    <row r="120" spans="1:39" ht="15.75" thickBot="1">
      <c r="A120" s="34">
        <f t="shared" si="5"/>
        <v>92</v>
      </c>
      <c r="B120" s="27"/>
      <c r="C120" s="27" t="str">
        <f>"TRUE-UP AMOUNT TO BE (REFUNDED)/PAID (line "&amp;A116&amp;" - line "&amp;A118&amp;")"</f>
        <v>TRUE-UP AMOUNT TO BE (REFUNDED)/PAID (line 88 - line 90)</v>
      </c>
      <c r="D120" s="27"/>
      <c r="E120" s="27"/>
      <c r="F120" s="27"/>
      <c r="G120" s="27"/>
      <c r="H120" s="27"/>
      <c r="I120" s="27"/>
      <c r="J120" s="76">
        <f>+J116-J118</f>
        <v>550077.26804404706</v>
      </c>
      <c r="K120" s="311"/>
      <c r="L120" s="311"/>
      <c r="M120" s="311"/>
      <c r="N120" s="311"/>
      <c r="O120" s="311"/>
      <c r="P120" s="311"/>
      <c r="Q120" s="311"/>
      <c r="R120" s="311"/>
      <c r="S120" s="311"/>
      <c r="T120" s="311"/>
      <c r="U120" s="311"/>
      <c r="V120" s="311"/>
      <c r="W120" s="311"/>
      <c r="X120" s="311"/>
      <c r="Y120" s="311"/>
      <c r="Z120" s="311"/>
      <c r="AA120" s="311"/>
      <c r="AB120" s="311"/>
      <c r="AC120" s="311"/>
      <c r="AD120" s="311"/>
      <c r="AE120" s="311"/>
      <c r="AF120" s="311"/>
      <c r="AG120" s="311"/>
      <c r="AH120" s="311"/>
      <c r="AI120" s="311"/>
      <c r="AJ120" s="311"/>
      <c r="AK120" s="311"/>
      <c r="AL120" s="311"/>
      <c r="AM120" s="311"/>
    </row>
    <row r="121" spans="1:39" ht="15.75" thickTop="1">
      <c r="A121" s="34"/>
      <c r="B121" s="27"/>
      <c r="C121" s="27"/>
      <c r="D121" s="27"/>
      <c r="E121" s="27"/>
      <c r="F121" s="27"/>
      <c r="G121" s="27"/>
      <c r="H121" s="27"/>
      <c r="I121" s="27"/>
      <c r="J121" s="27"/>
      <c r="K121" s="311"/>
      <c r="L121" s="311"/>
      <c r="M121" s="311"/>
      <c r="N121" s="311"/>
      <c r="O121" s="311"/>
      <c r="P121" s="311"/>
      <c r="Q121" s="311"/>
      <c r="R121" s="311"/>
      <c r="S121" s="311"/>
      <c r="T121" s="311"/>
      <c r="U121" s="311"/>
      <c r="V121" s="311"/>
      <c r="W121" s="311"/>
      <c r="X121" s="311"/>
      <c r="Y121" s="311"/>
      <c r="Z121" s="311"/>
      <c r="AA121" s="311"/>
      <c r="AB121" s="311"/>
      <c r="AC121" s="311"/>
      <c r="AD121" s="311"/>
      <c r="AE121" s="311"/>
      <c r="AF121" s="311"/>
      <c r="AG121" s="311"/>
      <c r="AH121" s="311"/>
      <c r="AI121" s="311"/>
      <c r="AJ121" s="311"/>
      <c r="AK121" s="311"/>
      <c r="AL121" s="311"/>
      <c r="AM121" s="311"/>
    </row>
    <row r="122" spans="1:39">
      <c r="A122" s="34"/>
      <c r="B122" s="27"/>
      <c r="C122" s="27"/>
      <c r="D122" s="27"/>
      <c r="E122" s="27"/>
      <c r="F122" s="27"/>
      <c r="G122" s="27"/>
      <c r="H122" s="27"/>
      <c r="I122" s="27"/>
      <c r="J122" s="27"/>
      <c r="K122" s="311"/>
      <c r="L122" s="311"/>
      <c r="M122" s="311"/>
      <c r="N122" s="311"/>
      <c r="O122" s="311"/>
      <c r="P122" s="311"/>
      <c r="Q122" s="311"/>
      <c r="R122" s="311"/>
      <c r="S122" s="311"/>
      <c r="T122" s="311"/>
      <c r="U122" s="311"/>
      <c r="V122" s="311"/>
      <c r="W122" s="311"/>
      <c r="X122" s="311"/>
      <c r="Y122" s="311"/>
      <c r="Z122" s="311"/>
      <c r="AA122" s="311"/>
      <c r="AB122" s="311"/>
      <c r="AC122" s="311"/>
      <c r="AD122" s="311"/>
      <c r="AE122" s="311"/>
      <c r="AF122" s="311"/>
      <c r="AG122" s="311"/>
      <c r="AH122" s="311"/>
      <c r="AI122" s="311"/>
      <c r="AJ122" s="311"/>
      <c r="AK122" s="311"/>
      <c r="AL122" s="311"/>
      <c r="AM122" s="311"/>
    </row>
    <row r="123" spans="1:39">
      <c r="A123" s="34"/>
      <c r="B123" s="27"/>
      <c r="C123" s="27"/>
      <c r="D123" s="27"/>
      <c r="E123" s="27"/>
      <c r="F123" s="27"/>
      <c r="G123" s="27"/>
      <c r="H123" s="27"/>
      <c r="I123" s="29" t="s">
        <v>44</v>
      </c>
      <c r="J123" s="57">
        <f>J1</f>
        <v>46173</v>
      </c>
      <c r="K123" s="311"/>
      <c r="L123" s="311"/>
      <c r="M123" s="311"/>
      <c r="N123" s="311"/>
      <c r="O123" s="311"/>
      <c r="P123" s="311"/>
      <c r="Q123" s="311"/>
      <c r="R123" s="311"/>
      <c r="S123" s="311"/>
      <c r="T123" s="311"/>
      <c r="U123" s="311"/>
      <c r="V123" s="311"/>
      <c r="W123" s="311"/>
      <c r="X123" s="311"/>
      <c r="Y123" s="311"/>
      <c r="Z123" s="311"/>
      <c r="AA123" s="311"/>
      <c r="AB123" s="311"/>
      <c r="AC123" s="311"/>
      <c r="AD123" s="311"/>
      <c r="AE123" s="311"/>
      <c r="AF123" s="311"/>
      <c r="AG123" s="311"/>
      <c r="AH123" s="311"/>
      <c r="AI123" s="311"/>
      <c r="AJ123" s="311"/>
      <c r="AK123" s="311"/>
      <c r="AL123" s="311"/>
      <c r="AM123" s="311"/>
    </row>
    <row r="124" spans="1:39">
      <c r="A124" s="34"/>
      <c r="B124" s="27"/>
      <c r="C124" s="27"/>
      <c r="D124" s="27"/>
      <c r="E124" s="27"/>
      <c r="F124" s="27"/>
      <c r="G124" s="27"/>
      <c r="I124" s="29" t="str">
        <f>$I$2</f>
        <v>Service Year</v>
      </c>
      <c r="J124" s="33">
        <f>$J$2</f>
        <v>2025</v>
      </c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</row>
    <row r="125" spans="1:39">
      <c r="A125" s="34"/>
      <c r="B125" s="27"/>
      <c r="C125" s="27"/>
      <c r="D125" s="27"/>
      <c r="E125" s="27"/>
      <c r="F125" s="27"/>
      <c r="G125" s="27"/>
      <c r="H125" s="27"/>
      <c r="I125" s="27"/>
      <c r="J125" s="27"/>
      <c r="K125" s="311"/>
      <c r="L125" s="311"/>
      <c r="M125" s="311"/>
      <c r="N125" s="311"/>
      <c r="O125" s="311"/>
      <c r="P125" s="311"/>
      <c r="Q125" s="311"/>
      <c r="R125" s="311"/>
      <c r="S125" s="311"/>
      <c r="T125" s="311"/>
      <c r="U125" s="311"/>
      <c r="V125" s="311"/>
      <c r="W125" s="311"/>
      <c r="X125" s="311"/>
      <c r="Y125" s="311"/>
      <c r="Z125" s="311"/>
      <c r="AA125" s="311"/>
      <c r="AB125" s="311"/>
      <c r="AC125" s="311"/>
      <c r="AD125" s="311"/>
      <c r="AE125" s="311"/>
      <c r="AF125" s="311"/>
      <c r="AG125" s="311"/>
      <c r="AH125" s="311"/>
      <c r="AI125" s="311"/>
      <c r="AJ125" s="311"/>
      <c r="AK125" s="311"/>
      <c r="AL125" s="311"/>
      <c r="AM125" s="311"/>
    </row>
    <row r="126" spans="1:39" ht="15.75">
      <c r="A126" s="326" t="s">
        <v>46</v>
      </c>
      <c r="B126" s="326"/>
      <c r="C126" s="326"/>
      <c r="D126" s="326"/>
      <c r="E126" s="326"/>
      <c r="F126" s="326"/>
      <c r="G126" s="326"/>
      <c r="H126" s="326"/>
      <c r="I126" s="326"/>
      <c r="J126" s="326"/>
      <c r="K126" s="311"/>
      <c r="L126" s="311"/>
      <c r="M126" s="311"/>
      <c r="N126" s="311"/>
      <c r="O126" s="311"/>
      <c r="P126" s="311"/>
      <c r="Q126" s="311"/>
      <c r="R126" s="311"/>
      <c r="S126" s="311"/>
      <c r="T126" s="311"/>
      <c r="U126" s="311"/>
      <c r="V126" s="311"/>
      <c r="W126" s="311"/>
      <c r="X126" s="311"/>
      <c r="Y126" s="311"/>
      <c r="Z126" s="311"/>
      <c r="AA126" s="311"/>
      <c r="AB126" s="311"/>
      <c r="AC126" s="311"/>
      <c r="AD126" s="311"/>
      <c r="AE126" s="311"/>
      <c r="AF126" s="311"/>
      <c r="AG126" s="311"/>
      <c r="AH126" s="311"/>
      <c r="AI126" s="311"/>
      <c r="AJ126" s="311"/>
      <c r="AK126" s="311"/>
      <c r="AL126" s="311"/>
      <c r="AM126" s="311"/>
    </row>
    <row r="127" spans="1:39" ht="15.75">
      <c r="A127" s="327" t="s">
        <v>47</v>
      </c>
      <c r="B127" s="327"/>
      <c r="C127" s="327"/>
      <c r="D127" s="327"/>
      <c r="E127" s="327"/>
      <c r="F127" s="327"/>
      <c r="G127" s="327"/>
      <c r="H127" s="327"/>
      <c r="I127" s="327"/>
      <c r="J127" s="327"/>
      <c r="K127" s="311"/>
      <c r="L127" s="311"/>
      <c r="M127" s="311"/>
      <c r="N127" s="311"/>
      <c r="O127" s="311"/>
      <c r="P127" s="311"/>
      <c r="Q127" s="311"/>
      <c r="R127" s="311"/>
      <c r="S127" s="311"/>
      <c r="T127" s="311"/>
      <c r="U127" s="311"/>
      <c r="V127" s="311"/>
      <c r="W127" s="311"/>
      <c r="X127" s="311"/>
      <c r="Y127" s="311"/>
      <c r="Z127" s="311"/>
      <c r="AA127" s="311"/>
      <c r="AB127" s="311"/>
      <c r="AC127" s="311"/>
      <c r="AD127" s="311"/>
      <c r="AE127" s="311"/>
      <c r="AF127" s="311"/>
      <c r="AG127" s="311"/>
      <c r="AH127" s="311"/>
      <c r="AI127" s="311"/>
      <c r="AJ127" s="311"/>
      <c r="AK127" s="311"/>
      <c r="AL127" s="311"/>
      <c r="AM127" s="311"/>
    </row>
    <row r="128" spans="1:39">
      <c r="A128" s="27"/>
      <c r="B128" s="27"/>
      <c r="C128" s="33"/>
      <c r="D128" s="33"/>
      <c r="F128" s="33"/>
      <c r="G128" s="33"/>
      <c r="H128" s="33"/>
      <c r="I128" s="33"/>
      <c r="J128" s="33"/>
      <c r="K128" s="311"/>
      <c r="L128" s="311"/>
      <c r="M128" s="311"/>
      <c r="N128" s="311"/>
      <c r="O128" s="311"/>
      <c r="P128" s="311"/>
      <c r="Q128" s="311"/>
      <c r="R128" s="311"/>
      <c r="S128" s="311"/>
      <c r="T128" s="311"/>
      <c r="U128" s="311"/>
      <c r="V128" s="311"/>
      <c r="W128" s="311"/>
      <c r="X128" s="311"/>
      <c r="Y128" s="311"/>
      <c r="Z128" s="311"/>
      <c r="AA128" s="311"/>
      <c r="AB128" s="311"/>
      <c r="AC128" s="311"/>
      <c r="AD128" s="311"/>
      <c r="AE128" s="311"/>
      <c r="AF128" s="311"/>
      <c r="AG128" s="311"/>
      <c r="AH128" s="311"/>
      <c r="AI128" s="311"/>
      <c r="AJ128" s="311"/>
      <c r="AK128" s="311"/>
      <c r="AL128" s="311"/>
      <c r="AM128" s="311"/>
    </row>
    <row r="129" spans="1:39" ht="15.75">
      <c r="A129" s="325" t="s">
        <v>48</v>
      </c>
      <c r="B129" s="325"/>
      <c r="C129" s="325"/>
      <c r="D129" s="325"/>
      <c r="E129" s="325"/>
      <c r="F129" s="325"/>
      <c r="G129" s="325"/>
      <c r="H129" s="325"/>
      <c r="I129" s="325"/>
      <c r="J129" s="325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</row>
    <row r="130" spans="1:39">
      <c r="A130" s="34"/>
      <c r="B130" s="27"/>
      <c r="C130" s="27"/>
      <c r="D130" s="33"/>
      <c r="E130" s="33"/>
      <c r="F130" s="33"/>
      <c r="G130" s="33"/>
      <c r="H130" s="33"/>
      <c r="I130" s="33"/>
      <c r="J130" s="33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</row>
    <row r="131" spans="1:39" ht="15.75">
      <c r="A131" s="328" t="s">
        <v>173</v>
      </c>
      <c r="B131" s="328"/>
      <c r="C131" s="328"/>
      <c r="D131" s="328"/>
      <c r="E131" s="328"/>
      <c r="F131" s="328"/>
      <c r="G131" s="328"/>
      <c r="H131" s="328"/>
      <c r="I131" s="328"/>
      <c r="J131" s="328"/>
      <c r="K131" s="311"/>
      <c r="L131" s="311"/>
      <c r="M131" s="311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  <c r="AD131" s="311"/>
      <c r="AE131" s="311"/>
      <c r="AF131" s="311"/>
      <c r="AG131" s="311"/>
      <c r="AH131" s="311"/>
      <c r="AI131" s="311"/>
      <c r="AJ131" s="311"/>
      <c r="AK131" s="311"/>
      <c r="AL131" s="311"/>
      <c r="AM131" s="311"/>
    </row>
    <row r="132" spans="1:39" ht="15.75">
      <c r="A132" s="34"/>
      <c r="B132" s="27"/>
      <c r="C132" s="46"/>
      <c r="D132" s="33"/>
      <c r="E132" s="33"/>
      <c r="F132" s="33"/>
      <c r="G132" s="33"/>
      <c r="H132" s="33"/>
      <c r="I132" s="33"/>
      <c r="J132" s="33"/>
      <c r="K132" s="311"/>
      <c r="L132" s="311"/>
      <c r="M132" s="311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  <c r="AD132" s="311"/>
      <c r="AE132" s="311"/>
      <c r="AF132" s="311"/>
      <c r="AG132" s="311"/>
      <c r="AH132" s="311"/>
      <c r="AI132" s="311"/>
      <c r="AJ132" s="311"/>
      <c r="AK132" s="311"/>
      <c r="AL132" s="311"/>
      <c r="AM132" s="311"/>
    </row>
    <row r="133" spans="1:39" ht="15.75">
      <c r="A133" s="34" t="s">
        <v>58</v>
      </c>
      <c r="B133" s="27"/>
      <c r="C133" s="46"/>
      <c r="D133" s="33"/>
      <c r="E133" s="33"/>
      <c r="F133" s="33"/>
      <c r="G133" s="33"/>
      <c r="H133" s="33"/>
      <c r="I133" s="33"/>
      <c r="J133" s="33"/>
      <c r="K133" s="311"/>
      <c r="L133" s="311"/>
      <c r="M133" s="311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  <c r="AD133" s="311"/>
      <c r="AE133" s="311"/>
      <c r="AF133" s="311"/>
      <c r="AG133" s="311"/>
      <c r="AH133" s="311"/>
      <c r="AI133" s="311"/>
      <c r="AJ133" s="311"/>
      <c r="AK133" s="311"/>
      <c r="AL133" s="311"/>
      <c r="AM133" s="311"/>
    </row>
    <row r="134" spans="1:39" ht="15.75" thickBot="1">
      <c r="A134" s="45" t="s">
        <v>63</v>
      </c>
      <c r="B134" s="27"/>
      <c r="C134" s="50" t="s">
        <v>174</v>
      </c>
      <c r="D134" s="33"/>
      <c r="E134" s="33"/>
      <c r="F134" s="33"/>
      <c r="G134" s="33"/>
      <c r="H134" s="33"/>
      <c r="I134" s="27"/>
      <c r="J134" s="27"/>
      <c r="K134" s="311"/>
      <c r="L134" s="311"/>
      <c r="M134" s="311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  <c r="AB134" s="311"/>
      <c r="AC134" s="311"/>
      <c r="AD134" s="311"/>
      <c r="AE134" s="311"/>
      <c r="AF134" s="311"/>
      <c r="AG134" s="311"/>
      <c r="AH134" s="311"/>
      <c r="AI134" s="311"/>
      <c r="AJ134" s="311"/>
      <c r="AK134" s="311"/>
      <c r="AL134" s="311"/>
      <c r="AM134" s="311"/>
    </row>
    <row r="135" spans="1:39" ht="15.75" thickBot="1">
      <c r="A135" s="34"/>
      <c r="B135" s="27"/>
      <c r="C135" s="50"/>
      <c r="D135" s="33"/>
      <c r="E135" s="49" t="s">
        <v>175</v>
      </c>
      <c r="F135" s="33"/>
      <c r="G135" s="33"/>
      <c r="H135" s="33"/>
      <c r="I135" s="33"/>
      <c r="J135" s="33"/>
      <c r="K135" s="311"/>
      <c r="L135" s="311"/>
      <c r="M135" s="311"/>
      <c r="N135" s="311"/>
      <c r="O135" s="311"/>
      <c r="P135" s="311"/>
      <c r="Q135" s="311"/>
      <c r="R135" s="311"/>
      <c r="S135" s="311"/>
      <c r="T135" s="311"/>
      <c r="U135" s="311"/>
      <c r="V135" s="311"/>
      <c r="W135" s="311"/>
      <c r="X135" s="311"/>
      <c r="Y135" s="311"/>
      <c r="Z135" s="311"/>
      <c r="AA135" s="311"/>
      <c r="AB135" s="311"/>
      <c r="AC135" s="311"/>
      <c r="AD135" s="311"/>
      <c r="AE135" s="311"/>
      <c r="AF135" s="311"/>
      <c r="AG135" s="311"/>
      <c r="AH135" s="311"/>
      <c r="AI135" s="311"/>
      <c r="AJ135" s="311"/>
      <c r="AK135" s="311"/>
      <c r="AL135" s="311"/>
      <c r="AM135" s="311"/>
    </row>
    <row r="136" spans="1:39" ht="16.5" customHeight="1">
      <c r="A136" s="34">
        <f>+A120+1</f>
        <v>93</v>
      </c>
      <c r="B136" s="27"/>
      <c r="C136" s="50" t="s">
        <v>176</v>
      </c>
      <c r="D136" s="33"/>
      <c r="E136" s="37" t="str">
        <f>"Column (3) line "&amp;A16&amp;""</f>
        <v>Column (3) line 2</v>
      </c>
      <c r="F136" s="37"/>
      <c r="G136" s="37"/>
      <c r="H136" s="37"/>
      <c r="I136" s="37"/>
      <c r="J136" s="37">
        <f>+E16</f>
        <v>299766466.90153843</v>
      </c>
      <c r="K136" s="311"/>
      <c r="L136" s="311"/>
      <c r="M136" s="311"/>
      <c r="N136" s="311"/>
      <c r="O136" s="311"/>
      <c r="P136" s="311"/>
      <c r="Q136" s="311"/>
      <c r="R136" s="311"/>
      <c r="S136" s="311"/>
      <c r="T136" s="311"/>
      <c r="U136" s="311"/>
      <c r="V136" s="311"/>
      <c r="W136" s="311"/>
      <c r="X136" s="311"/>
      <c r="Y136" s="311"/>
      <c r="Z136" s="311"/>
      <c r="AA136" s="311"/>
      <c r="AB136" s="311"/>
      <c r="AC136" s="311"/>
      <c r="AD136" s="311"/>
      <c r="AE136" s="311"/>
      <c r="AF136" s="311"/>
      <c r="AG136" s="311"/>
      <c r="AH136" s="311"/>
      <c r="AI136" s="311"/>
      <c r="AJ136" s="311"/>
      <c r="AK136" s="311"/>
      <c r="AL136" s="311"/>
      <c r="AM136" s="311"/>
    </row>
    <row r="137" spans="1:39">
      <c r="A137" s="34">
        <f>+A136+1</f>
        <v>94</v>
      </c>
      <c r="B137" s="27"/>
      <c r="C137" s="50" t="s">
        <v>177</v>
      </c>
      <c r="D137" s="27"/>
      <c r="E137" s="27" t="s">
        <v>178</v>
      </c>
      <c r="F137" s="27"/>
      <c r="G137" s="27"/>
      <c r="H137" s="27"/>
      <c r="I137" s="27"/>
      <c r="J137" s="37">
        <v>39819767.206045985</v>
      </c>
      <c r="K137" s="311"/>
      <c r="L137" s="311"/>
      <c r="M137" s="311"/>
      <c r="N137" s="311"/>
      <c r="O137" s="311"/>
      <c r="P137" s="311"/>
      <c r="Q137" s="311"/>
      <c r="R137" s="311"/>
      <c r="S137" s="311"/>
      <c r="T137" s="311"/>
      <c r="U137" s="311"/>
      <c r="V137" s="311"/>
      <c r="W137" s="311"/>
      <c r="X137" s="311"/>
      <c r="Y137" s="311"/>
      <c r="Z137" s="311"/>
      <c r="AA137" s="311"/>
      <c r="AB137" s="311"/>
      <c r="AC137" s="311"/>
      <c r="AD137" s="311"/>
      <c r="AE137" s="311"/>
      <c r="AF137" s="311"/>
      <c r="AG137" s="311"/>
      <c r="AH137" s="311"/>
      <c r="AI137" s="311"/>
      <c r="AJ137" s="311"/>
      <c r="AK137" s="311"/>
      <c r="AL137" s="311"/>
      <c r="AM137" s="311"/>
    </row>
    <row r="138" spans="1:39" ht="15.75" thickBot="1">
      <c r="A138" s="34">
        <f t="shared" ref="A138:A200" si="6">+A137+1</f>
        <v>95</v>
      </c>
      <c r="B138" s="27"/>
      <c r="C138" s="77" t="s">
        <v>179</v>
      </c>
      <c r="D138" s="78"/>
      <c r="E138" s="49" t="s">
        <v>178</v>
      </c>
      <c r="F138" s="37"/>
      <c r="G138" s="37"/>
      <c r="H138" s="79"/>
      <c r="I138" s="37"/>
      <c r="J138" s="49">
        <v>0</v>
      </c>
      <c r="K138" s="311"/>
      <c r="L138" s="311"/>
      <c r="M138" s="311"/>
      <c r="N138" s="311"/>
      <c r="O138" s="311"/>
      <c r="P138" s="311"/>
      <c r="Q138" s="311"/>
      <c r="R138" s="311"/>
      <c r="S138" s="311"/>
      <c r="T138" s="311"/>
      <c r="U138" s="311"/>
      <c r="V138" s="311"/>
      <c r="W138" s="311"/>
      <c r="X138" s="311"/>
      <c r="Y138" s="311"/>
      <c r="Z138" s="311"/>
      <c r="AA138" s="311"/>
      <c r="AB138" s="311"/>
      <c r="AC138" s="311"/>
      <c r="AD138" s="311"/>
      <c r="AE138" s="311"/>
      <c r="AF138" s="311"/>
      <c r="AG138" s="311"/>
      <c r="AH138" s="311"/>
      <c r="AI138" s="311"/>
      <c r="AJ138" s="311"/>
      <c r="AK138" s="311"/>
      <c r="AL138" s="311"/>
      <c r="AM138" s="311"/>
    </row>
    <row r="139" spans="1:39">
      <c r="A139" s="34">
        <f t="shared" si="6"/>
        <v>96</v>
      </c>
      <c r="B139" s="27"/>
      <c r="C139" s="50" t="str">
        <f>"Transmission plant included in Common Use Facilities  (line "&amp;A136&amp;" less lines "&amp;A137&amp;" and "&amp;A138&amp;")"</f>
        <v>Transmission plant included in Common Use Facilities  (line 93 less lines 94 and 95)</v>
      </c>
      <c r="D139" s="33"/>
      <c r="E139" s="37"/>
      <c r="F139" s="37"/>
      <c r="G139" s="37"/>
      <c r="H139" s="79"/>
      <c r="I139" s="37"/>
      <c r="J139" s="37">
        <f>J136-J137-J138</f>
        <v>259946699.69549245</v>
      </c>
      <c r="K139" s="311"/>
      <c r="L139" s="311"/>
      <c r="M139" s="311"/>
      <c r="N139" s="311"/>
      <c r="O139" s="311"/>
      <c r="P139" s="311"/>
      <c r="Q139" s="311"/>
      <c r="R139" s="311"/>
      <c r="S139" s="311"/>
      <c r="T139" s="311"/>
      <c r="U139" s="311"/>
      <c r="V139" s="311"/>
      <c r="W139" s="311"/>
      <c r="X139" s="311"/>
      <c r="Y139" s="311"/>
      <c r="Z139" s="311"/>
      <c r="AA139" s="311"/>
      <c r="AB139" s="311"/>
      <c r="AC139" s="311"/>
      <c r="AD139" s="311"/>
      <c r="AE139" s="311"/>
      <c r="AF139" s="311"/>
      <c r="AG139" s="311"/>
      <c r="AH139" s="311"/>
      <c r="AI139" s="311"/>
      <c r="AJ139" s="311"/>
      <c r="AK139" s="311"/>
      <c r="AL139" s="311"/>
      <c r="AM139" s="311"/>
    </row>
    <row r="140" spans="1:39">
      <c r="A140" s="34">
        <f t="shared" si="6"/>
        <v>97</v>
      </c>
      <c r="B140" s="27"/>
      <c r="C140" s="50" t="str">
        <f>"Plus Common Use AC Facilities (line "&amp;A150&amp;")"</f>
        <v>Plus Common Use AC Facilities (line 107)</v>
      </c>
      <c r="D140" s="33"/>
      <c r="E140" s="37"/>
      <c r="F140" s="37"/>
      <c r="G140" s="37"/>
      <c r="H140" s="79"/>
      <c r="I140" s="37"/>
      <c r="J140" s="37">
        <f>+J150</f>
        <v>16531036.109999999</v>
      </c>
      <c r="K140" s="311"/>
      <c r="L140" s="311"/>
      <c r="M140" s="311"/>
      <c r="N140" s="311"/>
      <c r="O140" s="311"/>
      <c r="P140" s="311"/>
      <c r="Q140" s="311"/>
      <c r="R140" s="311"/>
      <c r="S140" s="311"/>
      <c r="T140" s="311"/>
      <c r="U140" s="311"/>
      <c r="V140" s="311"/>
      <c r="W140" s="311"/>
      <c r="X140" s="311"/>
      <c r="Y140" s="311"/>
      <c r="Z140" s="311"/>
      <c r="AA140" s="311"/>
      <c r="AB140" s="311"/>
      <c r="AC140" s="311"/>
      <c r="AD140" s="311"/>
      <c r="AE140" s="311"/>
      <c r="AF140" s="311"/>
      <c r="AG140" s="311"/>
      <c r="AH140" s="311"/>
      <c r="AI140" s="311"/>
      <c r="AJ140" s="311"/>
      <c r="AK140" s="311"/>
      <c r="AL140" s="311"/>
      <c r="AM140" s="311"/>
    </row>
    <row r="141" spans="1:39">
      <c r="A141" s="34">
        <f t="shared" si="6"/>
        <v>98</v>
      </c>
      <c r="B141" s="27"/>
      <c r="C141" s="50" t="str">
        <f>"Total Gross Plant for the CUS System (line "&amp;A139&amp;" plus line "&amp;A140&amp;")"</f>
        <v>Total Gross Plant for the CUS System (line 96 plus line 97)</v>
      </c>
      <c r="D141" s="33"/>
      <c r="E141" s="37"/>
      <c r="F141" s="37"/>
      <c r="G141" s="37"/>
      <c r="H141" s="79"/>
      <c r="I141" s="37"/>
      <c r="J141" s="80">
        <f>SUM(J139:J140)</f>
        <v>276477735.80549246</v>
      </c>
      <c r="K141" s="311"/>
      <c r="L141" s="311"/>
      <c r="M141" s="311"/>
      <c r="N141" s="311"/>
      <c r="O141" s="311"/>
      <c r="P141" s="311"/>
      <c r="Q141" s="311"/>
      <c r="R141" s="311"/>
      <c r="S141" s="311"/>
      <c r="T141" s="311"/>
      <c r="U141" s="311"/>
      <c r="V141" s="311"/>
      <c r="W141" s="311"/>
      <c r="X141" s="311"/>
      <c r="Y141" s="311"/>
      <c r="Z141" s="311"/>
      <c r="AA141" s="311"/>
      <c r="AB141" s="311"/>
      <c r="AC141" s="311"/>
      <c r="AD141" s="311"/>
      <c r="AE141" s="311"/>
      <c r="AF141" s="311"/>
      <c r="AG141" s="311"/>
      <c r="AH141" s="311"/>
      <c r="AI141" s="311"/>
      <c r="AJ141" s="311"/>
      <c r="AK141" s="311"/>
      <c r="AL141" s="311"/>
      <c r="AM141" s="311"/>
    </row>
    <row r="142" spans="1:39">
      <c r="A142" s="34">
        <f t="shared" si="6"/>
        <v>99</v>
      </c>
      <c r="B142" s="27"/>
      <c r="C142" s="50" t="str">
        <f>"Total CUS Plant (line "&amp;A136&amp;" plus line "&amp;A150&amp;")"</f>
        <v>Total CUS Plant (line 93 plus line 107)</v>
      </c>
      <c r="D142" s="33"/>
      <c r="E142" s="37"/>
      <c r="F142" s="37"/>
      <c r="G142" s="37"/>
      <c r="H142" s="79"/>
      <c r="I142" s="37"/>
      <c r="J142" s="37">
        <f>+J136+J150</f>
        <v>316297503.01153845</v>
      </c>
      <c r="K142" s="311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311"/>
      <c r="Y142" s="311"/>
      <c r="Z142" s="311"/>
      <c r="AA142" s="311"/>
      <c r="AB142" s="311"/>
      <c r="AC142" s="311"/>
      <c r="AD142" s="311"/>
      <c r="AE142" s="311"/>
      <c r="AF142" s="311"/>
      <c r="AG142" s="311"/>
      <c r="AH142" s="311"/>
      <c r="AI142" s="311"/>
      <c r="AJ142" s="311"/>
      <c r="AK142" s="311"/>
      <c r="AL142" s="311"/>
      <c r="AM142" s="311"/>
    </row>
    <row r="143" spans="1:39">
      <c r="A143" s="34">
        <f t="shared" si="6"/>
        <v>100</v>
      </c>
      <c r="B143" s="27"/>
      <c r="C143" s="27"/>
      <c r="D143" s="33"/>
      <c r="E143" s="37"/>
      <c r="F143" s="37"/>
      <c r="G143" s="37"/>
      <c r="H143" s="79"/>
      <c r="I143" s="37"/>
      <c r="J143" s="27"/>
      <c r="K143" s="311"/>
      <c r="L143" s="311"/>
      <c r="M143" s="311"/>
      <c r="N143" s="311"/>
      <c r="O143" s="311"/>
      <c r="P143" s="311"/>
      <c r="Q143" s="311"/>
      <c r="R143" s="311"/>
      <c r="S143" s="311"/>
      <c r="T143" s="311"/>
      <c r="U143" s="311"/>
      <c r="V143" s="311"/>
      <c r="W143" s="311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311"/>
      <c r="AK143" s="311"/>
      <c r="AL143" s="311"/>
      <c r="AM143" s="311"/>
    </row>
    <row r="144" spans="1:39">
      <c r="A144" s="34">
        <f t="shared" si="6"/>
        <v>101</v>
      </c>
      <c r="B144" s="27"/>
      <c r="C144" s="50" t="str">
        <f>"Percentage of transmission plant included in Common Use Facilities (line "&amp;A141&amp;" divided by line "&amp;A142&amp;")"</f>
        <v>Percentage of transmission plant included in Common Use Facilities (line 98 divided by line 99)</v>
      </c>
      <c r="D144" s="35"/>
      <c r="E144" s="35"/>
      <c r="F144" s="35"/>
      <c r="G144" s="35"/>
      <c r="H144" s="39"/>
      <c r="I144" s="37" t="s">
        <v>180</v>
      </c>
      <c r="J144" s="81">
        <f>ROUND(IF(J142&gt;0,J141/J142,0),6)</f>
        <v>0.87410699999999997</v>
      </c>
      <c r="K144" s="311"/>
      <c r="L144" s="311"/>
      <c r="M144" s="311"/>
      <c r="N144" s="311"/>
      <c r="O144" s="311"/>
      <c r="P144" s="311"/>
      <c r="Q144" s="311"/>
      <c r="R144" s="311"/>
      <c r="S144" s="311"/>
      <c r="T144" s="311"/>
      <c r="U144" s="311"/>
      <c r="V144" s="311"/>
      <c r="W144" s="311"/>
      <c r="X144" s="311"/>
      <c r="Y144" s="311"/>
      <c r="Z144" s="311"/>
      <c r="AA144" s="311"/>
      <c r="AB144" s="311"/>
      <c r="AC144" s="311"/>
      <c r="AD144" s="311"/>
      <c r="AE144" s="311"/>
      <c r="AF144" s="311"/>
      <c r="AG144" s="311"/>
      <c r="AH144" s="311"/>
      <c r="AI144" s="311"/>
      <c r="AJ144" s="311"/>
      <c r="AK144" s="311"/>
      <c r="AL144" s="311"/>
      <c r="AM144" s="311"/>
    </row>
    <row r="145" spans="1:39">
      <c r="A145" s="34">
        <f t="shared" si="6"/>
        <v>102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311"/>
      <c r="L145" s="311"/>
      <c r="M145" s="311"/>
      <c r="N145" s="311"/>
      <c r="O145" s="311"/>
      <c r="P145" s="311"/>
      <c r="Q145" s="311"/>
      <c r="R145" s="311"/>
      <c r="S145" s="311"/>
      <c r="T145" s="311"/>
      <c r="U145" s="311"/>
      <c r="V145" s="311"/>
      <c r="W145" s="311"/>
      <c r="X145" s="311"/>
      <c r="Y145" s="311"/>
      <c r="Z145" s="311"/>
      <c r="AA145" s="311"/>
      <c r="AB145" s="311"/>
      <c r="AC145" s="311"/>
      <c r="AD145" s="311"/>
      <c r="AE145" s="311"/>
      <c r="AF145" s="311"/>
      <c r="AG145" s="311"/>
      <c r="AH145" s="311"/>
      <c r="AI145" s="311"/>
      <c r="AJ145" s="311"/>
      <c r="AK145" s="311"/>
      <c r="AL145" s="311"/>
      <c r="AM145" s="311"/>
    </row>
    <row r="146" spans="1:39" ht="15.75" thickBot="1">
      <c r="A146" s="34">
        <f t="shared" si="6"/>
        <v>103</v>
      </c>
      <c r="B146" s="27"/>
      <c r="C146" s="50" t="s">
        <v>181</v>
      </c>
      <c r="D146" s="33"/>
      <c r="E146" s="49" t="s">
        <v>175</v>
      </c>
      <c r="F146" s="33"/>
      <c r="G146" s="33"/>
      <c r="H146" s="33"/>
      <c r="I146" s="33"/>
      <c r="J146" s="33"/>
      <c r="K146" s="311"/>
      <c r="L146" s="311"/>
      <c r="M146" s="311"/>
      <c r="N146" s="311"/>
      <c r="O146" s="311"/>
      <c r="P146" s="311"/>
      <c r="Q146" s="311"/>
      <c r="R146" s="311"/>
      <c r="S146" s="311"/>
      <c r="T146" s="311"/>
      <c r="U146" s="311"/>
      <c r="V146" s="311"/>
      <c r="W146" s="311"/>
      <c r="X146" s="311"/>
      <c r="Y146" s="311"/>
      <c r="Z146" s="311"/>
      <c r="AA146" s="311"/>
      <c r="AB146" s="311"/>
      <c r="AC146" s="311"/>
      <c r="AD146" s="311"/>
      <c r="AE146" s="311"/>
      <c r="AF146" s="311"/>
      <c r="AG146" s="311"/>
      <c r="AH146" s="311"/>
      <c r="AI146" s="311"/>
      <c r="AJ146" s="311"/>
      <c r="AK146" s="311"/>
      <c r="AL146" s="311"/>
      <c r="AM146" s="311"/>
    </row>
    <row r="147" spans="1:39">
      <c r="A147" s="34">
        <f t="shared" si="6"/>
        <v>104</v>
      </c>
      <c r="B147" s="27"/>
      <c r="C147" s="50" t="s">
        <v>182</v>
      </c>
      <c r="D147" s="33"/>
      <c r="E147" s="37" t="str">
        <f>"Column (3) line "&amp;A17&amp;""</f>
        <v>Column (3) line 3</v>
      </c>
      <c r="F147" s="37"/>
      <c r="G147" s="37"/>
      <c r="H147" s="37"/>
      <c r="I147" s="37"/>
      <c r="J147" s="37">
        <f>+E17</f>
        <v>584281926.50754821</v>
      </c>
      <c r="K147" s="311"/>
      <c r="L147" s="311"/>
      <c r="M147" s="311"/>
      <c r="N147" s="311"/>
      <c r="O147" s="311"/>
      <c r="P147" s="311"/>
      <c r="Q147" s="311"/>
      <c r="R147" s="311"/>
      <c r="S147" s="311"/>
      <c r="T147" s="311"/>
      <c r="U147" s="311"/>
      <c r="V147" s="311"/>
      <c r="W147" s="311"/>
      <c r="X147" s="311"/>
      <c r="Y147" s="311"/>
      <c r="Z147" s="311"/>
      <c r="AA147" s="311"/>
      <c r="AB147" s="311"/>
      <c r="AC147" s="311"/>
      <c r="AD147" s="311"/>
      <c r="AE147" s="311"/>
      <c r="AF147" s="311"/>
      <c r="AG147" s="311"/>
      <c r="AH147" s="311"/>
      <c r="AI147" s="311"/>
      <c r="AJ147" s="311"/>
      <c r="AK147" s="311"/>
      <c r="AL147" s="311"/>
      <c r="AM147" s="311"/>
    </row>
    <row r="148" spans="1:39">
      <c r="A148" s="34">
        <f t="shared" si="6"/>
        <v>105</v>
      </c>
      <c r="B148" s="27"/>
      <c r="C148" s="50" t="s">
        <v>183</v>
      </c>
      <c r="D148" s="27"/>
      <c r="E148" s="27" t="s">
        <v>178</v>
      </c>
      <c r="F148" s="27"/>
      <c r="G148" s="27"/>
      <c r="H148" s="27"/>
      <c r="I148" s="27"/>
      <c r="J148" s="37">
        <f>+J147-J150</f>
        <v>567750890.3975482</v>
      </c>
      <c r="K148" s="311"/>
      <c r="L148" s="311"/>
      <c r="M148" s="311"/>
      <c r="N148" s="311"/>
      <c r="O148" s="311"/>
      <c r="P148" s="311"/>
      <c r="Q148" s="311"/>
      <c r="R148" s="311"/>
      <c r="S148" s="311"/>
      <c r="T148" s="311"/>
      <c r="U148" s="311"/>
      <c r="V148" s="311"/>
      <c r="W148" s="311"/>
      <c r="X148" s="311"/>
      <c r="Y148" s="311"/>
      <c r="Z148" s="311"/>
      <c r="AA148" s="311"/>
      <c r="AB148" s="311"/>
      <c r="AC148" s="311"/>
      <c r="AD148" s="311"/>
      <c r="AE148" s="311"/>
      <c r="AF148" s="311"/>
      <c r="AG148" s="311"/>
      <c r="AH148" s="311"/>
      <c r="AI148" s="311"/>
      <c r="AJ148" s="311"/>
      <c r="AK148" s="311"/>
      <c r="AL148" s="311"/>
      <c r="AM148" s="311"/>
    </row>
    <row r="149" spans="1:39" ht="15.75" thickBot="1">
      <c r="A149" s="34">
        <f t="shared" si="6"/>
        <v>106</v>
      </c>
      <c r="B149" s="27"/>
      <c r="C149" s="77" t="s">
        <v>184</v>
      </c>
      <c r="D149" s="78"/>
      <c r="E149" s="49" t="s">
        <v>178</v>
      </c>
      <c r="F149" s="37"/>
      <c r="G149" s="37"/>
      <c r="H149" s="79"/>
      <c r="I149" s="37"/>
      <c r="J149" s="49">
        <v>0</v>
      </c>
      <c r="K149" s="311"/>
      <c r="L149" s="311"/>
      <c r="M149" s="311"/>
      <c r="N149" s="311"/>
      <c r="O149" s="311"/>
      <c r="P149" s="311"/>
      <c r="Q149" s="311"/>
      <c r="R149" s="311"/>
      <c r="S149" s="311"/>
      <c r="T149" s="311"/>
      <c r="U149" s="311"/>
      <c r="V149" s="311"/>
      <c r="W149" s="311"/>
      <c r="X149" s="311"/>
      <c r="Y149" s="311"/>
      <c r="Z149" s="311"/>
      <c r="AA149" s="311"/>
      <c r="AB149" s="311"/>
      <c r="AC149" s="311"/>
      <c r="AD149" s="311"/>
      <c r="AE149" s="311"/>
      <c r="AF149" s="311"/>
      <c r="AG149" s="311"/>
      <c r="AH149" s="311"/>
      <c r="AI149" s="311"/>
      <c r="AJ149" s="311"/>
      <c r="AK149" s="311"/>
      <c r="AL149" s="311"/>
      <c r="AM149" s="311"/>
    </row>
    <row r="150" spans="1:39">
      <c r="A150" s="34">
        <f t="shared" si="6"/>
        <v>107</v>
      </c>
      <c r="B150" s="27"/>
      <c r="C150" s="50" t="str">
        <f>"Common Use AC Facilities (line "&amp;A147&amp;" less lines "&amp;A148&amp;" &amp; "&amp;A149&amp;")"</f>
        <v>Common Use AC Facilities (line 104 less lines 105 &amp; 106)</v>
      </c>
      <c r="D150" s="33"/>
      <c r="E150" s="37"/>
      <c r="F150" s="37"/>
      <c r="G150" s="37"/>
      <c r="H150" s="79"/>
      <c r="I150" s="37"/>
      <c r="J150" s="37">
        <v>16531036.109999999</v>
      </c>
      <c r="K150" s="311"/>
      <c r="L150" s="311"/>
      <c r="M150" s="311"/>
      <c r="N150" s="311"/>
      <c r="O150" s="311"/>
      <c r="P150" s="311"/>
      <c r="Q150" s="311"/>
      <c r="R150" s="311"/>
      <c r="S150" s="311"/>
      <c r="T150" s="311"/>
      <c r="U150" s="311"/>
      <c r="V150" s="311"/>
      <c r="W150" s="311"/>
      <c r="X150" s="311"/>
      <c r="Y150" s="311"/>
      <c r="Z150" s="311"/>
      <c r="AA150" s="311"/>
      <c r="AB150" s="311"/>
      <c r="AC150" s="311"/>
      <c r="AD150" s="311"/>
      <c r="AE150" s="311"/>
      <c r="AF150" s="311"/>
      <c r="AG150" s="311"/>
      <c r="AH150" s="311"/>
      <c r="AI150" s="311"/>
      <c r="AJ150" s="311"/>
      <c r="AK150" s="311"/>
      <c r="AL150" s="311"/>
      <c r="AM150" s="311"/>
    </row>
    <row r="151" spans="1:39">
      <c r="A151" s="34">
        <f t="shared" si="6"/>
        <v>108</v>
      </c>
      <c r="B151" s="27"/>
      <c r="C151" s="27"/>
      <c r="D151" s="33"/>
      <c r="E151" s="37"/>
      <c r="F151" s="37"/>
      <c r="G151" s="37"/>
      <c r="H151" s="79"/>
      <c r="I151" s="37"/>
      <c r="J151" s="27"/>
      <c r="K151" s="311"/>
      <c r="L151" s="311"/>
      <c r="M151" s="311"/>
      <c r="N151" s="311"/>
      <c r="O151" s="311"/>
      <c r="P151" s="311"/>
      <c r="Q151" s="311"/>
      <c r="R151" s="311"/>
      <c r="S151" s="311"/>
      <c r="T151" s="311"/>
      <c r="U151" s="311"/>
      <c r="V151" s="311"/>
      <c r="W151" s="311"/>
      <c r="X151" s="311"/>
      <c r="Y151" s="311"/>
      <c r="Z151" s="311"/>
      <c r="AA151" s="311"/>
      <c r="AB151" s="311"/>
      <c r="AC151" s="311"/>
      <c r="AD151" s="311"/>
      <c r="AE151" s="311"/>
      <c r="AF151" s="311"/>
      <c r="AG151" s="311"/>
      <c r="AH151" s="311"/>
      <c r="AI151" s="311"/>
      <c r="AJ151" s="311"/>
      <c r="AK151" s="311"/>
      <c r="AL151" s="311"/>
      <c r="AM151" s="311"/>
    </row>
    <row r="152" spans="1:39">
      <c r="A152" s="34">
        <f t="shared" si="6"/>
        <v>109</v>
      </c>
      <c r="B152" s="27"/>
      <c r="C152" s="50" t="str">
        <f>"Percentage of distribution plant included in Common Use Facilities (line "&amp;A147&amp;" divided by line "&amp;A150&amp;")"</f>
        <v>Percentage of distribution plant included in Common Use Facilities (line 104 divided by line 107)</v>
      </c>
      <c r="D152" s="35"/>
      <c r="E152" s="35"/>
      <c r="F152" s="35"/>
      <c r="G152" s="35"/>
      <c r="H152" s="39"/>
      <c r="I152" s="37" t="s">
        <v>185</v>
      </c>
      <c r="J152" s="81">
        <f>ROUND(IF(J147&gt;0,J150/J147,0),6)</f>
        <v>2.8292999999999999E-2</v>
      </c>
      <c r="K152" s="311"/>
      <c r="L152" s="311"/>
      <c r="M152" s="311"/>
      <c r="N152" s="311"/>
      <c r="O152" s="311"/>
      <c r="P152" s="311"/>
      <c r="Q152" s="311"/>
      <c r="R152" s="311"/>
      <c r="S152" s="311"/>
      <c r="T152" s="311"/>
      <c r="U152" s="311"/>
      <c r="V152" s="311"/>
      <c r="W152" s="311"/>
      <c r="X152" s="311"/>
      <c r="Y152" s="311"/>
      <c r="Z152" s="311"/>
      <c r="AA152" s="311"/>
      <c r="AB152" s="311"/>
      <c r="AC152" s="311"/>
      <c r="AD152" s="311"/>
      <c r="AE152" s="311"/>
      <c r="AF152" s="311"/>
      <c r="AG152" s="311"/>
      <c r="AH152" s="311"/>
      <c r="AI152" s="311"/>
      <c r="AJ152" s="311"/>
      <c r="AK152" s="311"/>
      <c r="AL152" s="311"/>
      <c r="AM152" s="311"/>
    </row>
    <row r="153" spans="1:39">
      <c r="A153" s="34">
        <f t="shared" si="6"/>
        <v>110</v>
      </c>
      <c r="B153" s="27"/>
      <c r="C153" s="27"/>
      <c r="D153" s="33"/>
      <c r="E153" s="37"/>
      <c r="F153" s="37"/>
      <c r="G153" s="37"/>
      <c r="H153" s="79"/>
      <c r="I153" s="37"/>
      <c r="J153" s="27"/>
      <c r="K153" s="311"/>
      <c r="L153" s="311"/>
      <c r="M153" s="311"/>
      <c r="N153" s="311"/>
      <c r="O153" s="311"/>
      <c r="P153" s="311"/>
      <c r="Q153" s="311"/>
      <c r="R153" s="311"/>
      <c r="S153" s="311"/>
      <c r="T153" s="311"/>
      <c r="U153" s="311"/>
      <c r="V153" s="311"/>
      <c r="W153" s="311"/>
      <c r="X153" s="311"/>
      <c r="Y153" s="311"/>
      <c r="Z153" s="311"/>
      <c r="AA153" s="311"/>
      <c r="AB153" s="311"/>
      <c r="AC153" s="311"/>
      <c r="AD153" s="311"/>
      <c r="AE153" s="311"/>
      <c r="AF153" s="311"/>
      <c r="AG153" s="311"/>
      <c r="AH153" s="311"/>
      <c r="AI153" s="311"/>
      <c r="AJ153" s="311"/>
      <c r="AK153" s="311"/>
      <c r="AL153" s="311"/>
      <c r="AM153" s="311"/>
    </row>
    <row r="154" spans="1:39" ht="15.75" thickBot="1">
      <c r="A154" s="34">
        <f t="shared" si="6"/>
        <v>111</v>
      </c>
      <c r="B154" s="27"/>
      <c r="C154" s="50" t="s">
        <v>87</v>
      </c>
      <c r="D154" s="33"/>
      <c r="E154" s="49" t="s">
        <v>175</v>
      </c>
      <c r="F154" s="37"/>
      <c r="G154" s="37"/>
      <c r="H154" s="79"/>
      <c r="I154" s="37"/>
      <c r="J154" s="37"/>
      <c r="K154" s="311"/>
      <c r="L154" s="311"/>
      <c r="M154" s="311"/>
      <c r="N154" s="311"/>
      <c r="O154" s="311"/>
      <c r="P154" s="311"/>
      <c r="Q154" s="311"/>
      <c r="R154" s="311"/>
      <c r="S154" s="311"/>
      <c r="T154" s="311"/>
      <c r="U154" s="311"/>
      <c r="V154" s="311"/>
      <c r="W154" s="311"/>
      <c r="X154" s="311"/>
      <c r="Y154" s="311"/>
      <c r="Z154" s="311"/>
      <c r="AA154" s="311"/>
      <c r="AB154" s="311"/>
      <c r="AC154" s="311"/>
      <c r="AD154" s="311"/>
      <c r="AE154" s="311"/>
      <c r="AF154" s="311"/>
      <c r="AG154" s="311"/>
      <c r="AH154" s="311"/>
      <c r="AI154" s="311"/>
      <c r="AJ154" s="311"/>
      <c r="AK154" s="311"/>
      <c r="AL154" s="311"/>
      <c r="AM154" s="311"/>
    </row>
    <row r="155" spans="1:39">
      <c r="A155" s="34">
        <f t="shared" si="6"/>
        <v>112</v>
      </c>
      <c r="B155" s="27"/>
      <c r="C155" s="27" t="s">
        <v>186</v>
      </c>
      <c r="D155" s="33"/>
      <c r="E155" s="37" t="str">
        <f>"Column (3) line "&amp;A26&amp;""</f>
        <v>Column (3) line 12</v>
      </c>
      <c r="F155" s="37"/>
      <c r="G155" s="37"/>
      <c r="H155" s="79"/>
      <c r="I155" s="37"/>
      <c r="J155" s="37">
        <f>+E26</f>
        <v>53602898.31694451</v>
      </c>
      <c r="K155" s="311"/>
      <c r="L155" s="311"/>
      <c r="M155" s="311"/>
      <c r="N155" s="311"/>
      <c r="O155" s="311"/>
      <c r="P155" s="311"/>
      <c r="Q155" s="311"/>
      <c r="R155" s="311"/>
      <c r="S155" s="311"/>
      <c r="T155" s="311"/>
      <c r="U155" s="311"/>
      <c r="V155" s="311"/>
      <c r="W155" s="311"/>
      <c r="X155" s="311"/>
      <c r="Y155" s="311"/>
      <c r="Z155" s="311"/>
      <c r="AA155" s="311"/>
      <c r="AB155" s="311"/>
      <c r="AC155" s="311"/>
      <c r="AD155" s="311"/>
      <c r="AE155" s="311"/>
      <c r="AF155" s="311"/>
      <c r="AG155" s="311"/>
      <c r="AH155" s="311"/>
      <c r="AI155" s="311"/>
      <c r="AJ155" s="311"/>
      <c r="AK155" s="311"/>
      <c r="AL155" s="311"/>
      <c r="AM155" s="311"/>
    </row>
    <row r="156" spans="1:39">
      <c r="A156" s="34">
        <f t="shared" si="6"/>
        <v>113</v>
      </c>
      <c r="B156" s="27"/>
      <c r="C156" s="50" t="s">
        <v>187</v>
      </c>
      <c r="D156" s="33"/>
      <c r="E156" s="37" t="s">
        <v>178</v>
      </c>
      <c r="F156" s="37"/>
      <c r="G156" s="37"/>
      <c r="H156" s="79"/>
      <c r="I156" s="37"/>
      <c r="J156" s="82">
        <v>12605543.859535716</v>
      </c>
      <c r="K156" s="311"/>
      <c r="L156" s="311"/>
      <c r="M156" s="311"/>
      <c r="N156" s="311"/>
      <c r="O156" s="311"/>
      <c r="P156" s="311"/>
      <c r="Q156" s="311"/>
      <c r="R156" s="311"/>
      <c r="S156" s="311"/>
      <c r="T156" s="311"/>
      <c r="U156" s="311"/>
      <c r="V156" s="311"/>
      <c r="W156" s="311"/>
      <c r="X156" s="311"/>
      <c r="Y156" s="311"/>
      <c r="Z156" s="311"/>
      <c r="AA156" s="311"/>
      <c r="AB156" s="311"/>
      <c r="AC156" s="311"/>
      <c r="AD156" s="311"/>
      <c r="AE156" s="311"/>
      <c r="AF156" s="311"/>
      <c r="AG156" s="311"/>
      <c r="AH156" s="311"/>
      <c r="AI156" s="311"/>
      <c r="AJ156" s="311"/>
      <c r="AK156" s="311"/>
      <c r="AL156" s="311"/>
      <c r="AM156" s="311"/>
    </row>
    <row r="157" spans="1:39">
      <c r="A157" s="34">
        <f t="shared" si="6"/>
        <v>114</v>
      </c>
      <c r="B157" s="27"/>
      <c r="C157" s="83" t="str">
        <f>"Total Transmission Accumulated Depreciation included in Common Use Facilities (line "&amp;A155&amp;" - line "&amp;A156&amp;")"</f>
        <v>Total Transmission Accumulated Depreciation included in Common Use Facilities (line 112 - line 113)</v>
      </c>
      <c r="D157" s="84"/>
      <c r="E157" s="80"/>
      <c r="F157" s="37"/>
      <c r="G157" s="37"/>
      <c r="H157" s="79"/>
      <c r="I157" s="37"/>
      <c r="J157" s="80">
        <f>J155-J156</f>
        <v>40997354.457408793</v>
      </c>
      <c r="K157" s="311"/>
      <c r="L157" s="311"/>
      <c r="M157" s="311"/>
      <c r="N157" s="311"/>
      <c r="O157" s="311"/>
      <c r="P157" s="311"/>
      <c r="Q157" s="311"/>
      <c r="R157" s="311"/>
      <c r="S157" s="311"/>
      <c r="T157" s="311"/>
      <c r="U157" s="311"/>
      <c r="V157" s="311"/>
      <c r="W157" s="311"/>
      <c r="X157" s="311"/>
      <c r="Y157" s="311"/>
      <c r="Z157" s="311"/>
      <c r="AA157" s="311"/>
      <c r="AB157" s="311"/>
      <c r="AC157" s="311"/>
      <c r="AD157" s="311"/>
      <c r="AE157" s="311"/>
      <c r="AF157" s="311"/>
      <c r="AG157" s="311"/>
      <c r="AH157" s="311"/>
      <c r="AI157" s="311"/>
      <c r="AJ157" s="311"/>
      <c r="AK157" s="311"/>
      <c r="AL157" s="311"/>
      <c r="AM157" s="311"/>
    </row>
    <row r="158" spans="1:39">
      <c r="A158" s="34">
        <f t="shared" si="6"/>
        <v>115</v>
      </c>
      <c r="B158" s="27"/>
      <c r="C158" s="50" t="str">
        <f>"Plus Common Use AC Facilities Accumulated Depreciation (line "&amp;A167&amp;")"</f>
        <v>Plus Common Use AC Facilities Accumulated Depreciation (line 124)</v>
      </c>
      <c r="D158" s="33"/>
      <c r="E158" s="37"/>
      <c r="F158" s="37"/>
      <c r="G158" s="37"/>
      <c r="H158" s="79"/>
      <c r="I158" s="37"/>
      <c r="J158" s="37">
        <f>+J167</f>
        <v>5265066.6950000012</v>
      </c>
      <c r="K158" s="311"/>
      <c r="L158" s="311"/>
      <c r="M158" s="311"/>
      <c r="N158" s="311"/>
      <c r="O158" s="311"/>
      <c r="P158" s="311"/>
      <c r="Q158" s="311"/>
      <c r="R158" s="311"/>
      <c r="S158" s="311"/>
      <c r="T158" s="311"/>
      <c r="U158" s="311"/>
      <c r="V158" s="311"/>
      <c r="W158" s="311"/>
      <c r="X158" s="311"/>
      <c r="Y158" s="311"/>
      <c r="Z158" s="311"/>
      <c r="AA158" s="311"/>
      <c r="AB158" s="311"/>
      <c r="AC158" s="311"/>
      <c r="AD158" s="311"/>
      <c r="AE158" s="311"/>
      <c r="AF158" s="311"/>
      <c r="AG158" s="311"/>
      <c r="AH158" s="311"/>
      <c r="AI158" s="311"/>
      <c r="AJ158" s="311"/>
      <c r="AK158" s="311"/>
      <c r="AL158" s="311"/>
      <c r="AM158" s="311"/>
    </row>
    <row r="159" spans="1:39">
      <c r="A159" s="34">
        <f t="shared" si="6"/>
        <v>116</v>
      </c>
      <c r="B159" s="27"/>
      <c r="C159" s="50" t="str">
        <f>"Total Accumulated Depreciation for the CUS System (line "&amp;A157&amp;" plus line "&amp;A158&amp;")"</f>
        <v>Total Accumulated Depreciation for the CUS System (line 114 plus line 115)</v>
      </c>
      <c r="D159" s="33"/>
      <c r="E159" s="37"/>
      <c r="F159" s="37"/>
      <c r="G159" s="37"/>
      <c r="H159" s="79"/>
      <c r="I159" s="37"/>
      <c r="J159" s="80">
        <f>SUM(J157:J158)</f>
        <v>46262421.152408794</v>
      </c>
      <c r="K159" s="311"/>
      <c r="L159" s="311"/>
      <c r="M159" s="311"/>
      <c r="N159" s="311"/>
      <c r="O159" s="311"/>
      <c r="P159" s="311"/>
      <c r="Q159" s="311"/>
      <c r="R159" s="311"/>
      <c r="S159" s="311"/>
      <c r="T159" s="311"/>
      <c r="U159" s="311"/>
      <c r="V159" s="311"/>
      <c r="W159" s="311"/>
      <c r="X159" s="311"/>
      <c r="Y159" s="311"/>
      <c r="Z159" s="311"/>
      <c r="AA159" s="311"/>
      <c r="AB159" s="311"/>
      <c r="AC159" s="311"/>
      <c r="AD159" s="311"/>
      <c r="AE159" s="311"/>
      <c r="AF159" s="311"/>
      <c r="AG159" s="311"/>
      <c r="AH159" s="311"/>
      <c r="AI159" s="311"/>
      <c r="AJ159" s="311"/>
      <c r="AK159" s="311"/>
      <c r="AL159" s="311"/>
      <c r="AM159" s="311"/>
    </row>
    <row r="160" spans="1:39">
      <c r="A160" s="34">
        <f t="shared" si="6"/>
        <v>117</v>
      </c>
      <c r="B160" s="27"/>
      <c r="C160" s="50" t="str">
        <f>"Total CUS Accumulated Depreciation (line "&amp;A155&amp;" plus line "&amp;A158&amp;")"</f>
        <v>Total CUS Accumulated Depreciation (line 112 plus line 115)</v>
      </c>
      <c r="D160" s="33"/>
      <c r="E160" s="37"/>
      <c r="F160" s="37"/>
      <c r="G160" s="37"/>
      <c r="H160" s="79"/>
      <c r="I160" s="37"/>
      <c r="J160" s="37">
        <f>+J155+J158</f>
        <v>58867965.01194451</v>
      </c>
      <c r="K160" s="311"/>
      <c r="L160" s="311"/>
      <c r="M160" s="311"/>
      <c r="N160" s="311"/>
      <c r="O160" s="311"/>
      <c r="P160" s="311"/>
      <c r="Q160" s="311"/>
      <c r="R160" s="311"/>
      <c r="S160" s="311"/>
      <c r="T160" s="311"/>
      <c r="U160" s="311"/>
      <c r="V160" s="311"/>
      <c r="W160" s="311"/>
      <c r="X160" s="311"/>
      <c r="Y160" s="311"/>
      <c r="Z160" s="311"/>
      <c r="AA160" s="311"/>
      <c r="AB160" s="311"/>
      <c r="AC160" s="311"/>
      <c r="AD160" s="311"/>
      <c r="AE160" s="311"/>
      <c r="AF160" s="311"/>
      <c r="AG160" s="311"/>
      <c r="AH160" s="311"/>
      <c r="AI160" s="311"/>
      <c r="AJ160" s="311"/>
      <c r="AK160" s="311"/>
      <c r="AL160" s="311"/>
      <c r="AM160" s="311"/>
    </row>
    <row r="161" spans="1:39">
      <c r="A161" s="34">
        <f t="shared" si="6"/>
        <v>118</v>
      </c>
      <c r="B161" s="27"/>
      <c r="C161" s="27"/>
      <c r="D161" s="33"/>
      <c r="E161" s="37"/>
      <c r="F161" s="37"/>
      <c r="G161" s="37"/>
      <c r="H161" s="79"/>
      <c r="I161" s="37"/>
      <c r="J161" s="37"/>
      <c r="K161" s="311"/>
      <c r="L161" s="311"/>
      <c r="M161" s="311"/>
      <c r="N161" s="311"/>
      <c r="O161" s="311"/>
      <c r="P161" s="311"/>
      <c r="Q161" s="311"/>
      <c r="R161" s="311"/>
      <c r="S161" s="311"/>
      <c r="T161" s="311"/>
      <c r="U161" s="311"/>
      <c r="V161" s="311"/>
      <c r="W161" s="311"/>
      <c r="X161" s="311"/>
      <c r="Y161" s="311"/>
      <c r="Z161" s="311"/>
      <c r="AA161" s="311"/>
      <c r="AB161" s="311"/>
      <c r="AC161" s="311"/>
      <c r="AD161" s="311"/>
      <c r="AE161" s="311"/>
      <c r="AF161" s="311"/>
      <c r="AG161" s="311"/>
      <c r="AH161" s="311"/>
      <c r="AI161" s="311"/>
      <c r="AJ161" s="311"/>
      <c r="AK161" s="311"/>
      <c r="AL161" s="311"/>
      <c r="AM161" s="311"/>
    </row>
    <row r="162" spans="1:39">
      <c r="A162" s="34">
        <f t="shared" si="6"/>
        <v>119</v>
      </c>
      <c r="B162" s="27"/>
      <c r="C162" s="50" t="str">
        <f>"Percentage of transmission plant accumulated depreciation included in Common Use Facilities (line "&amp;A159&amp;" divided by line "&amp;A160&amp;")"</f>
        <v>Percentage of transmission plant accumulated depreciation included in Common Use Facilities (line 116 divided by line 117)</v>
      </c>
      <c r="D162" s="33"/>
      <c r="E162" s="37"/>
      <c r="F162" s="37"/>
      <c r="G162" s="37"/>
      <c r="H162" s="79"/>
      <c r="I162" s="37" t="s">
        <v>188</v>
      </c>
      <c r="J162" s="81">
        <f>ROUND(IF(J160&gt;0,J159/J160,0),6)</f>
        <v>0.78586800000000001</v>
      </c>
      <c r="K162" s="311"/>
      <c r="L162" s="311"/>
      <c r="M162" s="311"/>
      <c r="N162" s="311"/>
      <c r="O162" s="311"/>
      <c r="P162" s="311"/>
      <c r="Q162" s="311"/>
      <c r="R162" s="311"/>
      <c r="S162" s="311"/>
      <c r="T162" s="311"/>
      <c r="U162" s="311"/>
      <c r="V162" s="311"/>
      <c r="W162" s="311"/>
      <c r="X162" s="311"/>
      <c r="Y162" s="311"/>
      <c r="Z162" s="311"/>
      <c r="AA162" s="311"/>
      <c r="AB162" s="311"/>
      <c r="AC162" s="311"/>
      <c r="AD162" s="311"/>
      <c r="AE162" s="311"/>
      <c r="AF162" s="311"/>
      <c r="AG162" s="311"/>
      <c r="AH162" s="311"/>
      <c r="AI162" s="311"/>
      <c r="AJ162" s="311"/>
      <c r="AK162" s="311"/>
      <c r="AL162" s="311"/>
      <c r="AM162" s="311"/>
    </row>
    <row r="163" spans="1:39">
      <c r="A163" s="34">
        <f t="shared" si="6"/>
        <v>120</v>
      </c>
      <c r="B163" s="27"/>
      <c r="C163" s="27"/>
      <c r="D163" s="33"/>
      <c r="E163" s="37"/>
      <c r="F163" s="37"/>
      <c r="G163" s="37"/>
      <c r="H163" s="79"/>
      <c r="I163" s="37"/>
      <c r="J163" s="37"/>
      <c r="K163" s="311"/>
      <c r="L163" s="311"/>
      <c r="M163" s="311"/>
      <c r="N163" s="311"/>
      <c r="O163" s="311"/>
      <c r="P163" s="311"/>
      <c r="Q163" s="311"/>
      <c r="R163" s="311"/>
      <c r="S163" s="311"/>
      <c r="T163" s="311"/>
      <c r="U163" s="311"/>
      <c r="V163" s="311"/>
      <c r="W163" s="311"/>
      <c r="X163" s="311"/>
      <c r="Y163" s="311"/>
      <c r="Z163" s="311"/>
      <c r="AA163" s="311"/>
      <c r="AB163" s="311"/>
      <c r="AC163" s="311"/>
      <c r="AD163" s="311"/>
      <c r="AE163" s="311"/>
      <c r="AF163" s="311"/>
      <c r="AG163" s="311"/>
      <c r="AH163" s="311"/>
      <c r="AI163" s="311"/>
      <c r="AJ163" s="311"/>
      <c r="AK163" s="311"/>
      <c r="AL163" s="311"/>
      <c r="AM163" s="311"/>
    </row>
    <row r="164" spans="1:39" ht="15.75" thickBot="1">
      <c r="A164" s="34">
        <f t="shared" si="6"/>
        <v>121</v>
      </c>
      <c r="B164" s="27"/>
      <c r="C164" s="27"/>
      <c r="D164" s="33"/>
      <c r="E164" s="49" t="s">
        <v>175</v>
      </c>
      <c r="F164" s="37"/>
      <c r="G164" s="37"/>
      <c r="H164" s="79"/>
      <c r="I164" s="37"/>
      <c r="J164" s="37"/>
      <c r="K164" s="311"/>
      <c r="L164" s="311"/>
      <c r="M164" s="311"/>
      <c r="N164" s="311"/>
      <c r="O164" s="311"/>
      <c r="P164" s="311"/>
      <c r="Q164" s="311"/>
      <c r="R164" s="311"/>
      <c r="S164" s="311"/>
      <c r="T164" s="311"/>
      <c r="U164" s="311"/>
      <c r="V164" s="311"/>
      <c r="W164" s="311"/>
      <c r="X164" s="311"/>
      <c r="Y164" s="311"/>
      <c r="Z164" s="311"/>
      <c r="AA164" s="311"/>
      <c r="AB164" s="311"/>
      <c r="AC164" s="311"/>
      <c r="AD164" s="311"/>
      <c r="AE164" s="311"/>
      <c r="AF164" s="311"/>
      <c r="AG164" s="311"/>
      <c r="AH164" s="311"/>
      <c r="AI164" s="311"/>
      <c r="AJ164" s="311"/>
      <c r="AK164" s="311"/>
      <c r="AL164" s="311"/>
      <c r="AM164" s="311"/>
    </row>
    <row r="165" spans="1:39">
      <c r="A165" s="34">
        <f t="shared" si="6"/>
        <v>122</v>
      </c>
      <c r="B165" s="27"/>
      <c r="C165" s="27" t="s">
        <v>189</v>
      </c>
      <c r="D165" s="33"/>
      <c r="E165" s="37" t="str">
        <f>"Column (3) line "&amp;A27&amp;""</f>
        <v>Column (3) line 13</v>
      </c>
      <c r="F165" s="37"/>
      <c r="G165" s="37"/>
      <c r="H165" s="79"/>
      <c r="I165" s="37"/>
      <c r="J165" s="37">
        <f>+E27</f>
        <v>190060847.34754822</v>
      </c>
      <c r="K165" s="311"/>
      <c r="L165" s="311"/>
      <c r="M165" s="311"/>
      <c r="N165" s="311"/>
      <c r="O165" s="311"/>
      <c r="P165" s="311"/>
      <c r="Q165" s="311"/>
      <c r="R165" s="311"/>
      <c r="S165" s="311"/>
      <c r="T165" s="311"/>
      <c r="U165" s="311"/>
      <c r="V165" s="311"/>
      <c r="W165" s="311"/>
      <c r="X165" s="311"/>
      <c r="Y165" s="311"/>
      <c r="Z165" s="311"/>
      <c r="AA165" s="311"/>
      <c r="AB165" s="311"/>
      <c r="AC165" s="311"/>
      <c r="AD165" s="311"/>
      <c r="AE165" s="311"/>
      <c r="AF165" s="311"/>
      <c r="AG165" s="311"/>
      <c r="AH165" s="311"/>
      <c r="AI165" s="311"/>
      <c r="AJ165" s="311"/>
      <c r="AK165" s="311"/>
      <c r="AL165" s="311"/>
      <c r="AM165" s="311"/>
    </row>
    <row r="166" spans="1:39">
      <c r="A166" s="34">
        <f t="shared" si="6"/>
        <v>123</v>
      </c>
      <c r="B166" s="27"/>
      <c r="C166" s="27" t="s">
        <v>190</v>
      </c>
      <c r="D166" s="33"/>
      <c r="E166" s="37"/>
      <c r="F166" s="37"/>
      <c r="G166" s="37"/>
      <c r="H166" s="79"/>
      <c r="I166" s="37"/>
      <c r="J166" s="37">
        <f>+J165-J167</f>
        <v>184795780.65254822</v>
      </c>
      <c r="K166" s="311"/>
      <c r="L166" s="311"/>
      <c r="M166" s="311"/>
      <c r="N166" s="311"/>
      <c r="O166" s="311"/>
      <c r="P166" s="311"/>
      <c r="Q166" s="311"/>
      <c r="R166" s="311"/>
      <c r="S166" s="311"/>
      <c r="T166" s="311"/>
      <c r="U166" s="311"/>
      <c r="V166" s="311"/>
      <c r="W166" s="311"/>
      <c r="X166" s="311"/>
      <c r="Y166" s="311"/>
      <c r="Z166" s="311"/>
      <c r="AA166" s="311"/>
      <c r="AB166" s="311"/>
      <c r="AC166" s="311"/>
      <c r="AD166" s="311"/>
      <c r="AE166" s="311"/>
      <c r="AF166" s="311"/>
      <c r="AG166" s="311"/>
      <c r="AH166" s="311"/>
      <c r="AI166" s="311"/>
      <c r="AJ166" s="311"/>
      <c r="AK166" s="311"/>
      <c r="AL166" s="311"/>
      <c r="AM166" s="311"/>
    </row>
    <row r="167" spans="1:39">
      <c r="A167" s="34">
        <f t="shared" si="6"/>
        <v>124</v>
      </c>
      <c r="B167" s="27"/>
      <c r="C167" s="85" t="str">
        <f>"Common Use AC Facilities (line "&amp;A165&amp;" less line "&amp;A166&amp;")"</f>
        <v>Common Use AC Facilities (line 122 less line 123)</v>
      </c>
      <c r="D167" s="84"/>
      <c r="E167" s="80"/>
      <c r="F167" s="37"/>
      <c r="G167" s="37"/>
      <c r="H167" s="79"/>
      <c r="I167" s="37"/>
      <c r="J167" s="80">
        <v>5265066.6950000012</v>
      </c>
      <c r="K167" s="311"/>
      <c r="L167" s="311"/>
      <c r="M167" s="311"/>
      <c r="N167" s="311"/>
      <c r="O167" s="311"/>
      <c r="P167" s="311"/>
      <c r="Q167" s="311"/>
      <c r="R167" s="311"/>
      <c r="S167" s="311"/>
      <c r="T167" s="311"/>
      <c r="U167" s="311"/>
      <c r="V167" s="311"/>
      <c r="W167" s="311"/>
      <c r="X167" s="311"/>
      <c r="Y167" s="311"/>
      <c r="Z167" s="311"/>
      <c r="AA167" s="311"/>
      <c r="AB167" s="311"/>
      <c r="AC167" s="311"/>
      <c r="AD167" s="311"/>
      <c r="AE167" s="311"/>
      <c r="AF167" s="311"/>
      <c r="AG167" s="311"/>
      <c r="AH167" s="311"/>
      <c r="AI167" s="311"/>
      <c r="AJ167" s="311"/>
      <c r="AK167" s="311"/>
      <c r="AL167" s="311"/>
      <c r="AM167" s="311"/>
    </row>
    <row r="168" spans="1:39">
      <c r="A168" s="34">
        <f t="shared" si="6"/>
        <v>125</v>
      </c>
      <c r="B168" s="27"/>
      <c r="C168" s="27"/>
      <c r="D168" s="33"/>
      <c r="E168" s="37"/>
      <c r="F168" s="37"/>
      <c r="G168" s="37"/>
      <c r="H168" s="79"/>
      <c r="I168" s="37"/>
      <c r="J168" s="37"/>
      <c r="K168" s="311"/>
      <c r="L168" s="311"/>
      <c r="M168" s="311"/>
      <c r="N168" s="311"/>
      <c r="O168" s="311"/>
      <c r="P168" s="311"/>
      <c r="Q168" s="311"/>
      <c r="R168" s="311"/>
      <c r="S168" s="311"/>
      <c r="T168" s="311"/>
      <c r="U168" s="311"/>
      <c r="V168" s="311"/>
      <c r="W168" s="311"/>
      <c r="X168" s="311"/>
      <c r="Y168" s="311"/>
      <c r="Z168" s="311"/>
      <c r="AA168" s="311"/>
      <c r="AB168" s="311"/>
      <c r="AC168" s="311"/>
      <c r="AD168" s="311"/>
      <c r="AE168" s="311"/>
      <c r="AF168" s="311"/>
      <c r="AG168" s="311"/>
      <c r="AH168" s="311"/>
      <c r="AI168" s="311"/>
      <c r="AJ168" s="311"/>
      <c r="AK168" s="311"/>
      <c r="AL168" s="311"/>
      <c r="AM168" s="311"/>
    </row>
    <row r="169" spans="1:39">
      <c r="A169" s="34">
        <f t="shared" si="6"/>
        <v>126</v>
      </c>
      <c r="B169" s="27"/>
      <c r="C169" s="50" t="str">
        <f>"Percentage of distribution plant accumulated depreciation included in Common Use Facilities (line "&amp;A167&amp;" divided by line "&amp;A165&amp;")"</f>
        <v>Percentage of distribution plant accumulated depreciation included in Common Use Facilities (line 124 divided by line 122)</v>
      </c>
      <c r="D169" s="33"/>
      <c r="E169" s="37"/>
      <c r="F169" s="37"/>
      <c r="G169" s="37"/>
      <c r="H169" s="79"/>
      <c r="I169" s="37" t="s">
        <v>191</v>
      </c>
      <c r="J169" s="81">
        <f>ROUND(IF(J165&gt;0,J167/J165,0),6)</f>
        <v>2.7702000000000001E-2</v>
      </c>
      <c r="K169" s="311"/>
      <c r="L169" s="311"/>
      <c r="M169" s="311"/>
      <c r="N169" s="311"/>
      <c r="O169" s="311"/>
      <c r="P169" s="311"/>
      <c r="Q169" s="311"/>
      <c r="R169" s="311"/>
      <c r="S169" s="311"/>
      <c r="T169" s="311"/>
      <c r="U169" s="311"/>
      <c r="V169" s="311"/>
      <c r="W169" s="311"/>
      <c r="X169" s="311"/>
      <c r="Y169" s="311"/>
      <c r="Z169" s="311"/>
      <c r="AA169" s="311"/>
      <c r="AB169" s="311"/>
      <c r="AC169" s="311"/>
      <c r="AD169" s="311"/>
      <c r="AE169" s="311"/>
      <c r="AF169" s="311"/>
      <c r="AG169" s="311"/>
      <c r="AH169" s="311"/>
      <c r="AI169" s="311"/>
      <c r="AJ169" s="311"/>
      <c r="AK169" s="311"/>
      <c r="AL169" s="311"/>
      <c r="AM169" s="311"/>
    </row>
    <row r="170" spans="1:39">
      <c r="A170" s="34">
        <f t="shared" si="6"/>
        <v>127</v>
      </c>
      <c r="B170" s="27"/>
      <c r="C170" s="27"/>
      <c r="D170" s="33"/>
      <c r="E170" s="37"/>
      <c r="F170" s="37"/>
      <c r="G170" s="37"/>
      <c r="H170" s="79"/>
      <c r="I170" s="37"/>
      <c r="J170" s="37"/>
      <c r="K170" s="311"/>
      <c r="L170" s="311"/>
      <c r="M170" s="311"/>
      <c r="N170" s="311"/>
      <c r="O170" s="311"/>
      <c r="P170" s="311"/>
      <c r="Q170" s="311"/>
      <c r="R170" s="311"/>
      <c r="S170" s="311"/>
      <c r="T170" s="311"/>
      <c r="U170" s="311"/>
      <c r="V170" s="311"/>
      <c r="W170" s="311"/>
      <c r="X170" s="311"/>
      <c r="Y170" s="311"/>
      <c r="Z170" s="311"/>
      <c r="AA170" s="311"/>
      <c r="AB170" s="311"/>
      <c r="AC170" s="311"/>
      <c r="AD170" s="311"/>
      <c r="AE170" s="311"/>
      <c r="AF170" s="311"/>
      <c r="AG170" s="311"/>
      <c r="AH170" s="311"/>
      <c r="AI170" s="311"/>
      <c r="AJ170" s="311"/>
      <c r="AK170" s="311"/>
      <c r="AL170" s="311"/>
      <c r="AM170" s="311"/>
    </row>
    <row r="171" spans="1:39">
      <c r="A171" s="34">
        <f t="shared" si="6"/>
        <v>128</v>
      </c>
      <c r="B171" s="27"/>
      <c r="C171" s="33" t="s">
        <v>192</v>
      </c>
      <c r="D171" s="37"/>
      <c r="E171" s="37"/>
      <c r="F171" s="37"/>
      <c r="G171" s="37"/>
      <c r="H171" s="37"/>
      <c r="I171" s="37"/>
      <c r="J171" s="37"/>
      <c r="K171" s="311"/>
      <c r="L171" s="311"/>
      <c r="M171" s="311"/>
      <c r="N171" s="311"/>
      <c r="O171" s="311"/>
      <c r="P171" s="311"/>
      <c r="Q171" s="311"/>
      <c r="R171" s="311"/>
      <c r="S171" s="311"/>
      <c r="T171" s="311"/>
      <c r="U171" s="311"/>
      <c r="V171" s="311"/>
      <c r="W171" s="311"/>
      <c r="X171" s="311"/>
      <c r="Y171" s="311"/>
      <c r="Z171" s="311"/>
      <c r="AA171" s="311"/>
      <c r="AB171" s="311"/>
      <c r="AC171" s="311"/>
      <c r="AD171" s="311"/>
      <c r="AE171" s="311"/>
      <c r="AF171" s="311"/>
      <c r="AG171" s="311"/>
      <c r="AH171" s="311"/>
      <c r="AI171" s="311"/>
      <c r="AJ171" s="311"/>
      <c r="AK171" s="311"/>
      <c r="AL171" s="311"/>
      <c r="AM171" s="311"/>
    </row>
    <row r="172" spans="1:39" ht="15.75" thickBot="1">
      <c r="A172" s="34">
        <f t="shared" si="6"/>
        <v>129</v>
      </c>
      <c r="B172" s="27"/>
      <c r="C172" s="33"/>
      <c r="D172" s="49" t="s">
        <v>193</v>
      </c>
      <c r="E172" s="86" t="s">
        <v>194</v>
      </c>
      <c r="F172" s="86" t="s">
        <v>72</v>
      </c>
      <c r="G172" s="37"/>
      <c r="H172" s="86" t="s">
        <v>195</v>
      </c>
      <c r="I172" s="37"/>
      <c r="J172" s="79"/>
      <c r="K172" s="311"/>
      <c r="L172" s="311"/>
      <c r="M172" s="311"/>
      <c r="N172" s="311"/>
      <c r="O172" s="311"/>
      <c r="P172" s="311"/>
      <c r="Q172" s="311"/>
      <c r="R172" s="311"/>
      <c r="S172" s="311"/>
      <c r="T172" s="311"/>
      <c r="U172" s="311"/>
      <c r="V172" s="311"/>
      <c r="W172" s="311"/>
      <c r="X172" s="311"/>
      <c r="Y172" s="311"/>
      <c r="Z172" s="311"/>
      <c r="AA172" s="311"/>
      <c r="AB172" s="311"/>
      <c r="AC172" s="311"/>
      <c r="AD172" s="311"/>
      <c r="AE172" s="311"/>
      <c r="AF172" s="311"/>
      <c r="AG172" s="311"/>
      <c r="AH172" s="311"/>
      <c r="AI172" s="311"/>
      <c r="AJ172" s="311"/>
      <c r="AK172" s="311"/>
      <c r="AL172" s="311"/>
      <c r="AM172" s="311"/>
    </row>
    <row r="173" spans="1:39">
      <c r="A173" s="34">
        <f t="shared" si="6"/>
        <v>130</v>
      </c>
      <c r="B173" s="27"/>
      <c r="C173" s="33" t="s">
        <v>70</v>
      </c>
      <c r="D173" s="37" t="s">
        <v>196</v>
      </c>
      <c r="E173" s="37">
        <v>2161808</v>
      </c>
      <c r="F173" s="87">
        <f>+J144</f>
        <v>0.87410699999999997</v>
      </c>
      <c r="G173" s="27"/>
      <c r="H173" s="37">
        <f>E173*F173</f>
        <v>1889651.5054559999</v>
      </c>
      <c r="I173" s="37"/>
      <c r="J173" s="88"/>
      <c r="K173" s="311"/>
      <c r="L173" s="311"/>
      <c r="M173" s="311"/>
      <c r="N173" s="311"/>
      <c r="O173" s="311"/>
      <c r="P173" s="311"/>
      <c r="Q173" s="311"/>
      <c r="R173" s="311"/>
      <c r="S173" s="311"/>
      <c r="T173" s="311"/>
      <c r="U173" s="311"/>
      <c r="V173" s="311"/>
      <c r="W173" s="311"/>
      <c r="X173" s="311"/>
      <c r="Y173" s="311"/>
      <c r="Z173" s="311"/>
      <c r="AA173" s="311"/>
      <c r="AB173" s="311"/>
      <c r="AC173" s="311"/>
      <c r="AD173" s="311"/>
      <c r="AE173" s="311"/>
      <c r="AF173" s="311"/>
      <c r="AG173" s="311"/>
      <c r="AH173" s="311"/>
      <c r="AI173" s="311"/>
      <c r="AJ173" s="311"/>
      <c r="AK173" s="311"/>
      <c r="AL173" s="311"/>
      <c r="AM173" s="311"/>
    </row>
    <row r="174" spans="1:39">
      <c r="A174" s="34">
        <f t="shared" si="6"/>
        <v>131</v>
      </c>
      <c r="B174" s="27"/>
      <c r="C174" s="33" t="s">
        <v>197</v>
      </c>
      <c r="D174" s="37" t="s">
        <v>198</v>
      </c>
      <c r="E174" s="37">
        <v>30217676</v>
      </c>
      <c r="F174" s="87">
        <v>0</v>
      </c>
      <c r="G174" s="87"/>
      <c r="H174" s="37">
        <f>E174*F174</f>
        <v>0</v>
      </c>
      <c r="I174" s="37"/>
      <c r="J174" s="79" t="s">
        <v>199</v>
      </c>
      <c r="K174" s="311"/>
      <c r="L174" s="311"/>
      <c r="M174" s="311"/>
      <c r="N174" s="311"/>
      <c r="O174" s="311"/>
      <c r="P174" s="311"/>
      <c r="Q174" s="311"/>
      <c r="R174" s="311"/>
      <c r="S174" s="311"/>
      <c r="T174" s="311"/>
      <c r="U174" s="311"/>
      <c r="V174" s="311"/>
      <c r="W174" s="311"/>
      <c r="X174" s="311"/>
      <c r="Y174" s="311"/>
      <c r="Z174" s="311"/>
      <c r="AA174" s="311"/>
      <c r="AB174" s="311"/>
      <c r="AC174" s="311"/>
      <c r="AD174" s="311"/>
      <c r="AE174" s="311"/>
      <c r="AF174" s="311"/>
      <c r="AG174" s="311"/>
      <c r="AH174" s="311"/>
      <c r="AI174" s="311"/>
      <c r="AJ174" s="311"/>
      <c r="AK174" s="311"/>
      <c r="AL174" s="311"/>
      <c r="AM174" s="311"/>
    </row>
    <row r="175" spans="1:39" ht="15.75" thickBot="1">
      <c r="A175" s="34">
        <f t="shared" si="6"/>
        <v>132</v>
      </c>
      <c r="B175" s="27"/>
      <c r="C175" s="33" t="s">
        <v>200</v>
      </c>
      <c r="D175" s="37" t="s">
        <v>201</v>
      </c>
      <c r="E175" s="49">
        <v>-15724903</v>
      </c>
      <c r="F175" s="87">
        <v>0</v>
      </c>
      <c r="G175" s="87"/>
      <c r="H175" s="49">
        <f>E175*F175</f>
        <v>0</v>
      </c>
      <c r="I175" s="37"/>
      <c r="J175" s="45" t="s">
        <v>202</v>
      </c>
      <c r="K175" s="311"/>
      <c r="L175" s="311"/>
      <c r="M175" s="311"/>
      <c r="N175" s="311"/>
      <c r="O175" s="311"/>
      <c r="P175" s="311"/>
      <c r="Q175" s="311"/>
      <c r="R175" s="311"/>
      <c r="S175" s="311"/>
      <c r="T175" s="311"/>
      <c r="U175" s="311"/>
      <c r="V175" s="311"/>
      <c r="W175" s="311"/>
      <c r="X175" s="311"/>
      <c r="Y175" s="311"/>
      <c r="Z175" s="311"/>
      <c r="AA175" s="311"/>
      <c r="AB175" s="311"/>
      <c r="AC175" s="311"/>
      <c r="AD175" s="311"/>
      <c r="AE175" s="311"/>
      <c r="AF175" s="311"/>
      <c r="AG175" s="311"/>
      <c r="AH175" s="311"/>
      <c r="AI175" s="311"/>
      <c r="AJ175" s="311"/>
      <c r="AK175" s="311"/>
      <c r="AL175" s="311"/>
      <c r="AM175" s="311"/>
    </row>
    <row r="176" spans="1:39">
      <c r="A176" s="34">
        <f t="shared" si="6"/>
        <v>133</v>
      </c>
      <c r="B176" s="27"/>
      <c r="C176" s="33" t="str">
        <f>"  Adjusted Total  (sum lines "&amp;A174&amp;"-"&amp;A175&amp;")"</f>
        <v xml:space="preserve">  Adjusted Total  (sum lines 131-132)</v>
      </c>
      <c r="D176" s="37"/>
      <c r="E176" s="37">
        <f>SUM(E174:E175)</f>
        <v>14492773</v>
      </c>
      <c r="F176" s="37"/>
      <c r="G176" s="27"/>
      <c r="H176" s="37">
        <f>SUM(H173:H175)</f>
        <v>1889651.5054559999</v>
      </c>
      <c r="I176" s="37" t="s">
        <v>203</v>
      </c>
      <c r="J176" s="47">
        <f>IF(E176&gt;0,+H176/E176,0)</f>
        <v>0.13038577955067673</v>
      </c>
      <c r="K176" s="311"/>
      <c r="L176" s="311"/>
      <c r="M176" s="311"/>
      <c r="N176" s="311"/>
      <c r="O176" s="311"/>
      <c r="P176" s="311"/>
      <c r="Q176" s="311"/>
      <c r="R176" s="311"/>
      <c r="S176" s="311"/>
      <c r="T176" s="311"/>
      <c r="U176" s="311"/>
      <c r="V176" s="311"/>
      <c r="W176" s="311"/>
      <c r="X176" s="311"/>
      <c r="Y176" s="311"/>
      <c r="Z176" s="311"/>
      <c r="AA176" s="311"/>
      <c r="AB176" s="311"/>
      <c r="AC176" s="311"/>
      <c r="AD176" s="311"/>
      <c r="AE176" s="311"/>
      <c r="AF176" s="311"/>
      <c r="AG176" s="311"/>
      <c r="AH176" s="311"/>
      <c r="AI176" s="311"/>
      <c r="AJ176" s="311"/>
      <c r="AK176" s="311"/>
      <c r="AL176" s="311"/>
      <c r="AM176" s="311"/>
    </row>
    <row r="177" spans="1:39">
      <c r="A177" s="34">
        <f t="shared" si="6"/>
        <v>134</v>
      </c>
      <c r="B177" s="27"/>
      <c r="C177" s="33"/>
      <c r="D177" s="37"/>
      <c r="E177" s="37"/>
      <c r="F177" s="37"/>
      <c r="G177" s="37"/>
      <c r="H177" s="37"/>
      <c r="I177" s="37"/>
      <c r="J177" s="37"/>
      <c r="K177" s="311"/>
      <c r="L177" s="311"/>
      <c r="M177" s="311"/>
      <c r="O177" s="311"/>
      <c r="P177" s="311"/>
      <c r="Q177" s="311"/>
      <c r="R177" s="311"/>
      <c r="S177" s="311"/>
      <c r="T177" s="311"/>
      <c r="U177" s="311"/>
      <c r="V177" s="311"/>
      <c r="W177" s="311"/>
      <c r="X177" s="311"/>
      <c r="Y177" s="311"/>
      <c r="Z177" s="311"/>
      <c r="AA177" s="311"/>
      <c r="AB177" s="311"/>
      <c r="AC177" s="311"/>
      <c r="AD177" s="311"/>
      <c r="AE177" s="311"/>
      <c r="AF177" s="311"/>
      <c r="AG177" s="311"/>
      <c r="AH177" s="311"/>
      <c r="AI177" s="311"/>
      <c r="AJ177" s="311"/>
      <c r="AK177" s="311"/>
      <c r="AL177" s="311"/>
      <c r="AM177" s="311"/>
    </row>
    <row r="178" spans="1:39">
      <c r="A178" s="34">
        <f t="shared" si="6"/>
        <v>135</v>
      </c>
      <c r="B178" s="27"/>
      <c r="C178" s="33" t="s">
        <v>204</v>
      </c>
      <c r="D178" s="37"/>
      <c r="E178" s="37"/>
      <c r="F178" s="37"/>
      <c r="G178" s="37"/>
      <c r="H178" s="37"/>
      <c r="I178" s="37"/>
      <c r="J178" s="37"/>
      <c r="K178" s="311"/>
      <c r="L178" s="311"/>
      <c r="M178" s="311"/>
      <c r="O178" s="311"/>
      <c r="P178" s="311"/>
      <c r="Q178" s="311"/>
      <c r="R178" s="311"/>
      <c r="S178" s="311"/>
      <c r="T178" s="311"/>
      <c r="U178" s="311"/>
      <c r="V178" s="311"/>
      <c r="W178" s="311"/>
      <c r="X178" s="311"/>
      <c r="Y178" s="311"/>
      <c r="Z178" s="311"/>
      <c r="AA178" s="311"/>
      <c r="AB178" s="311"/>
      <c r="AC178" s="311"/>
      <c r="AD178" s="311"/>
      <c r="AE178" s="311"/>
      <c r="AF178" s="311"/>
      <c r="AG178" s="311"/>
      <c r="AH178" s="311"/>
      <c r="AI178" s="311"/>
      <c r="AJ178" s="311"/>
      <c r="AK178" s="311"/>
      <c r="AL178" s="311"/>
      <c r="AM178" s="311"/>
    </row>
    <row r="179" spans="1:39" ht="15.75" thickBot="1">
      <c r="A179" s="34">
        <f t="shared" si="6"/>
        <v>136</v>
      </c>
      <c r="B179" s="27"/>
      <c r="C179" s="33"/>
      <c r="D179" s="37"/>
      <c r="E179" s="86" t="s">
        <v>194</v>
      </c>
      <c r="F179" s="86" t="s">
        <v>6</v>
      </c>
      <c r="G179" s="54" t="s">
        <v>72</v>
      </c>
      <c r="H179" s="89" t="s">
        <v>81</v>
      </c>
      <c r="I179" s="65"/>
      <c r="J179" s="51"/>
      <c r="K179" s="311"/>
      <c r="L179" s="311"/>
      <c r="M179" s="311"/>
      <c r="O179" s="311"/>
      <c r="P179" s="311"/>
      <c r="Q179" s="311"/>
      <c r="R179" s="311"/>
      <c r="S179" s="311"/>
      <c r="T179" s="311"/>
      <c r="U179" s="311"/>
      <c r="V179" s="311"/>
      <c r="W179" s="311"/>
      <c r="X179" s="311"/>
      <c r="Y179" s="311"/>
      <c r="Z179" s="311"/>
      <c r="AA179" s="311"/>
      <c r="AB179" s="311"/>
      <c r="AC179" s="311"/>
      <c r="AD179" s="311"/>
      <c r="AE179" s="311"/>
      <c r="AF179" s="311"/>
      <c r="AG179" s="311"/>
      <c r="AH179" s="311"/>
      <c r="AI179" s="311"/>
      <c r="AJ179" s="311"/>
      <c r="AK179" s="311"/>
      <c r="AL179" s="311"/>
      <c r="AM179" s="311"/>
    </row>
    <row r="180" spans="1:39">
      <c r="A180" s="34">
        <f t="shared" si="6"/>
        <v>137</v>
      </c>
      <c r="B180" s="27"/>
      <c r="C180" s="33" t="s">
        <v>205</v>
      </c>
      <c r="D180" s="90" t="s">
        <v>206</v>
      </c>
      <c r="E180" s="37">
        <f>J136-J155</f>
        <v>246163568.58459392</v>
      </c>
      <c r="F180" s="5">
        <f>IF(E182&gt;0,+E180/E182,0)</f>
        <v>0.38439954713400926</v>
      </c>
      <c r="G180" s="17">
        <f>+J144</f>
        <v>0.87410699999999997</v>
      </c>
      <c r="H180" s="18">
        <f>IF(F180&gt;0,+G180*F180,0)</f>
        <v>0.33600633494666743</v>
      </c>
      <c r="I180" s="91"/>
      <c r="J180" s="34"/>
      <c r="K180" s="311"/>
      <c r="L180" s="311"/>
      <c r="M180" s="311"/>
      <c r="N180" s="312"/>
      <c r="O180" s="311"/>
      <c r="P180" s="311"/>
      <c r="Q180" s="311"/>
      <c r="R180" s="311"/>
      <c r="S180" s="311"/>
      <c r="T180" s="311"/>
      <c r="U180" s="311"/>
      <c r="V180" s="311"/>
      <c r="W180" s="311"/>
      <c r="X180" s="311"/>
      <c r="Y180" s="311"/>
      <c r="Z180" s="311"/>
      <c r="AA180" s="311"/>
      <c r="AB180" s="311"/>
      <c r="AC180" s="311"/>
      <c r="AD180" s="311"/>
      <c r="AE180" s="311"/>
      <c r="AF180" s="311"/>
      <c r="AG180" s="311"/>
      <c r="AH180" s="311"/>
      <c r="AI180" s="311"/>
      <c r="AJ180" s="311"/>
      <c r="AK180" s="311"/>
      <c r="AL180" s="311"/>
      <c r="AM180" s="311"/>
    </row>
    <row r="181" spans="1:39">
      <c r="A181" s="34">
        <f t="shared" si="6"/>
        <v>138</v>
      </c>
      <c r="B181" s="27"/>
      <c r="C181" s="33" t="s">
        <v>207</v>
      </c>
      <c r="D181" s="90" t="s">
        <v>208</v>
      </c>
      <c r="E181" s="37">
        <f>J147-J165</f>
        <v>394221079.15999997</v>
      </c>
      <c r="F181" s="5">
        <f>IF(E182&gt;0,+E181/E182,0)</f>
        <v>0.61560045286599074</v>
      </c>
      <c r="G181" s="27"/>
      <c r="H181" s="63"/>
      <c r="I181" s="79"/>
      <c r="J181" s="63"/>
      <c r="K181" s="311"/>
      <c r="L181" s="311"/>
      <c r="M181" s="311"/>
      <c r="N181" s="311"/>
      <c r="O181" s="311"/>
      <c r="P181" s="311"/>
      <c r="Q181" s="311"/>
      <c r="R181" s="311"/>
      <c r="S181" s="311"/>
      <c r="T181" s="311"/>
      <c r="U181" s="311"/>
      <c r="V181" s="311"/>
      <c r="W181" s="311"/>
      <c r="X181" s="311"/>
      <c r="Y181" s="311"/>
      <c r="Z181" s="311"/>
      <c r="AA181" s="311"/>
      <c r="AB181" s="311"/>
      <c r="AC181" s="311"/>
      <c r="AD181" s="311"/>
      <c r="AE181" s="311"/>
      <c r="AF181" s="311"/>
      <c r="AG181" s="311"/>
      <c r="AH181" s="311"/>
      <c r="AI181" s="311"/>
      <c r="AJ181" s="311"/>
      <c r="AK181" s="311"/>
      <c r="AL181" s="311"/>
      <c r="AM181" s="311"/>
    </row>
    <row r="182" spans="1:39">
      <c r="A182" s="34">
        <f t="shared" si="6"/>
        <v>139</v>
      </c>
      <c r="B182" s="27"/>
      <c r="C182" s="33" t="str">
        <f>"  Total  (sum lines "&amp;A180&amp;" - "&amp;A181&amp;")"</f>
        <v xml:space="preserve">  Total  (sum lines 137 - 138)</v>
      </c>
      <c r="D182" s="37"/>
      <c r="E182" s="80">
        <f>SUM(E180:E181)</f>
        <v>640384647.74459386</v>
      </c>
      <c r="F182" s="19">
        <f>SUM(F180:F181)</f>
        <v>1</v>
      </c>
      <c r="G182" s="37"/>
      <c r="H182" s="37"/>
      <c r="I182" s="37" t="s">
        <v>209</v>
      </c>
      <c r="J182" s="20">
        <f>+H180</f>
        <v>0.33600633494666743</v>
      </c>
      <c r="K182" s="311"/>
      <c r="L182" s="311"/>
      <c r="M182" s="311"/>
      <c r="N182" s="311"/>
      <c r="O182" s="311"/>
      <c r="P182" s="311"/>
      <c r="Q182" s="311"/>
      <c r="R182" s="311"/>
      <c r="S182" s="311"/>
      <c r="T182" s="311"/>
      <c r="U182" s="311"/>
      <c r="V182" s="311"/>
      <c r="W182" s="311"/>
      <c r="X182" s="311"/>
      <c r="Y182" s="311"/>
      <c r="Z182" s="311"/>
      <c r="AA182" s="311"/>
      <c r="AB182" s="311"/>
      <c r="AC182" s="311"/>
      <c r="AD182" s="311"/>
      <c r="AE182" s="311"/>
      <c r="AF182" s="311"/>
      <c r="AG182" s="311"/>
      <c r="AH182" s="311"/>
      <c r="AI182" s="311"/>
      <c r="AJ182" s="311"/>
      <c r="AK182" s="311"/>
      <c r="AL182" s="311"/>
      <c r="AM182" s="311"/>
    </row>
    <row r="183" spans="1:39">
      <c r="A183" s="34">
        <f t="shared" si="6"/>
        <v>140</v>
      </c>
      <c r="B183" s="27"/>
      <c r="C183" s="33"/>
      <c r="D183" s="37"/>
      <c r="E183" s="27"/>
      <c r="F183" s="37"/>
      <c r="G183" s="37"/>
      <c r="H183" s="37"/>
      <c r="I183" s="37"/>
      <c r="J183" s="20"/>
      <c r="K183" s="311"/>
      <c r="L183" s="311"/>
      <c r="M183" s="313"/>
      <c r="O183" s="311"/>
      <c r="P183" s="311"/>
      <c r="Q183" s="311"/>
      <c r="R183" s="311"/>
      <c r="S183" s="311"/>
      <c r="T183" s="311"/>
      <c r="U183" s="311"/>
      <c r="V183" s="311"/>
      <c r="W183" s="311"/>
      <c r="X183" s="311"/>
      <c r="Y183" s="311"/>
      <c r="Z183" s="311"/>
      <c r="AA183" s="311"/>
      <c r="AB183" s="311"/>
      <c r="AC183" s="311"/>
      <c r="AD183" s="311"/>
      <c r="AE183" s="311"/>
      <c r="AF183" s="311"/>
      <c r="AG183" s="311"/>
      <c r="AH183" s="311"/>
      <c r="AI183" s="311"/>
      <c r="AJ183" s="311"/>
      <c r="AK183" s="311"/>
      <c r="AL183" s="311"/>
      <c r="AM183" s="311"/>
    </row>
    <row r="184" spans="1:39" s="94" customFormat="1" ht="15.75" thickBot="1">
      <c r="A184" s="34">
        <f t="shared" si="6"/>
        <v>141</v>
      </c>
      <c r="B184" s="92"/>
      <c r="C184" s="93" t="s">
        <v>210</v>
      </c>
      <c r="D184" s="54" t="s">
        <v>193</v>
      </c>
      <c r="E184" s="37"/>
      <c r="F184" s="37"/>
      <c r="G184" s="37"/>
      <c r="H184" s="37"/>
      <c r="I184" s="37"/>
      <c r="J184" s="86" t="s">
        <v>194</v>
      </c>
      <c r="K184" s="311"/>
      <c r="L184" s="311"/>
      <c r="M184" s="313"/>
    </row>
    <row r="185" spans="1:39">
      <c r="A185" s="34">
        <f t="shared" si="6"/>
        <v>142</v>
      </c>
      <c r="B185" s="92"/>
      <c r="C185" s="33" t="s">
        <v>211</v>
      </c>
      <c r="D185" s="37" t="s">
        <v>212</v>
      </c>
      <c r="E185" s="37"/>
      <c r="F185" s="37"/>
      <c r="G185" s="37"/>
      <c r="H185" s="37"/>
      <c r="I185" s="37"/>
      <c r="J185" s="1">
        <f>'WP14 Long Term Interest '!F20</f>
        <v>30681613</v>
      </c>
      <c r="K185" s="311"/>
      <c r="L185" s="311"/>
      <c r="M185" s="313"/>
      <c r="N185" s="311"/>
      <c r="O185" s="311"/>
      <c r="P185" s="311"/>
      <c r="Q185" s="311"/>
      <c r="R185" s="311"/>
      <c r="S185" s="311"/>
      <c r="T185" s="311"/>
      <c r="U185" s="311"/>
      <c r="V185" s="311"/>
      <c r="W185" s="311"/>
      <c r="X185" s="311"/>
      <c r="Y185" s="311"/>
      <c r="Z185" s="311"/>
      <c r="AA185" s="311"/>
      <c r="AB185" s="311"/>
      <c r="AC185" s="311"/>
      <c r="AD185" s="311"/>
      <c r="AE185" s="311"/>
      <c r="AF185" s="311"/>
      <c r="AG185" s="311"/>
      <c r="AH185" s="311"/>
      <c r="AI185" s="311"/>
      <c r="AJ185" s="311"/>
      <c r="AK185" s="311"/>
      <c r="AL185" s="311"/>
      <c r="AM185" s="311"/>
    </row>
    <row r="186" spans="1:39">
      <c r="A186" s="34">
        <f t="shared" si="6"/>
        <v>143</v>
      </c>
      <c r="B186" s="94"/>
      <c r="C186" s="33"/>
      <c r="D186" s="37"/>
      <c r="E186" s="37"/>
      <c r="F186" s="37"/>
      <c r="G186" s="37"/>
      <c r="H186" s="37"/>
      <c r="I186" s="37"/>
      <c r="J186" s="37"/>
      <c r="K186" s="311"/>
      <c r="L186" s="311"/>
      <c r="M186" s="95"/>
      <c r="O186" s="311"/>
      <c r="P186" s="311"/>
      <c r="Q186" s="311"/>
      <c r="R186" s="311"/>
      <c r="S186" s="311"/>
      <c r="T186" s="311"/>
      <c r="U186" s="311"/>
      <c r="V186" s="311"/>
      <c r="W186" s="311"/>
      <c r="X186" s="311"/>
      <c r="Y186" s="311"/>
      <c r="Z186" s="311"/>
      <c r="AA186" s="311"/>
      <c r="AB186" s="311"/>
      <c r="AC186" s="311"/>
      <c r="AD186" s="311"/>
      <c r="AE186" s="311"/>
      <c r="AF186" s="311"/>
      <c r="AG186" s="311"/>
      <c r="AH186" s="311"/>
      <c r="AI186" s="311"/>
      <c r="AJ186" s="311"/>
      <c r="AK186" s="311"/>
      <c r="AL186" s="311"/>
      <c r="AM186" s="311"/>
    </row>
    <row r="187" spans="1:39">
      <c r="A187" s="34">
        <f t="shared" si="6"/>
        <v>144</v>
      </c>
      <c r="B187" s="92"/>
      <c r="C187" s="33" t="s">
        <v>213</v>
      </c>
      <c r="D187" s="37" t="s">
        <v>214</v>
      </c>
      <c r="E187" s="37"/>
      <c r="F187" s="37"/>
      <c r="G187" s="37"/>
      <c r="H187" s="37"/>
      <c r="I187" s="37"/>
      <c r="J187" s="1">
        <v>0</v>
      </c>
      <c r="K187" s="311"/>
      <c r="L187" s="311"/>
      <c r="M187" s="95"/>
      <c r="O187" s="311"/>
      <c r="P187" s="311"/>
      <c r="Q187" s="311"/>
      <c r="R187" s="311"/>
      <c r="S187" s="311"/>
      <c r="T187" s="311"/>
      <c r="U187" s="311"/>
      <c r="V187" s="311"/>
      <c r="W187" s="311"/>
      <c r="X187" s="311"/>
      <c r="Y187" s="311"/>
      <c r="Z187" s="311"/>
      <c r="AA187" s="311"/>
      <c r="AB187" s="311"/>
      <c r="AC187" s="311"/>
      <c r="AD187" s="311"/>
      <c r="AE187" s="311"/>
      <c r="AF187" s="311"/>
      <c r="AG187" s="311"/>
      <c r="AH187" s="311"/>
      <c r="AI187" s="311"/>
      <c r="AJ187" s="311"/>
      <c r="AK187" s="311"/>
      <c r="AL187" s="311"/>
      <c r="AM187" s="311"/>
    </row>
    <row r="188" spans="1:39">
      <c r="A188" s="34">
        <f t="shared" si="6"/>
        <v>145</v>
      </c>
      <c r="B188" s="92"/>
      <c r="C188" s="33"/>
      <c r="D188" s="37"/>
      <c r="E188" s="37"/>
      <c r="F188" s="37"/>
      <c r="G188" s="37"/>
      <c r="H188" s="37"/>
      <c r="I188" s="37"/>
      <c r="J188" s="37"/>
      <c r="K188" s="311"/>
      <c r="L188" s="311"/>
      <c r="M188" s="311"/>
      <c r="N188" s="311"/>
      <c r="O188" s="311"/>
      <c r="P188" s="311"/>
      <c r="Q188" s="311"/>
      <c r="R188" s="311"/>
      <c r="S188" s="311"/>
      <c r="T188" s="311"/>
      <c r="U188" s="311"/>
      <c r="V188" s="311"/>
      <c r="W188" s="311"/>
      <c r="X188" s="311"/>
      <c r="Y188" s="311"/>
      <c r="Z188" s="311"/>
      <c r="AA188" s="311"/>
      <c r="AB188" s="311"/>
      <c r="AC188" s="311"/>
      <c r="AD188" s="311"/>
      <c r="AE188" s="311"/>
      <c r="AF188" s="311"/>
      <c r="AG188" s="311"/>
      <c r="AH188" s="311"/>
      <c r="AI188" s="311"/>
      <c r="AJ188" s="311"/>
      <c r="AK188" s="311"/>
      <c r="AL188" s="311"/>
      <c r="AM188" s="311"/>
    </row>
    <row r="189" spans="1:39">
      <c r="A189" s="34">
        <f t="shared" si="6"/>
        <v>146</v>
      </c>
      <c r="B189" s="92"/>
      <c r="C189" s="93" t="s">
        <v>215</v>
      </c>
      <c r="D189" s="54" t="s">
        <v>193</v>
      </c>
      <c r="E189" s="37"/>
      <c r="F189" s="37"/>
      <c r="G189" s="37"/>
      <c r="H189" s="37"/>
      <c r="I189" s="37"/>
      <c r="J189" s="37"/>
      <c r="K189" s="311"/>
      <c r="L189" s="311"/>
      <c r="M189" s="95"/>
      <c r="N189" s="95"/>
      <c r="O189" s="311"/>
      <c r="P189" s="311"/>
      <c r="Q189" s="311"/>
      <c r="R189" s="311"/>
      <c r="S189" s="311"/>
      <c r="T189" s="311"/>
      <c r="U189" s="311"/>
      <c r="V189" s="311"/>
      <c r="W189" s="311"/>
      <c r="X189" s="311"/>
      <c r="Y189" s="311"/>
      <c r="Z189" s="311"/>
      <c r="AA189" s="311"/>
      <c r="AB189" s="311"/>
      <c r="AC189" s="311"/>
      <c r="AD189" s="311"/>
      <c r="AE189" s="311"/>
      <c r="AF189" s="311"/>
      <c r="AG189" s="311"/>
      <c r="AH189" s="311"/>
      <c r="AI189" s="311"/>
      <c r="AJ189" s="311"/>
      <c r="AK189" s="311"/>
      <c r="AL189" s="311"/>
      <c r="AM189" s="311"/>
    </row>
    <row r="190" spans="1:39">
      <c r="A190" s="34">
        <f t="shared" si="6"/>
        <v>147</v>
      </c>
      <c r="B190" s="92"/>
      <c r="C190" s="33" t="s">
        <v>216</v>
      </c>
      <c r="D190" s="37" t="s">
        <v>217</v>
      </c>
      <c r="E190" s="33"/>
      <c r="F190" s="37"/>
      <c r="G190" s="37"/>
      <c r="H190" s="37"/>
      <c r="I190" s="37"/>
      <c r="J190" s="1">
        <v>663960029</v>
      </c>
      <c r="K190" s="311"/>
      <c r="L190" s="311"/>
      <c r="M190" s="311"/>
      <c r="N190" s="313"/>
      <c r="O190" s="311"/>
      <c r="P190" s="311"/>
      <c r="Q190" s="311"/>
      <c r="R190" s="311"/>
      <c r="S190" s="311"/>
      <c r="T190" s="311"/>
      <c r="U190" s="311"/>
      <c r="V190" s="311"/>
      <c r="W190" s="311"/>
      <c r="X190" s="311"/>
      <c r="Y190" s="311"/>
      <c r="Z190" s="311"/>
      <c r="AA190" s="311"/>
      <c r="AB190" s="311"/>
      <c r="AC190" s="311"/>
      <c r="AD190" s="311"/>
      <c r="AE190" s="311"/>
      <c r="AF190" s="311"/>
      <c r="AG190" s="311"/>
      <c r="AH190" s="311"/>
      <c r="AI190" s="311"/>
      <c r="AJ190" s="311"/>
      <c r="AK190" s="311"/>
      <c r="AL190" s="311"/>
      <c r="AM190" s="311"/>
    </row>
    <row r="191" spans="1:39">
      <c r="A191" s="34">
        <f t="shared" si="6"/>
        <v>148</v>
      </c>
      <c r="B191" s="92"/>
      <c r="C191" s="33" t="s">
        <v>218</v>
      </c>
      <c r="D191" s="37" t="s">
        <v>219</v>
      </c>
      <c r="E191" s="37"/>
      <c r="F191" s="37"/>
      <c r="G191" s="37"/>
      <c r="H191" s="37"/>
      <c r="I191" s="37"/>
      <c r="J191" s="1">
        <v>0</v>
      </c>
      <c r="K191" s="311"/>
      <c r="L191" s="311"/>
      <c r="M191" s="311"/>
      <c r="N191" s="313"/>
      <c r="O191" s="311"/>
      <c r="P191" s="313"/>
      <c r="Q191" s="311"/>
      <c r="R191" s="311"/>
      <c r="S191" s="311"/>
      <c r="T191" s="311"/>
      <c r="U191" s="311"/>
      <c r="V191" s="311"/>
      <c r="W191" s="311"/>
      <c r="X191" s="311"/>
      <c r="Y191" s="311"/>
      <c r="Z191" s="311"/>
      <c r="AA191" s="311"/>
      <c r="AB191" s="311"/>
      <c r="AC191" s="311"/>
      <c r="AD191" s="311"/>
      <c r="AE191" s="311"/>
      <c r="AF191" s="311"/>
      <c r="AG191" s="311"/>
      <c r="AH191" s="311"/>
      <c r="AI191" s="311"/>
      <c r="AJ191" s="311"/>
      <c r="AK191" s="311"/>
      <c r="AL191" s="311"/>
      <c r="AM191" s="311"/>
    </row>
    <row r="192" spans="1:39">
      <c r="A192" s="34">
        <f t="shared" si="6"/>
        <v>149</v>
      </c>
      <c r="B192" s="92"/>
      <c r="C192" s="33" t="s">
        <v>220</v>
      </c>
      <c r="D192" s="37" t="s">
        <v>221</v>
      </c>
      <c r="E192" s="37"/>
      <c r="F192" s="37"/>
      <c r="G192" s="37"/>
      <c r="H192" s="37"/>
      <c r="I192" s="37"/>
      <c r="J192" s="2">
        <v>0</v>
      </c>
      <c r="K192" s="311"/>
      <c r="L192" s="311"/>
      <c r="N192" s="313"/>
      <c r="O192" s="311"/>
      <c r="P192" s="313"/>
      <c r="Q192" s="311"/>
      <c r="R192" s="311"/>
      <c r="S192" s="311"/>
      <c r="T192" s="311"/>
      <c r="U192" s="311"/>
      <c r="V192" s="311"/>
      <c r="W192" s="311"/>
      <c r="X192" s="311"/>
      <c r="Y192" s="311"/>
      <c r="Z192" s="311"/>
      <c r="AA192" s="311"/>
      <c r="AB192" s="311"/>
      <c r="AC192" s="311"/>
      <c r="AD192" s="311"/>
      <c r="AE192" s="311"/>
      <c r="AF192" s="311"/>
      <c r="AG192" s="311"/>
      <c r="AH192" s="311"/>
      <c r="AI192" s="311"/>
      <c r="AJ192" s="311"/>
      <c r="AK192" s="311"/>
      <c r="AL192" s="311"/>
      <c r="AM192" s="311"/>
    </row>
    <row r="193" spans="1:39" ht="15.75" thickBot="1">
      <c r="A193" s="34">
        <f t="shared" si="6"/>
        <v>150</v>
      </c>
      <c r="B193" s="92"/>
      <c r="C193" s="33" t="s">
        <v>222</v>
      </c>
      <c r="D193" s="37" t="s">
        <v>223</v>
      </c>
      <c r="E193" s="37"/>
      <c r="F193" s="37"/>
      <c r="G193" s="37"/>
      <c r="H193" s="37"/>
      <c r="I193" s="37"/>
      <c r="J193" s="16">
        <v>658522</v>
      </c>
      <c r="K193" s="311"/>
      <c r="L193" s="311"/>
      <c r="M193" s="311"/>
      <c r="N193" s="313"/>
      <c r="O193" s="311"/>
      <c r="P193" s="313"/>
      <c r="Q193" s="311"/>
      <c r="R193" s="311"/>
      <c r="S193" s="311"/>
      <c r="T193" s="311"/>
      <c r="U193" s="311"/>
      <c r="V193" s="311"/>
      <c r="W193" s="311"/>
      <c r="X193" s="311"/>
      <c r="Y193" s="311"/>
      <c r="Z193" s="311"/>
      <c r="AA193" s="311"/>
      <c r="AB193" s="311"/>
      <c r="AC193" s="311"/>
      <c r="AD193" s="311"/>
      <c r="AE193" s="311"/>
      <c r="AF193" s="311"/>
      <c r="AG193" s="311"/>
      <c r="AH193" s="311"/>
      <c r="AI193" s="311"/>
      <c r="AJ193" s="311"/>
      <c r="AK193" s="311"/>
      <c r="AL193" s="311"/>
      <c r="AM193" s="311"/>
    </row>
    <row r="194" spans="1:39">
      <c r="A194" s="34">
        <f t="shared" si="6"/>
        <v>151</v>
      </c>
      <c r="B194" s="92"/>
      <c r="C194" s="96" t="s">
        <v>224</v>
      </c>
      <c r="D194" s="37"/>
      <c r="E194" s="33" t="str">
        <f>"(sum lines "&amp;A190&amp;"-"&amp;A193&amp;")"</f>
        <v>(sum lines 147-150)</v>
      </c>
      <c r="F194" s="33"/>
      <c r="G194" s="33"/>
      <c r="H194" s="33"/>
      <c r="I194" s="33"/>
      <c r="J194" s="1">
        <f>SUM(J190:J193)</f>
        <v>664618551</v>
      </c>
      <c r="K194" s="311"/>
      <c r="L194" s="311"/>
      <c r="M194" s="311"/>
      <c r="N194" s="95"/>
      <c r="O194" s="311"/>
      <c r="P194" s="95"/>
      <c r="Q194" s="311"/>
      <c r="R194" s="311"/>
      <c r="S194" s="311"/>
      <c r="T194" s="311"/>
      <c r="U194" s="311"/>
      <c r="V194" s="311"/>
      <c r="W194" s="311"/>
      <c r="X194" s="311"/>
      <c r="Y194" s="311"/>
      <c r="Z194" s="311"/>
      <c r="AA194" s="311"/>
      <c r="AB194" s="311"/>
      <c r="AC194" s="311"/>
      <c r="AD194" s="311"/>
      <c r="AE194" s="311"/>
      <c r="AF194" s="311"/>
      <c r="AG194" s="311"/>
      <c r="AH194" s="311"/>
      <c r="AI194" s="311"/>
      <c r="AJ194" s="311"/>
      <c r="AK194" s="311"/>
      <c r="AL194" s="311"/>
      <c r="AM194" s="311"/>
    </row>
    <row r="195" spans="1:39">
      <c r="A195" s="34">
        <f t="shared" si="6"/>
        <v>152</v>
      </c>
      <c r="B195" s="27"/>
      <c r="C195" s="33"/>
      <c r="D195" s="37"/>
      <c r="E195" s="37"/>
      <c r="F195" s="37"/>
      <c r="G195" s="37"/>
      <c r="H195" s="79"/>
      <c r="I195" s="37"/>
      <c r="J195" s="37"/>
      <c r="K195" s="311"/>
      <c r="L195" s="311"/>
      <c r="M195" s="311"/>
      <c r="N195" s="313"/>
      <c r="O195" s="311"/>
      <c r="P195" s="313"/>
      <c r="Q195" s="311"/>
      <c r="R195" s="311"/>
      <c r="S195" s="311"/>
      <c r="T195" s="311"/>
      <c r="U195" s="311"/>
      <c r="V195" s="311"/>
      <c r="W195" s="311"/>
      <c r="X195" s="311"/>
      <c r="Y195" s="311"/>
      <c r="Z195" s="311"/>
      <c r="AA195" s="311"/>
      <c r="AB195" s="311"/>
      <c r="AC195" s="311"/>
      <c r="AD195" s="311"/>
      <c r="AE195" s="311"/>
      <c r="AF195" s="311"/>
      <c r="AG195" s="311"/>
      <c r="AH195" s="311"/>
      <c r="AI195" s="311"/>
      <c r="AJ195" s="311"/>
      <c r="AK195" s="311"/>
      <c r="AL195" s="311"/>
      <c r="AM195" s="311"/>
    </row>
    <row r="196" spans="1:39" ht="15.75" thickBot="1">
      <c r="A196" s="34">
        <f t="shared" si="6"/>
        <v>153</v>
      </c>
      <c r="B196" s="27"/>
      <c r="C196" s="33"/>
      <c r="D196" s="49" t="s">
        <v>193</v>
      </c>
      <c r="E196" s="97" t="s">
        <v>194</v>
      </c>
      <c r="F196" s="45" t="s">
        <v>6</v>
      </c>
      <c r="G196" s="37"/>
      <c r="H196" s="45" t="s">
        <v>225</v>
      </c>
      <c r="I196" s="37"/>
      <c r="J196" s="45" t="s">
        <v>226</v>
      </c>
      <c r="K196" s="311"/>
      <c r="L196" s="311"/>
      <c r="M196" s="311"/>
      <c r="N196" s="313"/>
      <c r="O196" s="311"/>
      <c r="P196" s="313"/>
      <c r="Q196" s="311"/>
      <c r="R196" s="311"/>
      <c r="S196" s="311"/>
      <c r="T196" s="311"/>
      <c r="U196" s="311"/>
      <c r="V196" s="311"/>
      <c r="W196" s="311"/>
      <c r="X196" s="311"/>
      <c r="Y196" s="311"/>
      <c r="Z196" s="311"/>
      <c r="AA196" s="311"/>
      <c r="AB196" s="311"/>
      <c r="AC196" s="311"/>
      <c r="AD196" s="311"/>
      <c r="AE196" s="311"/>
      <c r="AF196" s="311"/>
      <c r="AG196" s="311"/>
      <c r="AH196" s="311"/>
      <c r="AI196" s="311"/>
      <c r="AJ196" s="311"/>
      <c r="AK196" s="311"/>
      <c r="AL196" s="311"/>
      <c r="AM196" s="311"/>
    </row>
    <row r="197" spans="1:39">
      <c r="A197" s="34">
        <f t="shared" si="6"/>
        <v>154</v>
      </c>
      <c r="B197" s="27"/>
      <c r="C197" s="50" t="s">
        <v>227</v>
      </c>
      <c r="D197" s="98" t="s">
        <v>228</v>
      </c>
      <c r="E197" s="37">
        <v>588392730</v>
      </c>
      <c r="F197" s="99">
        <v>0.43</v>
      </c>
      <c r="G197" s="100"/>
      <c r="H197" s="5">
        <f>IF(E197&gt;0,+J185/E197,0)</f>
        <v>5.2144786017325535E-2</v>
      </c>
      <c r="I197" s="27"/>
      <c r="J197" s="5">
        <f>H197*F197</f>
        <v>2.242225798744998E-2</v>
      </c>
      <c r="K197" s="311"/>
      <c r="L197" s="311"/>
      <c r="M197" s="311"/>
      <c r="N197" s="313"/>
      <c r="O197" s="311"/>
      <c r="P197" s="313"/>
      <c r="Q197" s="311"/>
      <c r="R197" s="311"/>
      <c r="S197" s="311"/>
      <c r="T197" s="311"/>
      <c r="U197" s="311"/>
      <c r="V197" s="311"/>
      <c r="W197" s="311"/>
      <c r="X197" s="311"/>
      <c r="Y197" s="311"/>
      <c r="Z197" s="311"/>
      <c r="AA197" s="311"/>
      <c r="AB197" s="311"/>
      <c r="AC197" s="311"/>
      <c r="AD197" s="311"/>
      <c r="AE197" s="311"/>
      <c r="AF197" s="311"/>
      <c r="AG197" s="311"/>
      <c r="AH197" s="311"/>
      <c r="AI197" s="311"/>
      <c r="AJ197" s="311"/>
      <c r="AK197" s="311"/>
      <c r="AL197" s="311"/>
      <c r="AM197" s="311"/>
    </row>
    <row r="198" spans="1:39">
      <c r="A198" s="34">
        <f t="shared" si="6"/>
        <v>155</v>
      </c>
      <c r="B198" s="27"/>
      <c r="C198" s="50" t="s">
        <v>229</v>
      </c>
      <c r="D198" s="44" t="s">
        <v>219</v>
      </c>
      <c r="E198" s="37"/>
      <c r="F198" s="99">
        <f>IF($E$200&gt;0,E198/$E$200,0)</f>
        <v>0</v>
      </c>
      <c r="G198" s="100"/>
      <c r="H198" s="5">
        <f>IF(E198&gt;0,J187/E198,0)</f>
        <v>0</v>
      </c>
      <c r="I198" s="27"/>
      <c r="J198" s="5">
        <f>H198*F198</f>
        <v>0</v>
      </c>
      <c r="K198" s="311"/>
      <c r="L198" s="311"/>
      <c r="M198" s="311"/>
      <c r="N198" s="311"/>
      <c r="O198" s="311"/>
      <c r="P198" s="313"/>
      <c r="Q198" s="311"/>
      <c r="R198" s="311"/>
      <c r="S198" s="311"/>
      <c r="T198" s="311"/>
      <c r="U198" s="311"/>
      <c r="V198" s="311"/>
      <c r="W198" s="311"/>
      <c r="X198" s="311"/>
      <c r="Y198" s="311"/>
      <c r="Z198" s="311"/>
      <c r="AA198" s="311"/>
      <c r="AB198" s="311"/>
      <c r="AC198" s="311"/>
      <c r="AD198" s="311"/>
      <c r="AE198" s="311"/>
      <c r="AF198" s="311"/>
      <c r="AG198" s="311"/>
      <c r="AH198" s="311"/>
      <c r="AI198" s="311"/>
      <c r="AJ198" s="311"/>
      <c r="AK198" s="311"/>
      <c r="AL198" s="311"/>
      <c r="AM198" s="311"/>
    </row>
    <row r="199" spans="1:39" ht="15.75" thickBot="1">
      <c r="A199" s="34">
        <f t="shared" si="6"/>
        <v>156</v>
      </c>
      <c r="B199" s="27"/>
      <c r="C199" s="96" t="s">
        <v>230</v>
      </c>
      <c r="D199" s="44" t="str">
        <f>"(see above line "&amp;A194&amp;")"</f>
        <v>(see above line 151)</v>
      </c>
      <c r="E199" s="49">
        <f>+J194</f>
        <v>664618551</v>
      </c>
      <c r="F199" s="99">
        <v>0.56999999999999995</v>
      </c>
      <c r="G199" s="27" t="s">
        <v>231</v>
      </c>
      <c r="H199" s="5">
        <v>0.108</v>
      </c>
      <c r="I199" s="27" t="s">
        <v>231</v>
      </c>
      <c r="J199" s="21">
        <f>H199*F199</f>
        <v>6.1559999999999997E-2</v>
      </c>
      <c r="K199" s="311"/>
      <c r="L199" s="311"/>
      <c r="M199" s="311"/>
      <c r="N199" s="311"/>
      <c r="O199" s="311"/>
      <c r="P199" s="311"/>
      <c r="Q199" s="311"/>
      <c r="R199" s="311"/>
      <c r="S199" s="311"/>
      <c r="T199" s="311"/>
      <c r="U199" s="311"/>
      <c r="V199" s="311"/>
      <c r="W199" s="311"/>
      <c r="X199" s="311"/>
      <c r="Y199" s="311"/>
      <c r="Z199" s="311"/>
      <c r="AA199" s="311"/>
      <c r="AB199" s="311"/>
      <c r="AC199" s="311"/>
      <c r="AD199" s="311"/>
      <c r="AE199" s="311"/>
      <c r="AF199" s="311"/>
      <c r="AG199" s="311"/>
      <c r="AH199" s="311"/>
      <c r="AI199" s="311"/>
      <c r="AJ199" s="311"/>
      <c r="AK199" s="311"/>
      <c r="AL199" s="311"/>
      <c r="AM199" s="311"/>
    </row>
    <row r="200" spans="1:39">
      <c r="A200" s="34">
        <f t="shared" si="6"/>
        <v>157</v>
      </c>
      <c r="B200" s="27"/>
      <c r="C200" s="33" t="str">
        <f>"Total  (sum lines "&amp;A197&amp;"-"&amp;A199&amp;")"</f>
        <v>Total  (sum lines 154-156)</v>
      </c>
      <c r="D200" s="27"/>
      <c r="E200" s="37">
        <f>E199+E198+E197</f>
        <v>1253011281</v>
      </c>
      <c r="F200" s="37" t="s">
        <v>52</v>
      </c>
      <c r="G200" s="37"/>
      <c r="H200" s="37"/>
      <c r="I200" s="37" t="s">
        <v>232</v>
      </c>
      <c r="J200" s="5">
        <f>SUM(J197:J199)</f>
        <v>8.3982257987449974E-2</v>
      </c>
      <c r="K200" s="311"/>
      <c r="L200" s="314"/>
      <c r="M200" s="311"/>
      <c r="N200" s="311"/>
      <c r="O200" s="311"/>
      <c r="P200" s="311"/>
      <c r="Q200" s="311"/>
      <c r="R200" s="311"/>
      <c r="S200" s="311"/>
      <c r="T200" s="311"/>
      <c r="U200" s="311"/>
      <c r="V200" s="311"/>
      <c r="W200" s="311"/>
      <c r="X200" s="311"/>
      <c r="Y200" s="311"/>
      <c r="Z200" s="311"/>
      <c r="AA200" s="311"/>
      <c r="AB200" s="311"/>
      <c r="AC200" s="311"/>
      <c r="AD200" s="311"/>
      <c r="AE200" s="311"/>
      <c r="AF200" s="311"/>
      <c r="AG200" s="311"/>
      <c r="AH200" s="311"/>
      <c r="AI200" s="311"/>
      <c r="AJ200" s="311"/>
      <c r="AK200" s="311"/>
      <c r="AL200" s="311"/>
      <c r="AM200" s="311"/>
    </row>
    <row r="201" spans="1:39">
      <c r="A201" s="34"/>
      <c r="B201" s="27"/>
      <c r="C201" s="33"/>
      <c r="D201" s="27"/>
      <c r="E201" s="37"/>
      <c r="F201" s="37"/>
      <c r="G201" s="37"/>
      <c r="H201" s="37"/>
      <c r="I201" s="71" t="s">
        <v>44</v>
      </c>
      <c r="J201" s="22">
        <f>J1</f>
        <v>46173</v>
      </c>
      <c r="K201" s="311"/>
      <c r="L201" s="311"/>
      <c r="M201" s="311"/>
      <c r="N201" s="311"/>
      <c r="O201" s="311"/>
      <c r="P201" s="311"/>
      <c r="Q201" s="311"/>
      <c r="R201" s="311"/>
      <c r="S201" s="311"/>
      <c r="T201" s="311"/>
      <c r="U201" s="311"/>
      <c r="V201" s="311"/>
      <c r="W201" s="311"/>
      <c r="X201" s="311"/>
      <c r="Y201" s="311"/>
      <c r="Z201" s="311"/>
      <c r="AA201" s="311"/>
      <c r="AB201" s="311"/>
      <c r="AC201" s="311"/>
      <c r="AD201" s="311"/>
      <c r="AE201" s="311"/>
      <c r="AF201" s="311"/>
      <c r="AG201" s="311"/>
      <c r="AH201" s="311"/>
      <c r="AI201" s="311"/>
      <c r="AJ201" s="311"/>
      <c r="AK201" s="311"/>
      <c r="AL201" s="311"/>
      <c r="AM201" s="311"/>
    </row>
    <row r="202" spans="1:39">
      <c r="A202" s="27"/>
      <c r="B202" s="27"/>
      <c r="C202" s="27"/>
      <c r="D202" s="27"/>
      <c r="E202" s="27"/>
      <c r="F202" s="37"/>
      <c r="G202" s="37"/>
      <c r="I202" s="29" t="str">
        <f>$I$2</f>
        <v>Service Year</v>
      </c>
      <c r="J202" s="33">
        <f>$J$2</f>
        <v>2025</v>
      </c>
      <c r="K202" s="311"/>
      <c r="L202" s="311"/>
      <c r="M202" s="311"/>
      <c r="N202" s="311"/>
      <c r="O202" s="311"/>
      <c r="P202" s="311"/>
      <c r="Q202" s="311"/>
      <c r="R202" s="311"/>
      <c r="S202" s="311"/>
      <c r="T202" s="311"/>
      <c r="U202" s="311"/>
      <c r="V202" s="311"/>
      <c r="W202" s="311"/>
      <c r="X202" s="311"/>
      <c r="Y202" s="311"/>
      <c r="Z202" s="311"/>
      <c r="AA202" s="311"/>
      <c r="AB202" s="311"/>
      <c r="AC202" s="311"/>
      <c r="AD202" s="311"/>
      <c r="AE202" s="311"/>
      <c r="AF202" s="311"/>
      <c r="AG202" s="311"/>
      <c r="AH202" s="311"/>
      <c r="AI202" s="311"/>
      <c r="AJ202" s="311"/>
      <c r="AK202" s="311"/>
      <c r="AL202" s="311"/>
      <c r="AM202" s="311"/>
    </row>
    <row r="203" spans="1:39">
      <c r="A203" s="34"/>
      <c r="B203" s="27"/>
      <c r="C203" s="33"/>
      <c r="D203" s="33"/>
      <c r="E203" s="37"/>
      <c r="F203" s="37"/>
      <c r="G203" s="37"/>
      <c r="H203" s="37"/>
      <c r="I203" s="33"/>
      <c r="J203" s="37"/>
      <c r="K203" s="311"/>
      <c r="L203" s="311"/>
      <c r="M203" s="311"/>
      <c r="N203" s="311"/>
      <c r="O203" s="311"/>
      <c r="P203" s="311"/>
      <c r="Q203" s="311"/>
      <c r="R203" s="311"/>
      <c r="S203" s="311"/>
      <c r="T203" s="311"/>
      <c r="U203" s="311"/>
      <c r="V203" s="311"/>
      <c r="W203" s="311"/>
      <c r="X203" s="311"/>
      <c r="Y203" s="311"/>
      <c r="Z203" s="311"/>
      <c r="AA203" s="311"/>
      <c r="AB203" s="311"/>
      <c r="AC203" s="311"/>
      <c r="AD203" s="311"/>
      <c r="AE203" s="311"/>
      <c r="AF203" s="311"/>
      <c r="AG203" s="311"/>
      <c r="AH203" s="311"/>
      <c r="AI203" s="311"/>
      <c r="AJ203" s="311"/>
      <c r="AK203" s="311"/>
      <c r="AL203" s="311"/>
      <c r="AM203" s="311"/>
    </row>
    <row r="204" spans="1:39" ht="15.75">
      <c r="A204" s="326" t="s">
        <v>46</v>
      </c>
      <c r="B204" s="326"/>
      <c r="C204" s="326"/>
      <c r="D204" s="326"/>
      <c r="E204" s="326"/>
      <c r="F204" s="326"/>
      <c r="G204" s="326"/>
      <c r="H204" s="326"/>
      <c r="I204" s="326"/>
      <c r="J204" s="326"/>
      <c r="K204" s="311"/>
      <c r="L204" s="311"/>
      <c r="M204" s="311"/>
      <c r="N204" s="311"/>
      <c r="O204" s="311"/>
      <c r="P204" s="311"/>
      <c r="Q204" s="311"/>
      <c r="R204" s="311"/>
      <c r="S204" s="311"/>
      <c r="T204" s="311"/>
      <c r="U204" s="311"/>
      <c r="V204" s="311"/>
      <c r="W204" s="311"/>
      <c r="X204" s="311"/>
      <c r="Y204" s="311"/>
      <c r="Z204" s="311"/>
      <c r="AA204" s="311"/>
      <c r="AB204" s="311"/>
      <c r="AC204" s="311"/>
      <c r="AD204" s="311"/>
      <c r="AE204" s="311"/>
      <c r="AF204" s="311"/>
      <c r="AG204" s="311"/>
      <c r="AH204" s="311"/>
      <c r="AI204" s="311"/>
      <c r="AJ204" s="311"/>
      <c r="AK204" s="311"/>
      <c r="AL204" s="311"/>
      <c r="AM204" s="311"/>
    </row>
    <row r="205" spans="1:39" ht="15.75">
      <c r="A205" s="327" t="s">
        <v>47</v>
      </c>
      <c r="B205" s="327"/>
      <c r="C205" s="327"/>
      <c r="D205" s="327"/>
      <c r="E205" s="327"/>
      <c r="F205" s="327"/>
      <c r="G205" s="327"/>
      <c r="H205" s="327"/>
      <c r="I205" s="327"/>
      <c r="J205" s="327"/>
      <c r="K205" s="311"/>
      <c r="L205" s="311"/>
      <c r="M205" s="311"/>
      <c r="N205" s="311"/>
      <c r="O205" s="311"/>
      <c r="P205" s="311"/>
      <c r="Q205" s="311"/>
      <c r="R205" s="311"/>
      <c r="S205" s="311"/>
      <c r="T205" s="311"/>
      <c r="U205" s="311"/>
      <c r="V205" s="311"/>
      <c r="W205" s="311"/>
      <c r="X205" s="311"/>
      <c r="Y205" s="311"/>
      <c r="Z205" s="311"/>
      <c r="AA205" s="311"/>
      <c r="AB205" s="311"/>
      <c r="AC205" s="311"/>
      <c r="AD205" s="311"/>
      <c r="AE205" s="311"/>
      <c r="AF205" s="311"/>
      <c r="AG205" s="311"/>
      <c r="AH205" s="311"/>
      <c r="AI205" s="311"/>
      <c r="AJ205" s="311"/>
      <c r="AK205" s="311"/>
      <c r="AL205" s="311"/>
      <c r="AM205" s="311"/>
    </row>
    <row r="206" spans="1:39">
      <c r="A206" s="27"/>
      <c r="B206" s="27"/>
      <c r="C206" s="33"/>
      <c r="D206" s="33"/>
      <c r="F206" s="33"/>
      <c r="G206" s="33"/>
      <c r="H206" s="33"/>
      <c r="I206" s="33"/>
      <c r="J206" s="33"/>
      <c r="K206" s="311"/>
      <c r="L206" s="311"/>
      <c r="M206" s="311"/>
      <c r="N206" s="311"/>
      <c r="O206" s="311"/>
      <c r="P206" s="311"/>
      <c r="Q206" s="311"/>
      <c r="R206" s="311"/>
      <c r="S206" s="311"/>
      <c r="T206" s="311"/>
      <c r="U206" s="311"/>
      <c r="V206" s="311"/>
      <c r="W206" s="311"/>
      <c r="X206" s="311"/>
      <c r="Y206" s="311"/>
      <c r="Z206" s="311"/>
      <c r="AA206" s="311"/>
      <c r="AB206" s="311"/>
      <c r="AC206" s="311"/>
      <c r="AD206" s="311"/>
      <c r="AE206" s="311"/>
      <c r="AF206" s="311"/>
      <c r="AG206" s="311"/>
      <c r="AH206" s="311"/>
      <c r="AI206" s="311"/>
      <c r="AJ206" s="311"/>
      <c r="AK206" s="311"/>
      <c r="AL206" s="311"/>
      <c r="AM206" s="311"/>
    </row>
    <row r="207" spans="1:39" ht="15.75">
      <c r="A207" s="325" t="s">
        <v>48</v>
      </c>
      <c r="B207" s="325"/>
      <c r="C207" s="325"/>
      <c r="D207" s="325"/>
      <c r="E207" s="325"/>
      <c r="F207" s="325"/>
      <c r="G207" s="325"/>
      <c r="H207" s="325"/>
      <c r="I207" s="325"/>
      <c r="J207" s="325"/>
      <c r="K207" s="311"/>
      <c r="L207" s="311"/>
      <c r="M207" s="311"/>
      <c r="N207" s="311"/>
      <c r="O207" s="311"/>
      <c r="P207" s="311"/>
      <c r="Q207" s="311"/>
      <c r="R207" s="311"/>
      <c r="S207" s="311"/>
      <c r="T207" s="311"/>
      <c r="U207" s="311"/>
      <c r="V207" s="311"/>
      <c r="W207" s="311"/>
      <c r="X207" s="311"/>
      <c r="Y207" s="311"/>
      <c r="Z207" s="311"/>
      <c r="AA207" s="311"/>
      <c r="AB207" s="311"/>
      <c r="AC207" s="311"/>
      <c r="AD207" s="311"/>
      <c r="AE207" s="311"/>
      <c r="AF207" s="311"/>
      <c r="AG207" s="311"/>
      <c r="AH207" s="311"/>
      <c r="AI207" s="311"/>
      <c r="AJ207" s="311"/>
      <c r="AK207" s="311"/>
      <c r="AL207" s="311"/>
      <c r="AM207" s="311"/>
    </row>
    <row r="208" spans="1:39">
      <c r="A208" s="34"/>
      <c r="B208" s="50"/>
      <c r="C208" s="101"/>
      <c r="D208" s="34"/>
      <c r="E208" s="37"/>
      <c r="F208" s="37"/>
      <c r="G208" s="37"/>
      <c r="H208" s="37"/>
      <c r="I208" s="50"/>
      <c r="J208" s="102"/>
      <c r="K208" s="311"/>
      <c r="L208" s="311"/>
      <c r="M208" s="311"/>
      <c r="N208" s="311"/>
      <c r="O208" s="311"/>
      <c r="P208" s="311"/>
      <c r="Q208" s="311"/>
      <c r="R208" s="311"/>
      <c r="S208" s="311"/>
      <c r="T208" s="311"/>
      <c r="U208" s="311"/>
      <c r="V208" s="311"/>
      <c r="W208" s="311"/>
      <c r="X208" s="311"/>
      <c r="Y208" s="311"/>
      <c r="Z208" s="311"/>
      <c r="AA208" s="311"/>
      <c r="AB208" s="311"/>
      <c r="AC208" s="311"/>
      <c r="AD208" s="311"/>
      <c r="AE208" s="311"/>
      <c r="AF208" s="311"/>
      <c r="AG208" s="311"/>
      <c r="AH208" s="311"/>
      <c r="AI208" s="311"/>
      <c r="AJ208" s="311"/>
      <c r="AK208" s="311"/>
      <c r="AL208" s="311"/>
      <c r="AM208" s="311"/>
    </row>
    <row r="209" spans="1:39">
      <c r="A209" s="27"/>
      <c r="B209" s="50"/>
      <c r="C209" s="50"/>
      <c r="D209" s="34"/>
      <c r="E209" s="37"/>
      <c r="F209" s="37"/>
      <c r="G209" s="37"/>
      <c r="H209" s="37"/>
      <c r="I209" s="50"/>
      <c r="J209" s="37"/>
      <c r="K209" s="311"/>
      <c r="L209" s="311"/>
      <c r="M209" s="311"/>
      <c r="N209" s="311"/>
      <c r="O209" s="311"/>
      <c r="P209" s="311"/>
      <c r="Q209" s="311"/>
      <c r="R209" s="311"/>
      <c r="S209" s="311"/>
      <c r="T209" s="311"/>
      <c r="U209" s="311"/>
      <c r="V209" s="311"/>
      <c r="W209" s="311"/>
      <c r="X209" s="311"/>
      <c r="Y209" s="311"/>
      <c r="Z209" s="311"/>
      <c r="AA209" s="311"/>
      <c r="AB209" s="311"/>
      <c r="AC209" s="311"/>
      <c r="AD209" s="311"/>
      <c r="AE209" s="311"/>
      <c r="AF209" s="311"/>
      <c r="AG209" s="311"/>
      <c r="AH209" s="311"/>
      <c r="AI209" s="311"/>
      <c r="AJ209" s="311"/>
      <c r="AK209" s="311"/>
      <c r="AL209" s="311"/>
      <c r="AM209" s="311"/>
    </row>
    <row r="210" spans="1:39">
      <c r="A210" s="34"/>
      <c r="B210" s="50"/>
      <c r="C210" s="50"/>
      <c r="D210" s="34"/>
      <c r="E210" s="37"/>
      <c r="F210" s="37"/>
      <c r="G210" s="37"/>
      <c r="H210" s="37"/>
      <c r="I210" s="50"/>
      <c r="J210" s="37"/>
      <c r="K210" s="311"/>
      <c r="L210" s="311"/>
      <c r="M210" s="311"/>
      <c r="N210" s="311"/>
      <c r="O210" s="311"/>
      <c r="P210" s="311"/>
      <c r="Q210" s="311"/>
      <c r="R210" s="311"/>
      <c r="S210" s="311"/>
      <c r="T210" s="311"/>
      <c r="U210" s="311"/>
      <c r="V210" s="311"/>
      <c r="W210" s="311"/>
      <c r="X210" s="311"/>
      <c r="Y210" s="311"/>
      <c r="Z210" s="311"/>
      <c r="AA210" s="311"/>
      <c r="AB210" s="311"/>
      <c r="AC210" s="311"/>
      <c r="AD210" s="311"/>
      <c r="AE210" s="311"/>
      <c r="AF210" s="311"/>
      <c r="AG210" s="311"/>
      <c r="AH210" s="311"/>
      <c r="AI210" s="311"/>
      <c r="AJ210" s="311"/>
      <c r="AK210" s="311"/>
      <c r="AL210" s="311"/>
      <c r="AM210" s="311"/>
    </row>
    <row r="211" spans="1:39">
      <c r="A211" s="34"/>
      <c r="B211" s="50"/>
      <c r="C211" s="50"/>
      <c r="D211" s="34"/>
      <c r="E211" s="37"/>
      <c r="F211" s="37"/>
      <c r="G211" s="37"/>
      <c r="H211" s="37"/>
      <c r="I211" s="50"/>
      <c r="J211" s="37"/>
      <c r="K211" s="311"/>
      <c r="L211" s="311"/>
      <c r="M211" s="311"/>
      <c r="N211" s="311"/>
      <c r="O211" s="311"/>
      <c r="P211" s="311"/>
      <c r="Q211" s="311"/>
      <c r="R211" s="311"/>
      <c r="S211" s="311"/>
      <c r="T211" s="311"/>
      <c r="U211" s="311"/>
      <c r="V211" s="311"/>
      <c r="W211" s="311"/>
      <c r="X211" s="311"/>
      <c r="Y211" s="311"/>
      <c r="Z211" s="311"/>
      <c r="AA211" s="311"/>
      <c r="AB211" s="311"/>
      <c r="AC211" s="311"/>
      <c r="AD211" s="311"/>
      <c r="AE211" s="311"/>
      <c r="AF211" s="311"/>
      <c r="AG211" s="311"/>
      <c r="AH211" s="311"/>
      <c r="AI211" s="311"/>
      <c r="AJ211" s="311"/>
      <c r="AK211" s="311"/>
      <c r="AL211" s="311"/>
      <c r="AM211" s="311"/>
    </row>
    <row r="212" spans="1:39">
      <c r="A212" s="34" t="s">
        <v>233</v>
      </c>
      <c r="B212" s="50"/>
      <c r="C212" s="50"/>
      <c r="D212" s="50"/>
      <c r="E212" s="37"/>
      <c r="F212" s="37"/>
      <c r="G212" s="37"/>
      <c r="H212" s="37"/>
      <c r="I212" s="50"/>
      <c r="J212" s="37"/>
      <c r="K212" s="311"/>
      <c r="L212" s="311"/>
      <c r="M212" s="311"/>
      <c r="N212" s="311"/>
      <c r="O212" s="311"/>
      <c r="P212" s="311"/>
      <c r="Q212" s="311"/>
      <c r="R212" s="311"/>
      <c r="S212" s="311"/>
      <c r="T212" s="311"/>
      <c r="U212" s="311"/>
      <c r="V212" s="311"/>
      <c r="W212" s="311"/>
      <c r="X212" s="311"/>
      <c r="Y212" s="311"/>
      <c r="Z212" s="311"/>
      <c r="AA212" s="311"/>
      <c r="AB212" s="311"/>
      <c r="AC212" s="311"/>
      <c r="AD212" s="311"/>
      <c r="AE212" s="311"/>
      <c r="AF212" s="311"/>
      <c r="AG212" s="311"/>
      <c r="AH212" s="311"/>
      <c r="AI212" s="311"/>
      <c r="AJ212" s="311"/>
      <c r="AK212" s="311"/>
      <c r="AL212" s="311"/>
      <c r="AM212" s="311"/>
    </row>
    <row r="213" spans="1:39" ht="15.75" thickBot="1">
      <c r="A213" s="45" t="s">
        <v>234</v>
      </c>
      <c r="B213" s="50"/>
      <c r="C213" s="50"/>
      <c r="D213" s="50"/>
      <c r="E213" s="37"/>
      <c r="F213" s="37"/>
      <c r="G213" s="37"/>
      <c r="H213" s="37"/>
      <c r="I213" s="50"/>
      <c r="J213" s="37"/>
      <c r="K213" s="311"/>
      <c r="L213" s="311"/>
      <c r="M213" s="311"/>
      <c r="N213" s="311"/>
      <c r="O213" s="311"/>
      <c r="P213" s="311"/>
      <c r="Q213" s="311"/>
      <c r="R213" s="311"/>
      <c r="S213" s="311"/>
      <c r="T213" s="311"/>
      <c r="U213" s="311"/>
      <c r="V213" s="311"/>
      <c r="W213" s="311"/>
      <c r="X213" s="311"/>
      <c r="Y213" s="311"/>
      <c r="Z213" s="311"/>
      <c r="AA213" s="311"/>
      <c r="AB213" s="311"/>
      <c r="AC213" s="311"/>
      <c r="AD213" s="311"/>
      <c r="AE213" s="311"/>
      <c r="AF213" s="311"/>
      <c r="AG213" s="311"/>
      <c r="AH213" s="311"/>
      <c r="AI213" s="311"/>
      <c r="AJ213" s="311"/>
      <c r="AK213" s="311"/>
      <c r="AL213" s="311"/>
      <c r="AM213" s="311"/>
    </row>
    <row r="214" spans="1:39">
      <c r="A214" s="34"/>
      <c r="B214" s="50"/>
      <c r="C214" s="50"/>
      <c r="D214" s="50"/>
      <c r="E214" s="37"/>
      <c r="F214" s="37"/>
      <c r="G214" s="37"/>
      <c r="H214" s="37"/>
      <c r="I214" s="50"/>
      <c r="J214" s="37"/>
      <c r="K214" s="311"/>
      <c r="L214" s="311"/>
      <c r="M214" s="311"/>
      <c r="N214" s="311"/>
      <c r="O214" s="311"/>
      <c r="P214" s="311"/>
      <c r="Q214" s="311"/>
      <c r="R214" s="311"/>
      <c r="S214" s="311"/>
      <c r="T214" s="311"/>
      <c r="U214" s="311"/>
      <c r="V214" s="311"/>
      <c r="W214" s="311"/>
      <c r="X214" s="311"/>
      <c r="Y214" s="311"/>
      <c r="Z214" s="311"/>
      <c r="AA214" s="311"/>
      <c r="AB214" s="311"/>
      <c r="AC214" s="311"/>
      <c r="AD214" s="311"/>
      <c r="AE214" s="311"/>
      <c r="AF214" s="311"/>
      <c r="AG214" s="311"/>
      <c r="AH214" s="311"/>
      <c r="AI214" s="311"/>
      <c r="AJ214" s="311"/>
      <c r="AK214" s="311"/>
      <c r="AL214" s="311"/>
      <c r="AM214" s="311"/>
    </row>
    <row r="215" spans="1:39">
      <c r="A215" s="27"/>
      <c r="B215" s="27"/>
      <c r="C215" s="27"/>
      <c r="D215" s="27"/>
      <c r="E215" s="27"/>
      <c r="F215" s="27"/>
      <c r="G215" s="27"/>
      <c r="H215" s="27"/>
      <c r="I215" s="27"/>
      <c r="J215" s="50"/>
      <c r="K215" s="311"/>
      <c r="L215" s="311"/>
      <c r="M215" s="311"/>
      <c r="N215" s="311"/>
      <c r="O215" s="311"/>
      <c r="P215" s="311"/>
      <c r="Q215" s="311"/>
      <c r="R215" s="311"/>
      <c r="S215" s="311"/>
      <c r="T215" s="311"/>
      <c r="U215" s="311"/>
      <c r="V215" s="311"/>
      <c r="W215" s="311"/>
      <c r="X215" s="311"/>
      <c r="Y215" s="311"/>
      <c r="Z215" s="311"/>
      <c r="AA215" s="311"/>
      <c r="AB215" s="311"/>
      <c r="AC215" s="311"/>
      <c r="AD215" s="311"/>
      <c r="AE215" s="311"/>
      <c r="AF215" s="311"/>
      <c r="AG215" s="311"/>
      <c r="AH215" s="311"/>
      <c r="AI215" s="311"/>
      <c r="AJ215" s="311"/>
      <c r="AK215" s="311"/>
      <c r="AL215" s="311"/>
      <c r="AM215" s="311"/>
    </row>
    <row r="216" spans="1:39">
      <c r="A216" s="34" t="s">
        <v>235</v>
      </c>
      <c r="B216" s="50"/>
      <c r="C216" s="50" t="s">
        <v>236</v>
      </c>
      <c r="D216" s="50"/>
      <c r="E216" s="50"/>
      <c r="F216" s="50"/>
      <c r="G216" s="50"/>
      <c r="H216" s="50"/>
      <c r="I216" s="50"/>
      <c r="J216" s="50"/>
      <c r="K216" s="311"/>
      <c r="L216" s="311"/>
      <c r="M216" s="311"/>
      <c r="N216" s="311"/>
      <c r="O216" s="311"/>
      <c r="P216" s="311"/>
      <c r="Q216" s="311"/>
      <c r="R216" s="311"/>
      <c r="S216" s="311"/>
      <c r="T216" s="311"/>
      <c r="U216" s="311"/>
      <c r="V216" s="311"/>
      <c r="W216" s="311"/>
      <c r="X216" s="311"/>
      <c r="Y216" s="311"/>
      <c r="Z216" s="311"/>
      <c r="AA216" s="311"/>
      <c r="AB216" s="311"/>
      <c r="AC216" s="311"/>
      <c r="AD216" s="311"/>
      <c r="AE216" s="311"/>
      <c r="AF216" s="311"/>
      <c r="AG216" s="311"/>
      <c r="AH216" s="311"/>
      <c r="AI216" s="311"/>
      <c r="AJ216" s="311"/>
      <c r="AK216" s="311"/>
      <c r="AL216" s="311"/>
      <c r="AM216" s="311"/>
    </row>
    <row r="217" spans="1:39">
      <c r="A217" s="34"/>
      <c r="B217" s="50"/>
      <c r="C217" s="50" t="s">
        <v>237</v>
      </c>
      <c r="D217" s="50"/>
      <c r="E217" s="50"/>
      <c r="F217" s="50"/>
      <c r="G217" s="50"/>
      <c r="H217" s="50"/>
      <c r="I217" s="50"/>
      <c r="J217" s="50"/>
      <c r="K217" s="311"/>
      <c r="L217" s="311"/>
      <c r="M217" s="311"/>
      <c r="N217" s="311"/>
      <c r="O217" s="311"/>
      <c r="P217" s="311"/>
      <c r="Q217" s="311"/>
      <c r="R217" s="311"/>
      <c r="S217" s="311"/>
      <c r="T217" s="311"/>
      <c r="U217" s="311"/>
      <c r="V217" s="311"/>
      <c r="W217" s="311"/>
      <c r="X217" s="311"/>
      <c r="Y217" s="311"/>
      <c r="Z217" s="311"/>
      <c r="AA217" s="311"/>
      <c r="AB217" s="311"/>
      <c r="AC217" s="311"/>
      <c r="AD217" s="311"/>
      <c r="AE217" s="311"/>
      <c r="AF217" s="311"/>
      <c r="AG217" s="311"/>
      <c r="AH217" s="311"/>
      <c r="AI217" s="311"/>
      <c r="AJ217" s="311"/>
      <c r="AK217" s="311"/>
      <c r="AL217" s="311"/>
      <c r="AM217" s="311"/>
    </row>
    <row r="218" spans="1:39">
      <c r="A218" s="34"/>
      <c r="B218" s="50"/>
      <c r="C218" s="50" t="s">
        <v>238</v>
      </c>
      <c r="D218" s="50"/>
      <c r="E218" s="50"/>
      <c r="F218" s="50"/>
      <c r="G218" s="50"/>
      <c r="H218" s="50"/>
      <c r="I218" s="50"/>
      <c r="J218" s="50"/>
      <c r="K218" s="311"/>
      <c r="L218" s="311"/>
      <c r="M218" s="311"/>
      <c r="N218" s="311"/>
      <c r="O218" s="311"/>
      <c r="P218" s="311"/>
      <c r="Q218" s="311"/>
      <c r="R218" s="311"/>
      <c r="S218" s="311"/>
      <c r="T218" s="311"/>
      <c r="U218" s="311"/>
      <c r="V218" s="311"/>
      <c r="W218" s="311"/>
      <c r="X218" s="311"/>
      <c r="Y218" s="311"/>
      <c r="Z218" s="311"/>
      <c r="AA218" s="311"/>
      <c r="AB218" s="311"/>
      <c r="AC218" s="311"/>
      <c r="AD218" s="311"/>
      <c r="AE218" s="311"/>
      <c r="AF218" s="311"/>
      <c r="AG218" s="311"/>
      <c r="AH218" s="311"/>
      <c r="AI218" s="311"/>
      <c r="AJ218" s="311"/>
      <c r="AK218" s="311"/>
      <c r="AL218" s="311"/>
      <c r="AM218" s="311"/>
    </row>
    <row r="219" spans="1:39">
      <c r="A219" s="34" t="s">
        <v>239</v>
      </c>
      <c r="B219" s="50"/>
      <c r="C219" s="50" t="s">
        <v>240</v>
      </c>
      <c r="D219" s="50"/>
      <c r="E219" s="50"/>
      <c r="F219" s="50"/>
      <c r="G219" s="50"/>
      <c r="H219" s="50"/>
      <c r="I219" s="50"/>
      <c r="J219" s="50"/>
      <c r="K219" s="311"/>
      <c r="L219" s="311"/>
      <c r="M219" s="311"/>
      <c r="N219" s="311"/>
      <c r="O219" s="311"/>
      <c r="P219" s="311"/>
      <c r="Q219" s="311"/>
      <c r="R219" s="311"/>
      <c r="S219" s="311"/>
      <c r="T219" s="311"/>
      <c r="U219" s="311"/>
      <c r="V219" s="311"/>
      <c r="W219" s="311"/>
      <c r="X219" s="311"/>
      <c r="Y219" s="311"/>
      <c r="Z219" s="311"/>
      <c r="AA219" s="311"/>
      <c r="AB219" s="311"/>
      <c r="AC219" s="311"/>
      <c r="AD219" s="311"/>
      <c r="AE219" s="311"/>
      <c r="AF219" s="311"/>
      <c r="AG219" s="311"/>
      <c r="AH219" s="311"/>
      <c r="AI219" s="311"/>
      <c r="AJ219" s="311"/>
      <c r="AK219" s="311"/>
      <c r="AL219" s="311"/>
      <c r="AM219" s="311"/>
    </row>
    <row r="220" spans="1:39">
      <c r="A220" s="34" t="s">
        <v>241</v>
      </c>
      <c r="B220" s="50"/>
      <c r="C220" s="50" t="s">
        <v>242</v>
      </c>
      <c r="D220" s="50"/>
      <c r="E220" s="50"/>
      <c r="F220" s="50"/>
      <c r="G220" s="50"/>
      <c r="H220" s="50"/>
      <c r="I220" s="50"/>
      <c r="J220" s="50"/>
      <c r="K220" s="311"/>
      <c r="L220" s="311"/>
      <c r="M220" s="311"/>
      <c r="N220" s="311"/>
      <c r="O220" s="311"/>
      <c r="P220" s="311"/>
      <c r="Q220" s="311"/>
      <c r="R220" s="311"/>
      <c r="S220" s="311"/>
      <c r="T220" s="311"/>
      <c r="U220" s="311"/>
      <c r="V220" s="311"/>
      <c r="W220" s="311"/>
      <c r="X220" s="311"/>
      <c r="Y220" s="311"/>
      <c r="Z220" s="311"/>
      <c r="AA220" s="311"/>
      <c r="AB220" s="311"/>
      <c r="AC220" s="311"/>
      <c r="AD220" s="311"/>
      <c r="AE220" s="311"/>
      <c r="AF220" s="311"/>
      <c r="AG220" s="311"/>
      <c r="AH220" s="311"/>
      <c r="AI220" s="311"/>
      <c r="AJ220" s="311"/>
      <c r="AK220" s="311"/>
      <c r="AL220" s="311"/>
      <c r="AM220" s="311"/>
    </row>
    <row r="221" spans="1:39">
      <c r="A221" s="34" t="s">
        <v>243</v>
      </c>
      <c r="B221" s="50"/>
      <c r="C221" s="50" t="s">
        <v>244</v>
      </c>
      <c r="D221" s="50"/>
      <c r="E221" s="50"/>
      <c r="F221" s="50"/>
      <c r="G221" s="50"/>
      <c r="H221" s="50"/>
      <c r="I221" s="50"/>
      <c r="J221" s="50"/>
      <c r="K221" s="311"/>
      <c r="L221" s="311"/>
      <c r="M221" s="311"/>
      <c r="N221" s="311"/>
      <c r="O221" s="311"/>
      <c r="P221" s="311"/>
      <c r="Q221" s="311"/>
      <c r="R221" s="311"/>
      <c r="S221" s="311"/>
      <c r="T221" s="311"/>
      <c r="U221" s="311"/>
      <c r="V221" s="311"/>
      <c r="W221" s="311"/>
      <c r="X221" s="311"/>
      <c r="Y221" s="311"/>
      <c r="Z221" s="311"/>
      <c r="AA221" s="311"/>
      <c r="AB221" s="311"/>
      <c r="AC221" s="311"/>
      <c r="AD221" s="311"/>
      <c r="AE221" s="311"/>
      <c r="AF221" s="311"/>
      <c r="AG221" s="311"/>
      <c r="AH221" s="311"/>
      <c r="AI221" s="311"/>
      <c r="AJ221" s="311"/>
      <c r="AK221" s="311"/>
      <c r="AL221" s="311"/>
      <c r="AM221" s="311"/>
    </row>
    <row r="222" spans="1:39">
      <c r="A222" s="34" t="s">
        <v>245</v>
      </c>
      <c r="B222" s="50"/>
      <c r="C222" s="50" t="s">
        <v>246</v>
      </c>
      <c r="D222" s="50"/>
      <c r="E222" s="50"/>
      <c r="F222" s="50"/>
      <c r="G222" s="50"/>
      <c r="H222" s="50"/>
      <c r="I222" s="50"/>
      <c r="J222" s="23"/>
      <c r="K222" s="311"/>
      <c r="L222" s="311"/>
      <c r="M222" s="311"/>
      <c r="N222" s="311"/>
      <c r="O222" s="311"/>
      <c r="P222" s="311"/>
      <c r="Q222" s="311"/>
      <c r="R222" s="311"/>
      <c r="S222" s="311"/>
      <c r="T222" s="311"/>
      <c r="U222" s="311"/>
      <c r="V222" s="311"/>
      <c r="W222" s="311"/>
      <c r="X222" s="311"/>
      <c r="Y222" s="311"/>
      <c r="Z222" s="311"/>
      <c r="AA222" s="311"/>
      <c r="AB222" s="311"/>
      <c r="AC222" s="311"/>
      <c r="AD222" s="311"/>
      <c r="AE222" s="311"/>
      <c r="AF222" s="311"/>
      <c r="AG222" s="311"/>
      <c r="AH222" s="311"/>
      <c r="AI222" s="311"/>
      <c r="AJ222" s="311"/>
      <c r="AK222" s="311"/>
      <c r="AL222" s="311"/>
      <c r="AM222" s="311"/>
    </row>
    <row r="223" spans="1:39">
      <c r="A223" s="34"/>
      <c r="B223" s="50"/>
      <c r="C223" s="27" t="s">
        <v>247</v>
      </c>
      <c r="D223" s="50"/>
      <c r="E223" s="50"/>
      <c r="F223" s="50"/>
      <c r="G223" s="50"/>
      <c r="H223" s="50"/>
      <c r="I223" s="50"/>
      <c r="J223" s="23"/>
      <c r="K223" s="311"/>
      <c r="L223" s="311"/>
      <c r="M223" s="311"/>
      <c r="N223" s="311"/>
      <c r="O223" s="311"/>
      <c r="P223" s="311"/>
      <c r="Q223" s="311"/>
      <c r="R223" s="311"/>
      <c r="S223" s="311"/>
      <c r="T223" s="311"/>
      <c r="U223" s="311"/>
      <c r="V223" s="311"/>
      <c r="W223" s="311"/>
      <c r="X223" s="311"/>
      <c r="Y223" s="311"/>
      <c r="Z223" s="311"/>
      <c r="AA223" s="311"/>
      <c r="AB223" s="311"/>
      <c r="AC223" s="311"/>
      <c r="AD223" s="311"/>
      <c r="AE223" s="311"/>
      <c r="AF223" s="311"/>
      <c r="AG223" s="311"/>
      <c r="AH223" s="311"/>
      <c r="AI223" s="311"/>
      <c r="AJ223" s="311"/>
      <c r="AK223" s="311"/>
      <c r="AL223" s="311"/>
      <c r="AM223" s="311"/>
    </row>
    <row r="224" spans="1:39">
      <c r="A224" s="34" t="s">
        <v>248</v>
      </c>
      <c r="B224" s="50"/>
      <c r="C224" s="50" t="s">
        <v>249</v>
      </c>
      <c r="D224" s="50"/>
      <c r="E224" s="50"/>
      <c r="F224" s="50"/>
      <c r="G224" s="50"/>
      <c r="H224" s="50"/>
      <c r="I224" s="50"/>
      <c r="J224" s="23"/>
      <c r="K224" s="311"/>
      <c r="L224" s="311"/>
      <c r="M224" s="311"/>
      <c r="N224" s="311"/>
      <c r="O224" s="311"/>
      <c r="P224" s="311"/>
      <c r="Q224" s="311"/>
      <c r="R224" s="311"/>
      <c r="S224" s="311"/>
      <c r="T224" s="311"/>
      <c r="U224" s="311"/>
      <c r="V224" s="311"/>
      <c r="W224" s="311"/>
      <c r="X224" s="311"/>
      <c r="Y224" s="311"/>
      <c r="Z224" s="311"/>
      <c r="AA224" s="311"/>
      <c r="AB224" s="311"/>
      <c r="AC224" s="311"/>
      <c r="AD224" s="311"/>
      <c r="AE224" s="311"/>
      <c r="AF224" s="311"/>
      <c r="AG224" s="311"/>
      <c r="AH224" s="311"/>
      <c r="AI224" s="311"/>
      <c r="AJ224" s="311"/>
      <c r="AK224" s="311"/>
      <c r="AL224" s="311"/>
      <c r="AM224" s="311"/>
    </row>
    <row r="225" spans="1:39">
      <c r="A225" s="34"/>
      <c r="B225" s="50"/>
      <c r="C225" s="50" t="s">
        <v>250</v>
      </c>
      <c r="D225" s="50"/>
      <c r="E225" s="50"/>
      <c r="F225" s="50"/>
      <c r="G225" s="50"/>
      <c r="H225" s="50"/>
      <c r="I225" s="50"/>
      <c r="J225" s="23"/>
      <c r="K225" s="311"/>
      <c r="L225" s="311"/>
      <c r="M225" s="311"/>
      <c r="N225" s="311"/>
      <c r="O225" s="311"/>
      <c r="P225" s="311"/>
      <c r="Q225" s="311"/>
      <c r="R225" s="311"/>
      <c r="S225" s="311"/>
      <c r="T225" s="311"/>
      <c r="U225" s="311"/>
      <c r="V225" s="311"/>
      <c r="W225" s="311"/>
      <c r="X225" s="311"/>
      <c r="Y225" s="311"/>
      <c r="Z225" s="311"/>
      <c r="AA225" s="311"/>
      <c r="AB225" s="311"/>
      <c r="AC225" s="311"/>
      <c r="AD225" s="311"/>
      <c r="AE225" s="311"/>
      <c r="AF225" s="311"/>
      <c r="AG225" s="311"/>
      <c r="AH225" s="311"/>
      <c r="AI225" s="311"/>
      <c r="AJ225" s="311"/>
      <c r="AK225" s="311"/>
      <c r="AL225" s="311"/>
      <c r="AM225" s="311"/>
    </row>
    <row r="226" spans="1:39">
      <c r="A226" s="34"/>
      <c r="B226" s="50"/>
      <c r="C226" s="50" t="s">
        <v>251</v>
      </c>
      <c r="D226" s="50"/>
      <c r="E226" s="50"/>
      <c r="F226" s="50"/>
      <c r="G226" s="50"/>
      <c r="H226" s="50"/>
      <c r="I226" s="50"/>
      <c r="J226" s="23"/>
      <c r="K226" s="311"/>
      <c r="L226" s="311"/>
      <c r="M226" s="311"/>
      <c r="N226" s="311"/>
      <c r="O226" s="311"/>
      <c r="P226" s="311"/>
      <c r="Q226" s="311"/>
      <c r="R226" s="311"/>
      <c r="S226" s="311"/>
      <c r="T226" s="311"/>
      <c r="U226" s="311"/>
      <c r="V226" s="311"/>
      <c r="W226" s="311"/>
      <c r="X226" s="311"/>
      <c r="Y226" s="311"/>
      <c r="Z226" s="311"/>
      <c r="AA226" s="311"/>
      <c r="AB226" s="311"/>
      <c r="AC226" s="311"/>
      <c r="AD226" s="311"/>
      <c r="AE226" s="311"/>
      <c r="AF226" s="311"/>
      <c r="AG226" s="311"/>
      <c r="AH226" s="311"/>
      <c r="AI226" s="311"/>
      <c r="AJ226" s="311"/>
      <c r="AK226" s="311"/>
      <c r="AL226" s="311"/>
      <c r="AM226" s="311"/>
    </row>
    <row r="227" spans="1:39">
      <c r="A227" s="34" t="s">
        <v>252</v>
      </c>
      <c r="B227" s="50"/>
      <c r="C227" s="50" t="s">
        <v>253</v>
      </c>
      <c r="D227" s="50"/>
      <c r="E227" s="50"/>
      <c r="F227" s="50"/>
      <c r="G227" s="50"/>
      <c r="H227" s="50"/>
      <c r="I227" s="23"/>
      <c r="J227" s="23"/>
      <c r="K227" s="311"/>
      <c r="L227" s="311"/>
      <c r="M227" s="311"/>
      <c r="N227" s="311"/>
      <c r="O227" s="311"/>
      <c r="P227" s="311"/>
      <c r="Q227" s="311"/>
      <c r="R227" s="311"/>
      <c r="S227" s="311"/>
      <c r="T227" s="311"/>
      <c r="U227" s="311"/>
      <c r="V227" s="311"/>
      <c r="W227" s="311"/>
      <c r="X227" s="311"/>
      <c r="Y227" s="311"/>
      <c r="Z227" s="311"/>
      <c r="AA227" s="311"/>
      <c r="AB227" s="311"/>
      <c r="AC227" s="311"/>
      <c r="AD227" s="311"/>
      <c r="AE227" s="311"/>
      <c r="AF227" s="311"/>
      <c r="AG227" s="311"/>
      <c r="AH227" s="311"/>
      <c r="AI227" s="311"/>
      <c r="AJ227" s="311"/>
      <c r="AK227" s="311"/>
      <c r="AL227" s="311"/>
      <c r="AM227" s="311"/>
    </row>
    <row r="228" spans="1:39">
      <c r="A228" s="34"/>
      <c r="B228" s="50"/>
      <c r="C228" s="50" t="s">
        <v>254</v>
      </c>
      <c r="D228" s="50"/>
      <c r="E228" s="50"/>
      <c r="F228" s="50"/>
      <c r="G228" s="50"/>
      <c r="H228" s="50"/>
      <c r="I228" s="50"/>
      <c r="J228" s="50"/>
      <c r="K228" s="311"/>
      <c r="L228" s="311"/>
      <c r="M228" s="311"/>
      <c r="N228" s="311"/>
      <c r="O228" s="311"/>
      <c r="P228" s="311"/>
      <c r="Q228" s="311"/>
      <c r="R228" s="311"/>
      <c r="S228" s="311"/>
      <c r="T228" s="311"/>
      <c r="U228" s="311"/>
      <c r="V228" s="311"/>
      <c r="W228" s="311"/>
      <c r="X228" s="311"/>
      <c r="Y228" s="311"/>
      <c r="Z228" s="311"/>
      <c r="AA228" s="311"/>
      <c r="AB228" s="311"/>
      <c r="AC228" s="311"/>
      <c r="AD228" s="311"/>
      <c r="AE228" s="311"/>
      <c r="AF228" s="311"/>
      <c r="AG228" s="311"/>
      <c r="AH228" s="311"/>
      <c r="AI228" s="311"/>
      <c r="AJ228" s="311"/>
      <c r="AK228" s="311"/>
      <c r="AL228" s="311"/>
      <c r="AM228" s="311"/>
    </row>
    <row r="229" spans="1:39">
      <c r="A229" s="34"/>
      <c r="B229" s="50"/>
      <c r="C229" s="50" t="s">
        <v>255</v>
      </c>
      <c r="D229" s="50"/>
      <c r="E229" s="50"/>
      <c r="F229" s="50"/>
      <c r="G229" s="50"/>
      <c r="H229" s="50"/>
      <c r="I229" s="50"/>
      <c r="J229" s="103"/>
      <c r="K229" s="311"/>
      <c r="L229" s="311"/>
      <c r="M229" s="311"/>
      <c r="N229" s="311"/>
      <c r="O229" s="311"/>
      <c r="P229" s="311"/>
      <c r="Q229" s="311"/>
      <c r="R229" s="311"/>
      <c r="S229" s="311"/>
      <c r="T229" s="311"/>
      <c r="U229" s="311"/>
      <c r="V229" s="311"/>
      <c r="W229" s="311"/>
      <c r="X229" s="311"/>
      <c r="Y229" s="311"/>
      <c r="Z229" s="311"/>
      <c r="AA229" s="311"/>
      <c r="AB229" s="311"/>
      <c r="AC229" s="311"/>
      <c r="AD229" s="311"/>
      <c r="AE229" s="311"/>
      <c r="AF229" s="311"/>
      <c r="AG229" s="311"/>
      <c r="AH229" s="311"/>
      <c r="AI229" s="311"/>
      <c r="AJ229" s="311"/>
      <c r="AK229" s="311"/>
      <c r="AL229" s="311"/>
      <c r="AM229" s="311"/>
    </row>
    <row r="230" spans="1:39">
      <c r="A230" s="34"/>
      <c r="B230" s="50"/>
      <c r="C230" s="50" t="s">
        <v>256</v>
      </c>
      <c r="D230" s="50"/>
      <c r="E230" s="50"/>
      <c r="F230" s="50"/>
      <c r="G230" s="50"/>
      <c r="H230" s="50"/>
      <c r="I230" s="50"/>
      <c r="J230" s="50"/>
      <c r="K230" s="311"/>
      <c r="L230" s="311"/>
      <c r="M230" s="311"/>
      <c r="N230" s="311"/>
      <c r="O230" s="311"/>
      <c r="P230" s="311"/>
      <c r="Q230" s="311"/>
      <c r="R230" s="311"/>
      <c r="S230" s="311"/>
      <c r="T230" s="311"/>
      <c r="U230" s="311"/>
      <c r="V230" s="311"/>
      <c r="W230" s="311"/>
      <c r="X230" s="311"/>
      <c r="Y230" s="311"/>
      <c r="Z230" s="311"/>
      <c r="AA230" s="311"/>
      <c r="AB230" s="311"/>
      <c r="AC230" s="311"/>
      <c r="AD230" s="311"/>
      <c r="AE230" s="311"/>
      <c r="AF230" s="311"/>
      <c r="AG230" s="311"/>
      <c r="AH230" s="311"/>
      <c r="AI230" s="311"/>
      <c r="AJ230" s="311"/>
      <c r="AK230" s="311"/>
      <c r="AL230" s="311"/>
      <c r="AM230" s="311"/>
    </row>
    <row r="231" spans="1:39">
      <c r="A231" s="34"/>
      <c r="B231" s="50"/>
      <c r="C231" s="50" t="s">
        <v>257</v>
      </c>
      <c r="D231" s="50"/>
      <c r="E231" s="50"/>
      <c r="F231" s="50"/>
      <c r="G231" s="50"/>
      <c r="H231" s="50"/>
      <c r="I231" s="50"/>
      <c r="J231" s="50"/>
      <c r="K231" s="311"/>
      <c r="L231" s="311"/>
      <c r="M231" s="311"/>
      <c r="N231" s="311"/>
      <c r="O231" s="311"/>
      <c r="P231" s="311"/>
      <c r="Q231" s="311"/>
      <c r="R231" s="311"/>
      <c r="S231" s="311"/>
      <c r="T231" s="311"/>
      <c r="U231" s="311"/>
      <c r="V231" s="311"/>
      <c r="W231" s="311"/>
      <c r="X231" s="311"/>
      <c r="Y231" s="311"/>
      <c r="Z231" s="311"/>
      <c r="AA231" s="311"/>
      <c r="AB231" s="311"/>
      <c r="AC231" s="311"/>
      <c r="AD231" s="311"/>
      <c r="AE231" s="311"/>
      <c r="AF231" s="311"/>
      <c r="AG231" s="311"/>
      <c r="AH231" s="311"/>
      <c r="AI231" s="311"/>
      <c r="AJ231" s="311"/>
      <c r="AK231" s="311"/>
      <c r="AL231" s="311"/>
      <c r="AM231" s="311"/>
    </row>
    <row r="232" spans="1:39">
      <c r="A232" s="34"/>
      <c r="B232" s="50"/>
      <c r="C232" s="50" t="s">
        <v>258</v>
      </c>
      <c r="D232" s="50"/>
      <c r="E232" s="50"/>
      <c r="F232" s="50"/>
      <c r="G232" s="50"/>
      <c r="H232" s="50"/>
      <c r="I232" s="50"/>
      <c r="J232" s="50"/>
      <c r="K232" s="311"/>
      <c r="L232" s="311"/>
      <c r="M232" s="311"/>
      <c r="N232" s="311"/>
      <c r="O232" s="311"/>
      <c r="P232" s="311"/>
      <c r="Q232" s="311"/>
      <c r="R232" s="311"/>
      <c r="S232" s="311"/>
      <c r="T232" s="311"/>
      <c r="U232" s="311"/>
      <c r="V232" s="311"/>
      <c r="W232" s="311"/>
      <c r="X232" s="311"/>
      <c r="Y232" s="311"/>
      <c r="Z232" s="311"/>
      <c r="AA232" s="311"/>
      <c r="AB232" s="311"/>
      <c r="AC232" s="311"/>
      <c r="AD232" s="311"/>
      <c r="AE232" s="311"/>
      <c r="AF232" s="311"/>
      <c r="AG232" s="311"/>
      <c r="AH232" s="311"/>
      <c r="AI232" s="311"/>
      <c r="AJ232" s="311"/>
      <c r="AK232" s="311"/>
      <c r="AL232" s="311"/>
      <c r="AM232" s="311"/>
    </row>
    <row r="233" spans="1:39">
      <c r="A233" s="34" t="s">
        <v>52</v>
      </c>
      <c r="B233" s="50"/>
      <c r="C233" s="50" t="s">
        <v>259</v>
      </c>
      <c r="D233" s="50" t="s">
        <v>260</v>
      </c>
      <c r="E233" s="104">
        <v>0.21</v>
      </c>
      <c r="F233" s="50"/>
      <c r="G233" s="50"/>
      <c r="H233" s="50"/>
      <c r="I233" s="50"/>
      <c r="J233" s="50"/>
      <c r="K233" s="311"/>
      <c r="L233" s="311"/>
      <c r="M233" s="311"/>
      <c r="N233" s="311"/>
      <c r="O233" s="311"/>
      <c r="P233" s="311"/>
      <c r="Q233" s="311"/>
      <c r="R233" s="311"/>
      <c r="S233" s="311"/>
      <c r="T233" s="311"/>
      <c r="U233" s="311"/>
      <c r="V233" s="311"/>
      <c r="W233" s="311"/>
      <c r="X233" s="311"/>
      <c r="Y233" s="311"/>
      <c r="Z233" s="311"/>
      <c r="AA233" s="311"/>
      <c r="AB233" s="311"/>
      <c r="AC233" s="311"/>
      <c r="AD233" s="311"/>
      <c r="AE233" s="311"/>
      <c r="AF233" s="311"/>
      <c r="AG233" s="311"/>
      <c r="AH233" s="311"/>
      <c r="AI233" s="311"/>
      <c r="AJ233" s="311"/>
      <c r="AK233" s="311"/>
      <c r="AL233" s="311"/>
      <c r="AM233" s="311"/>
    </row>
    <row r="234" spans="1:39">
      <c r="A234" s="34"/>
      <c r="B234" s="50"/>
      <c r="C234" s="50"/>
      <c r="D234" s="50" t="s">
        <v>261</v>
      </c>
      <c r="E234" s="104">
        <v>0</v>
      </c>
      <c r="F234" s="50" t="s">
        <v>262</v>
      </c>
      <c r="G234" s="50"/>
      <c r="H234" s="50"/>
      <c r="I234" s="50"/>
      <c r="J234" s="50"/>
      <c r="K234" s="311"/>
      <c r="L234" s="311"/>
      <c r="M234" s="311"/>
      <c r="N234" s="311"/>
      <c r="O234" s="311"/>
      <c r="P234" s="311"/>
      <c r="Q234" s="311"/>
      <c r="R234" s="311"/>
      <c r="S234" s="311"/>
      <c r="T234" s="311"/>
      <c r="U234" s="311"/>
      <c r="V234" s="311"/>
      <c r="W234" s="311"/>
      <c r="X234" s="311"/>
      <c r="Y234" s="311"/>
      <c r="Z234" s="311"/>
      <c r="AA234" s="311"/>
      <c r="AB234" s="311"/>
      <c r="AC234" s="311"/>
      <c r="AD234" s="311"/>
      <c r="AE234" s="311"/>
      <c r="AF234" s="311"/>
      <c r="AG234" s="311"/>
      <c r="AH234" s="311"/>
      <c r="AI234" s="311"/>
      <c r="AJ234" s="311"/>
      <c r="AK234" s="311"/>
      <c r="AL234" s="311"/>
      <c r="AM234" s="311"/>
    </row>
    <row r="235" spans="1:39">
      <c r="A235" s="34"/>
      <c r="B235" s="50"/>
      <c r="C235" s="50"/>
      <c r="D235" s="50" t="s">
        <v>263</v>
      </c>
      <c r="E235" s="104">
        <v>0</v>
      </c>
      <c r="F235" s="50" t="s">
        <v>264</v>
      </c>
      <c r="G235" s="50"/>
      <c r="H235" s="50"/>
      <c r="I235" s="50"/>
      <c r="J235" s="50"/>
      <c r="K235" s="311"/>
      <c r="L235" s="311"/>
      <c r="M235" s="311"/>
      <c r="N235" s="311"/>
      <c r="O235" s="311"/>
      <c r="P235" s="311"/>
      <c r="Q235" s="311"/>
      <c r="R235" s="311"/>
      <c r="S235" s="311"/>
      <c r="T235" s="311"/>
      <c r="U235" s="311"/>
      <c r="V235" s="311"/>
      <c r="W235" s="311"/>
      <c r="X235" s="311"/>
      <c r="Y235" s="311"/>
      <c r="Z235" s="311"/>
      <c r="AA235" s="311"/>
      <c r="AB235" s="311"/>
      <c r="AC235" s="311"/>
      <c r="AD235" s="311"/>
      <c r="AE235" s="311"/>
      <c r="AF235" s="311"/>
      <c r="AG235" s="311"/>
      <c r="AH235" s="311"/>
      <c r="AI235" s="311"/>
      <c r="AJ235" s="311"/>
      <c r="AK235" s="311"/>
      <c r="AL235" s="311"/>
      <c r="AM235" s="311"/>
    </row>
    <row r="236" spans="1:39">
      <c r="A236" s="105" t="s">
        <v>265</v>
      </c>
      <c r="B236" s="27"/>
      <c r="C236" s="27" t="s">
        <v>266</v>
      </c>
      <c r="D236" s="27"/>
      <c r="E236" s="27"/>
      <c r="F236" s="27"/>
      <c r="G236" s="27"/>
      <c r="H236" s="27"/>
      <c r="I236" s="27"/>
      <c r="J236" s="27"/>
    </row>
    <row r="237" spans="1:39">
      <c r="C237" s="50" t="s">
        <v>267</v>
      </c>
    </row>
    <row r="238" spans="1:39">
      <c r="A238" s="106" t="s">
        <v>268</v>
      </c>
      <c r="C238" s="50" t="s">
        <v>269</v>
      </c>
    </row>
    <row r="239" spans="1:39">
      <c r="A239" s="106" t="s">
        <v>270</v>
      </c>
      <c r="C239" s="50" t="s">
        <v>271</v>
      </c>
    </row>
  </sheetData>
  <mergeCells count="13">
    <mergeCell ref="A4:J4"/>
    <mergeCell ref="A5:J5"/>
    <mergeCell ref="A7:J7"/>
    <mergeCell ref="A67:J67"/>
    <mergeCell ref="A68:J68"/>
    <mergeCell ref="A70:J70"/>
    <mergeCell ref="A204:J204"/>
    <mergeCell ref="A205:J205"/>
    <mergeCell ref="A207:J207"/>
    <mergeCell ref="A131:J131"/>
    <mergeCell ref="A126:J126"/>
    <mergeCell ref="A127:J127"/>
    <mergeCell ref="A129:J129"/>
  </mergeCells>
  <phoneticPr fontId="13" type="noConversion"/>
  <printOptions horizontalCentered="1"/>
  <pageMargins left="0.5" right="0.5" top="0.75" bottom="0.75" header="0.5" footer="0.5"/>
  <pageSetup scale="52" fitToHeight="5" orientation="portrait" r:id="rId1"/>
  <headerFooter alignWithMargins="0">
    <oddHeader>&amp;C&amp;"Arial MT,Bold"ACTUAL SERVICE YEAR ATRR
BLACK HILLS POWER, INC.&amp;R&amp;10Page &amp;P of &amp;N</oddHeader>
    <oddFooter xml:space="preserve">&amp;L&amp;9
</oddFooter>
  </headerFooter>
  <rowBreaks count="3" manualBreakCount="3">
    <brk id="63" max="16383" man="1"/>
    <brk id="122" max="16383" man="1"/>
    <brk id="2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3:P77"/>
  <sheetViews>
    <sheetView workbookViewId="0"/>
  </sheetViews>
  <sheetFormatPr defaultColWidth="8.88671875" defaultRowHeight="12.75"/>
  <cols>
    <col min="1" max="1" width="3.88671875" style="107" customWidth="1"/>
    <col min="2" max="2" width="2.5546875" style="107" customWidth="1"/>
    <col min="3" max="3" width="3" style="107" customWidth="1"/>
    <col min="4" max="4" width="2.44140625" style="107" customWidth="1"/>
    <col min="5" max="6" width="8.88671875" style="107"/>
    <col min="7" max="7" width="1.88671875" style="107" customWidth="1"/>
    <col min="8" max="11" width="8.88671875" style="107"/>
    <col min="12" max="12" width="15" style="107" customWidth="1"/>
    <col min="13" max="13" width="11.88671875" style="107" customWidth="1"/>
    <col min="14" max="14" width="11.21875" style="107" customWidth="1"/>
    <col min="15" max="15" width="10.33203125" style="107" customWidth="1"/>
    <col min="16" max="16384" width="8.88671875" style="107"/>
  </cols>
  <sheetData>
    <row r="3" spans="1:16" ht="15.75">
      <c r="A3" s="112"/>
      <c r="B3" s="28"/>
      <c r="C3" s="28"/>
      <c r="D3" s="28"/>
      <c r="E3" s="28"/>
      <c r="F3" s="28"/>
      <c r="G3" s="28"/>
      <c r="H3" s="28"/>
      <c r="I3" s="28"/>
      <c r="J3" s="28"/>
      <c r="K3" s="28"/>
      <c r="L3" s="108"/>
      <c r="M3" s="108"/>
      <c r="N3" s="108" t="s">
        <v>44</v>
      </c>
      <c r="O3" s="109">
        <f>+'True-Up'!J1</f>
        <v>46173</v>
      </c>
      <c r="P3" s="28"/>
    </row>
    <row r="4" spans="1:16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08"/>
      <c r="M4" s="108"/>
      <c r="N4" s="108" t="s">
        <v>45</v>
      </c>
      <c r="O4" s="110">
        <f>'True-Up'!J2</f>
        <v>2025</v>
      </c>
      <c r="P4" s="112"/>
    </row>
    <row r="5" spans="1:16" ht="15.75">
      <c r="A5" s="329" t="s">
        <v>272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112"/>
    </row>
    <row r="6" spans="1:16">
      <c r="A6" s="248" t="s">
        <v>58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>
      <c r="A7" s="315" t="s">
        <v>63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>
      <c r="A8" s="316">
        <v>1</v>
      </c>
      <c r="B8" s="112" t="s">
        <v>273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</row>
    <row r="9" spans="1:16">
      <c r="A9" s="316">
        <f>A8+1</f>
        <v>2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</row>
    <row r="10" spans="1:16">
      <c r="A10" s="316">
        <f t="shared" ref="A10:A74" si="0">A9+1</f>
        <v>3</v>
      </c>
      <c r="B10" s="112" t="s">
        <v>274</v>
      </c>
      <c r="C10" s="112"/>
      <c r="D10" s="112" t="s">
        <v>275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</row>
    <row r="11" spans="1:16">
      <c r="A11" s="316">
        <f t="shared" si="0"/>
        <v>4</v>
      </c>
      <c r="B11" s="112"/>
      <c r="C11" s="112"/>
      <c r="D11" s="112"/>
      <c r="E11" s="112" t="s">
        <v>276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</row>
    <row r="12" spans="1:16">
      <c r="A12" s="316">
        <f t="shared" si="0"/>
        <v>5</v>
      </c>
      <c r="B12" s="112"/>
      <c r="C12" s="112"/>
      <c r="D12" s="112"/>
      <c r="E12" s="112" t="s">
        <v>277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</row>
    <row r="13" spans="1:16">
      <c r="A13" s="316">
        <f t="shared" si="0"/>
        <v>6</v>
      </c>
      <c r="B13" s="112"/>
      <c r="C13" s="112"/>
      <c r="D13" s="112"/>
      <c r="E13" s="112" t="s">
        <v>278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</row>
    <row r="14" spans="1:16">
      <c r="A14" s="316">
        <f t="shared" si="0"/>
        <v>7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</row>
    <row r="15" spans="1:16">
      <c r="A15" s="316">
        <f t="shared" si="0"/>
        <v>8</v>
      </c>
      <c r="B15" s="112" t="s">
        <v>279</v>
      </c>
      <c r="C15" s="112"/>
      <c r="D15" s="112" t="s">
        <v>280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</row>
    <row r="16" spans="1:16">
      <c r="A16" s="316">
        <f t="shared" si="0"/>
        <v>9</v>
      </c>
      <c r="B16" s="112"/>
      <c r="C16" s="112"/>
      <c r="D16" s="112"/>
      <c r="E16" s="112" t="s">
        <v>281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</row>
    <row r="17" spans="1:8">
      <c r="A17" s="316">
        <f t="shared" si="0"/>
        <v>10</v>
      </c>
      <c r="B17" s="112"/>
      <c r="C17" s="112"/>
      <c r="D17" s="112"/>
      <c r="E17" s="112"/>
      <c r="F17" s="112"/>
      <c r="G17" s="112"/>
      <c r="H17" s="112"/>
    </row>
    <row r="18" spans="1:8">
      <c r="A18" s="316">
        <f t="shared" si="0"/>
        <v>11</v>
      </c>
      <c r="B18" s="112" t="s">
        <v>282</v>
      </c>
      <c r="C18" s="112"/>
      <c r="D18" s="112" t="s">
        <v>283</v>
      </c>
      <c r="E18" s="112"/>
      <c r="F18" s="112"/>
      <c r="G18" s="112"/>
      <c r="H18" s="112"/>
    </row>
    <row r="19" spans="1:8">
      <c r="A19" s="316">
        <f t="shared" si="0"/>
        <v>12</v>
      </c>
      <c r="B19" s="112"/>
      <c r="C19" s="112"/>
      <c r="D19" s="112"/>
      <c r="E19" s="112"/>
      <c r="F19" s="112"/>
      <c r="G19" s="112"/>
      <c r="H19" s="112"/>
    </row>
    <row r="20" spans="1:8">
      <c r="A20" s="316">
        <f t="shared" si="0"/>
        <v>13</v>
      </c>
      <c r="B20" s="112"/>
      <c r="C20" s="112"/>
      <c r="D20" s="112" t="s">
        <v>284</v>
      </c>
      <c r="E20" s="112"/>
      <c r="F20" s="112"/>
      <c r="G20" s="112"/>
      <c r="H20" s="112"/>
    </row>
    <row r="21" spans="1:8">
      <c r="A21" s="316">
        <f t="shared" si="0"/>
        <v>14</v>
      </c>
      <c r="B21" s="112"/>
      <c r="C21" s="112"/>
      <c r="D21" s="112"/>
      <c r="E21" s="112"/>
      <c r="F21" s="112"/>
      <c r="G21" s="112"/>
      <c r="H21" s="112"/>
    </row>
    <row r="22" spans="1:8">
      <c r="A22" s="316">
        <f t="shared" si="0"/>
        <v>15</v>
      </c>
      <c r="B22" s="112"/>
      <c r="C22" s="112"/>
      <c r="D22" s="112" t="s">
        <v>285</v>
      </c>
      <c r="E22" s="112"/>
      <c r="F22" s="108" t="s">
        <v>286</v>
      </c>
      <c r="G22" s="112" t="s">
        <v>287</v>
      </c>
      <c r="H22" s="112"/>
    </row>
    <row r="23" spans="1:8">
      <c r="A23" s="316">
        <f t="shared" si="0"/>
        <v>16</v>
      </c>
      <c r="B23" s="112"/>
      <c r="C23" s="112"/>
      <c r="D23" s="112"/>
      <c r="E23" s="112"/>
      <c r="F23" s="112"/>
      <c r="G23" s="112"/>
      <c r="H23" s="112" t="s">
        <v>288</v>
      </c>
    </row>
    <row r="24" spans="1:8">
      <c r="A24" s="316">
        <f t="shared" si="0"/>
        <v>17</v>
      </c>
      <c r="B24" s="112"/>
      <c r="C24" s="112"/>
      <c r="D24" s="112"/>
      <c r="E24" s="112"/>
      <c r="F24" s="112"/>
      <c r="G24" s="112"/>
      <c r="H24" s="112" t="s">
        <v>289</v>
      </c>
    </row>
    <row r="25" spans="1:8">
      <c r="A25" s="316">
        <f t="shared" si="0"/>
        <v>18</v>
      </c>
      <c r="B25" s="112"/>
      <c r="C25" s="112"/>
      <c r="D25" s="112"/>
      <c r="E25" s="112"/>
      <c r="F25" s="112"/>
      <c r="G25" s="112"/>
      <c r="H25" s="112"/>
    </row>
    <row r="26" spans="1:8">
      <c r="A26" s="316">
        <f t="shared" si="0"/>
        <v>19</v>
      </c>
      <c r="B26" s="113" t="s">
        <v>290</v>
      </c>
      <c r="C26" s="112"/>
      <c r="D26" s="112"/>
      <c r="E26" s="112"/>
      <c r="F26" s="112"/>
      <c r="G26" s="112"/>
      <c r="H26" s="112"/>
    </row>
    <row r="27" spans="1:8">
      <c r="A27" s="316">
        <f t="shared" si="0"/>
        <v>20</v>
      </c>
      <c r="B27" s="112"/>
      <c r="C27" s="112"/>
      <c r="D27" s="112"/>
      <c r="E27" s="112"/>
      <c r="F27" s="112"/>
      <c r="G27" s="112"/>
      <c r="H27" s="112"/>
    </row>
    <row r="28" spans="1:8">
      <c r="A28" s="316">
        <f t="shared" si="0"/>
        <v>21</v>
      </c>
      <c r="B28" s="112"/>
      <c r="C28" s="112"/>
      <c r="D28" s="112"/>
      <c r="E28" s="114" t="s">
        <v>291</v>
      </c>
      <c r="F28" s="114" t="s">
        <v>292</v>
      </c>
      <c r="G28" s="115" t="s">
        <v>293</v>
      </c>
      <c r="H28" s="112"/>
    </row>
    <row r="29" spans="1:8">
      <c r="A29" s="316">
        <f t="shared" si="0"/>
        <v>22</v>
      </c>
      <c r="B29" s="111" t="s">
        <v>294</v>
      </c>
      <c r="C29" s="112"/>
      <c r="D29" s="112"/>
      <c r="E29" s="114"/>
      <c r="F29" s="114"/>
      <c r="G29" s="317"/>
      <c r="H29" s="112"/>
    </row>
    <row r="30" spans="1:8">
      <c r="A30" s="316">
        <f t="shared" si="0"/>
        <v>23</v>
      </c>
      <c r="B30" s="112"/>
      <c r="C30" s="112" t="s">
        <v>295</v>
      </c>
      <c r="D30" s="112"/>
      <c r="E30" s="114" t="s">
        <v>296</v>
      </c>
      <c r="F30" s="114">
        <v>2010</v>
      </c>
      <c r="G30" s="115" t="s">
        <v>297</v>
      </c>
      <c r="H30" s="112"/>
    </row>
    <row r="31" spans="1:8">
      <c r="A31" s="316">
        <f t="shared" si="0"/>
        <v>24</v>
      </c>
      <c r="B31" s="112"/>
      <c r="C31" s="112" t="s">
        <v>298</v>
      </c>
      <c r="D31" s="112"/>
      <c r="E31" s="114" t="s">
        <v>296</v>
      </c>
      <c r="F31" s="114">
        <v>2010</v>
      </c>
      <c r="G31" s="115" t="s">
        <v>299</v>
      </c>
      <c r="H31" s="112"/>
    </row>
    <row r="32" spans="1:8">
      <c r="A32" s="316">
        <f t="shared" si="0"/>
        <v>25</v>
      </c>
      <c r="B32" s="112"/>
      <c r="C32" s="112" t="s">
        <v>300</v>
      </c>
      <c r="D32" s="112"/>
      <c r="E32" s="114" t="str">
        <f>+E30</f>
        <v>May</v>
      </c>
      <c r="F32" s="114">
        <v>2010</v>
      </c>
      <c r="G32" s="115" t="s">
        <v>301</v>
      </c>
      <c r="H32" s="112"/>
    </row>
    <row r="33" spans="1:8">
      <c r="A33" s="316">
        <f t="shared" si="0"/>
        <v>26</v>
      </c>
      <c r="B33" s="112"/>
      <c r="C33" s="112" t="s">
        <v>302</v>
      </c>
      <c r="D33" s="112"/>
      <c r="E33" s="114" t="s">
        <v>303</v>
      </c>
      <c r="F33" s="114">
        <v>2010</v>
      </c>
      <c r="G33" s="115" t="s">
        <v>304</v>
      </c>
      <c r="H33" s="112"/>
    </row>
    <row r="34" spans="1:8">
      <c r="A34" s="316">
        <f t="shared" si="0"/>
        <v>27</v>
      </c>
      <c r="B34" s="112"/>
      <c r="C34" s="112"/>
      <c r="D34" s="112"/>
      <c r="E34" s="114"/>
      <c r="F34" s="114"/>
      <c r="G34" s="115"/>
      <c r="H34" s="112"/>
    </row>
    <row r="35" spans="1:8">
      <c r="A35" s="316">
        <f t="shared" si="0"/>
        <v>28</v>
      </c>
      <c r="B35" s="111" t="s">
        <v>305</v>
      </c>
      <c r="C35" s="112"/>
      <c r="D35" s="112"/>
      <c r="E35" s="318"/>
      <c r="F35" s="114"/>
      <c r="G35" s="115"/>
      <c r="H35" s="112"/>
    </row>
    <row r="36" spans="1:8">
      <c r="A36" s="316">
        <f t="shared" si="0"/>
        <v>29</v>
      </c>
      <c r="B36" s="112"/>
      <c r="C36" s="112" t="s">
        <v>306</v>
      </c>
      <c r="D36" s="112"/>
      <c r="E36" s="114" t="s">
        <v>307</v>
      </c>
      <c r="F36" s="114">
        <v>2010</v>
      </c>
      <c r="G36" s="115" t="s">
        <v>308</v>
      </c>
      <c r="H36" s="112"/>
    </row>
    <row r="37" spans="1:8">
      <c r="A37" s="316">
        <f t="shared" si="0"/>
        <v>30</v>
      </c>
      <c r="B37" s="112"/>
      <c r="C37" s="112" t="s">
        <v>309</v>
      </c>
      <c r="D37" s="112"/>
      <c r="E37" s="114" t="s">
        <v>307</v>
      </c>
      <c r="F37" s="114">
        <v>2010</v>
      </c>
      <c r="G37" s="115" t="s">
        <v>310</v>
      </c>
      <c r="H37" s="112"/>
    </row>
    <row r="38" spans="1:8">
      <c r="A38" s="316">
        <f t="shared" si="0"/>
        <v>31</v>
      </c>
      <c r="B38" s="112"/>
      <c r="C38" s="112" t="s">
        <v>311</v>
      </c>
      <c r="D38" s="112"/>
      <c r="E38" s="114" t="s">
        <v>307</v>
      </c>
      <c r="F38" s="114">
        <v>2010</v>
      </c>
      <c r="G38" s="115" t="s">
        <v>312</v>
      </c>
      <c r="H38" s="112"/>
    </row>
    <row r="39" spans="1:8">
      <c r="A39" s="316">
        <f t="shared" si="0"/>
        <v>32</v>
      </c>
      <c r="B39" s="112"/>
      <c r="C39" s="112" t="s">
        <v>313</v>
      </c>
      <c r="D39" s="112"/>
      <c r="E39" s="114" t="s">
        <v>307</v>
      </c>
      <c r="F39" s="114">
        <v>2010</v>
      </c>
      <c r="G39" s="115" t="s">
        <v>314</v>
      </c>
      <c r="H39" s="112"/>
    </row>
    <row r="40" spans="1:8">
      <c r="A40" s="316">
        <f t="shared" si="0"/>
        <v>33</v>
      </c>
      <c r="B40" s="112"/>
      <c r="C40" s="112" t="s">
        <v>315</v>
      </c>
      <c r="D40" s="112"/>
      <c r="E40" s="114" t="s">
        <v>316</v>
      </c>
      <c r="F40" s="114">
        <v>2010</v>
      </c>
      <c r="G40" s="115" t="s">
        <v>317</v>
      </c>
      <c r="H40" s="112"/>
    </row>
    <row r="41" spans="1:8">
      <c r="A41" s="316">
        <f t="shared" si="0"/>
        <v>34</v>
      </c>
      <c r="B41" s="112"/>
      <c r="C41" s="112" t="s">
        <v>318</v>
      </c>
      <c r="D41" s="112"/>
      <c r="E41" s="318" t="s">
        <v>319</v>
      </c>
      <c r="F41" s="114">
        <v>2011</v>
      </c>
      <c r="G41" s="115" t="s">
        <v>320</v>
      </c>
      <c r="H41" s="112"/>
    </row>
    <row r="42" spans="1:8">
      <c r="A42" s="316">
        <f t="shared" si="0"/>
        <v>35</v>
      </c>
      <c r="B42" s="112"/>
      <c r="C42" s="112"/>
      <c r="D42" s="112"/>
      <c r="E42" s="112"/>
      <c r="F42" s="112"/>
      <c r="G42" s="112"/>
      <c r="H42" s="112"/>
    </row>
    <row r="43" spans="1:8">
      <c r="A43" s="316">
        <f t="shared" si="0"/>
        <v>36</v>
      </c>
      <c r="B43" s="112"/>
      <c r="C43" s="112"/>
      <c r="D43" s="112"/>
      <c r="E43" s="112" t="s">
        <v>321</v>
      </c>
      <c r="F43" s="112" t="s">
        <v>322</v>
      </c>
      <c r="G43" s="112"/>
      <c r="H43" s="112"/>
    </row>
    <row r="44" spans="1:8">
      <c r="A44" s="316">
        <f t="shared" si="0"/>
        <v>37</v>
      </c>
      <c r="B44" s="112"/>
      <c r="C44" s="112"/>
      <c r="D44" s="112"/>
      <c r="E44" s="112"/>
      <c r="F44" s="112" t="s">
        <v>323</v>
      </c>
      <c r="G44" s="112"/>
      <c r="H44" s="112"/>
    </row>
    <row r="45" spans="1:8">
      <c r="A45" s="316">
        <f t="shared" si="0"/>
        <v>38</v>
      </c>
      <c r="B45" s="112"/>
      <c r="C45" s="112"/>
      <c r="D45" s="112"/>
      <c r="E45" s="112"/>
      <c r="F45" s="112" t="s">
        <v>324</v>
      </c>
      <c r="G45" s="112"/>
      <c r="H45" s="112"/>
    </row>
    <row r="46" spans="1:8">
      <c r="A46" s="316">
        <f t="shared" si="0"/>
        <v>39</v>
      </c>
      <c r="B46" s="112"/>
      <c r="C46" s="112"/>
      <c r="D46" s="112"/>
      <c r="E46" s="112"/>
      <c r="F46" s="112" t="s">
        <v>325</v>
      </c>
      <c r="G46" s="112"/>
      <c r="H46" s="112"/>
    </row>
    <row r="47" spans="1:8">
      <c r="A47" s="316">
        <f t="shared" si="0"/>
        <v>40</v>
      </c>
      <c r="B47" s="112"/>
      <c r="C47" s="112"/>
      <c r="D47" s="112"/>
      <c r="E47" s="112"/>
      <c r="F47" s="112" t="s">
        <v>326</v>
      </c>
      <c r="G47" s="112"/>
      <c r="H47" s="112"/>
    </row>
    <row r="48" spans="1:8">
      <c r="A48" s="316">
        <f t="shared" si="0"/>
        <v>41</v>
      </c>
      <c r="B48" s="112"/>
      <c r="C48" s="112"/>
      <c r="D48" s="112"/>
      <c r="E48" s="112"/>
      <c r="F48" s="112" t="s">
        <v>327</v>
      </c>
      <c r="G48" s="112"/>
      <c r="H48" s="112"/>
    </row>
    <row r="49" spans="1:15">
      <c r="A49" s="316">
        <f t="shared" si="0"/>
        <v>42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>
      <c r="A50" s="316">
        <f t="shared" si="0"/>
        <v>43</v>
      </c>
      <c r="B50" s="112"/>
      <c r="C50" s="112"/>
      <c r="D50" s="112"/>
      <c r="E50" s="112"/>
      <c r="F50" s="112" t="s">
        <v>328</v>
      </c>
      <c r="G50" s="112"/>
      <c r="H50" s="112"/>
      <c r="I50" s="112"/>
      <c r="J50" s="112"/>
      <c r="K50" s="112"/>
      <c r="L50" s="112"/>
      <c r="M50" s="112"/>
      <c r="N50" s="112"/>
      <c r="O50" s="112"/>
    </row>
    <row r="51" spans="1:15">
      <c r="A51" s="316">
        <f t="shared" si="0"/>
        <v>44</v>
      </c>
      <c r="B51" s="112"/>
      <c r="C51" s="112"/>
      <c r="D51" s="111"/>
      <c r="E51" s="111"/>
      <c r="F51" s="111"/>
      <c r="G51" s="111"/>
      <c r="H51" s="111"/>
      <c r="I51" s="111"/>
      <c r="J51" s="111"/>
      <c r="K51" s="111"/>
      <c r="L51" s="111"/>
      <c r="M51" s="111" t="s">
        <v>57</v>
      </c>
      <c r="N51" s="111" t="s">
        <v>329</v>
      </c>
      <c r="O51" s="112"/>
    </row>
    <row r="52" spans="1:15">
      <c r="A52" s="316">
        <f t="shared" si="0"/>
        <v>45</v>
      </c>
      <c r="B52" s="112"/>
      <c r="C52" s="112" t="s">
        <v>235</v>
      </c>
      <c r="D52" s="111" t="str">
        <f>"True-Up Amount (Transmission see pg 3 line "&amp;'True-Up'!A120&amp;" and Schedule 1 see pg 10 line "&amp;'BHP Sch. 1'!A22&amp;")"</f>
        <v>True-Up Amount (Transmission see pg 3 line 92 and Schedule 1 see pg 10 line 12)</v>
      </c>
      <c r="E52" s="111"/>
      <c r="F52" s="111"/>
      <c r="G52" s="111"/>
      <c r="H52" s="111"/>
      <c r="I52" s="111"/>
      <c r="J52" s="111"/>
      <c r="K52" s="111"/>
      <c r="L52" s="111"/>
      <c r="M52" s="3">
        <f>+'True-Up'!J120</f>
        <v>550077.26804404706</v>
      </c>
      <c r="N52" s="3">
        <f>+'BHP Sch. 1'!D22</f>
        <v>1387805</v>
      </c>
      <c r="O52" s="319"/>
    </row>
    <row r="53" spans="1:15">
      <c r="A53" s="316">
        <f t="shared" si="0"/>
        <v>46</v>
      </c>
      <c r="B53" s="112"/>
      <c r="C53" s="112" t="s">
        <v>239</v>
      </c>
      <c r="D53" s="111" t="s">
        <v>330</v>
      </c>
      <c r="E53" s="111"/>
      <c r="F53" s="111"/>
      <c r="G53" s="111"/>
      <c r="H53" s="111"/>
      <c r="I53" s="111"/>
      <c r="J53" s="111"/>
      <c r="K53" s="116"/>
      <c r="L53" s="111"/>
      <c r="M53" s="3">
        <f>ROUND((1+$K$77)^18,2)</f>
        <v>1.1200000000000001</v>
      </c>
      <c r="N53" s="3">
        <f>ROUND((1+$K$77)^18,2)</f>
        <v>1.1200000000000001</v>
      </c>
      <c r="O53" s="319"/>
    </row>
    <row r="54" spans="1:15">
      <c r="A54" s="316">
        <f t="shared" si="0"/>
        <v>47</v>
      </c>
      <c r="B54" s="112"/>
      <c r="C54" s="112" t="s">
        <v>241</v>
      </c>
      <c r="D54" s="111" t="s">
        <v>331</v>
      </c>
      <c r="E54" s="111"/>
      <c r="F54" s="111"/>
      <c r="G54" s="111"/>
      <c r="H54" s="111"/>
      <c r="I54" s="111"/>
      <c r="J54" s="111"/>
      <c r="K54" s="116"/>
      <c r="L54" s="111"/>
      <c r="M54" s="117">
        <f>+M52*M53</f>
        <v>616086.54020933271</v>
      </c>
      <c r="N54" s="117">
        <f>+N52*N53</f>
        <v>1554341.6</v>
      </c>
      <c r="O54" s="319"/>
    </row>
    <row r="55" spans="1:15">
      <c r="A55" s="316">
        <f t="shared" si="0"/>
        <v>48</v>
      </c>
      <c r="B55" s="112"/>
      <c r="C55" s="112"/>
      <c r="D55" s="112"/>
      <c r="E55" s="112"/>
      <c r="F55" s="112"/>
      <c r="G55" s="112"/>
      <c r="H55" s="112"/>
      <c r="I55" s="112"/>
      <c r="J55" s="112"/>
      <c r="K55" s="320"/>
      <c r="L55" s="112"/>
      <c r="M55" s="112"/>
      <c r="N55" s="112"/>
      <c r="O55" s="320"/>
    </row>
    <row r="56" spans="1:15">
      <c r="A56" s="316">
        <f t="shared" si="0"/>
        <v>49</v>
      </c>
      <c r="B56" s="112"/>
      <c r="C56" s="112"/>
      <c r="D56" s="112"/>
      <c r="E56" s="112" t="s">
        <v>285</v>
      </c>
      <c r="F56" s="112" t="s">
        <v>332</v>
      </c>
      <c r="G56" s="112"/>
      <c r="H56" s="112"/>
      <c r="I56" s="112"/>
      <c r="J56" s="112"/>
      <c r="K56" s="320"/>
      <c r="L56" s="112"/>
      <c r="M56" s="112"/>
      <c r="N56" s="112"/>
      <c r="O56" s="320"/>
    </row>
    <row r="57" spans="1:15">
      <c r="A57" s="316">
        <f t="shared" si="0"/>
        <v>50</v>
      </c>
      <c r="B57" s="112"/>
      <c r="C57" s="112"/>
      <c r="D57" s="112"/>
      <c r="E57" s="112"/>
      <c r="F57" s="112"/>
      <c r="G57" s="112"/>
      <c r="H57" s="112"/>
      <c r="I57" s="112"/>
      <c r="J57" s="112"/>
      <c r="K57" s="320"/>
      <c r="L57" s="112"/>
      <c r="M57" s="112"/>
      <c r="N57" s="320"/>
      <c r="O57" s="320"/>
    </row>
    <row r="58" spans="1:15">
      <c r="A58" s="316">
        <f t="shared" si="0"/>
        <v>51</v>
      </c>
      <c r="B58" s="112"/>
      <c r="C58" s="112"/>
      <c r="D58" s="320" t="s">
        <v>333</v>
      </c>
      <c r="E58" s="320"/>
      <c r="F58" s="320"/>
      <c r="G58" s="320"/>
      <c r="H58" s="320"/>
      <c r="I58" s="320"/>
      <c r="J58" s="320"/>
      <c r="K58" s="320"/>
      <c r="L58" s="112"/>
      <c r="M58" s="112"/>
      <c r="N58" s="112"/>
      <c r="O58" s="112"/>
    </row>
    <row r="59" spans="1:15">
      <c r="A59" s="316">
        <f t="shared" si="0"/>
        <v>52</v>
      </c>
      <c r="B59" s="112"/>
      <c r="C59" s="112"/>
      <c r="D59" s="320"/>
      <c r="E59" s="320"/>
      <c r="F59" s="320"/>
      <c r="G59" s="320"/>
      <c r="H59" s="320"/>
      <c r="I59" s="320"/>
      <c r="J59" s="320"/>
      <c r="K59" s="321" t="s">
        <v>334</v>
      </c>
      <c r="L59" s="112"/>
      <c r="M59" s="112"/>
      <c r="N59" s="112"/>
      <c r="O59" s="112"/>
    </row>
    <row r="60" spans="1:15">
      <c r="A60" s="316">
        <f t="shared" si="0"/>
        <v>53</v>
      </c>
      <c r="B60" s="112"/>
      <c r="C60" s="112"/>
      <c r="D60" s="320"/>
      <c r="E60" s="322" t="s">
        <v>291</v>
      </c>
      <c r="F60" s="321"/>
      <c r="G60" s="321"/>
      <c r="H60" s="322" t="s">
        <v>292</v>
      </c>
      <c r="I60" s="320"/>
      <c r="J60" s="320"/>
      <c r="K60" s="322" t="s">
        <v>335</v>
      </c>
      <c r="L60" s="112"/>
      <c r="M60" s="112"/>
      <c r="N60" s="112"/>
      <c r="O60" s="112"/>
    </row>
    <row r="61" spans="1:15">
      <c r="A61" s="316">
        <f t="shared" si="0"/>
        <v>54</v>
      </c>
      <c r="B61" s="112"/>
      <c r="C61" s="112"/>
      <c r="D61" s="112"/>
      <c r="E61" s="112" t="s">
        <v>319</v>
      </c>
      <c r="F61" s="112"/>
      <c r="G61" s="112"/>
      <c r="H61" s="112" t="s">
        <v>336</v>
      </c>
      <c r="I61" s="112"/>
      <c r="J61" s="112"/>
      <c r="K61" s="118">
        <v>6.7999999999999996E-3</v>
      </c>
      <c r="L61" s="112"/>
      <c r="M61" s="112"/>
      <c r="N61" s="112"/>
      <c r="O61" s="112"/>
    </row>
    <row r="62" spans="1:15">
      <c r="A62" s="316">
        <f t="shared" si="0"/>
        <v>55</v>
      </c>
      <c r="B62" s="112"/>
      <c r="C62" s="112"/>
      <c r="D62" s="112"/>
      <c r="E62" s="112" t="s">
        <v>337</v>
      </c>
      <c r="F62" s="112"/>
      <c r="G62" s="112"/>
      <c r="H62" s="112" t="s">
        <v>336</v>
      </c>
      <c r="I62" s="112"/>
      <c r="J62" s="112"/>
      <c r="K62" s="118">
        <v>6.1999999999999998E-3</v>
      </c>
      <c r="L62" s="112"/>
      <c r="M62" s="112"/>
      <c r="N62" s="112"/>
      <c r="O62" s="112"/>
    </row>
    <row r="63" spans="1:15">
      <c r="A63" s="316">
        <f t="shared" si="0"/>
        <v>56</v>
      </c>
      <c r="B63" s="112"/>
      <c r="C63" s="112"/>
      <c r="D63" s="112"/>
      <c r="E63" s="112" t="s">
        <v>338</v>
      </c>
      <c r="F63" s="112"/>
      <c r="G63" s="112"/>
      <c r="H63" s="112" t="s">
        <v>336</v>
      </c>
      <c r="I63" s="112"/>
      <c r="J63" s="112"/>
      <c r="K63" s="118">
        <v>6.7999999999999996E-3</v>
      </c>
      <c r="L63" s="112"/>
      <c r="M63" s="112"/>
      <c r="N63" s="112"/>
      <c r="O63" s="112"/>
    </row>
    <row r="64" spans="1:15">
      <c r="A64" s="316">
        <f t="shared" si="0"/>
        <v>57</v>
      </c>
      <c r="B64" s="112"/>
      <c r="C64" s="112"/>
      <c r="D64" s="112"/>
      <c r="E64" s="112" t="s">
        <v>339</v>
      </c>
      <c r="F64" s="112"/>
      <c r="G64" s="112"/>
      <c r="H64" s="112" t="s">
        <v>336</v>
      </c>
      <c r="I64" s="112"/>
      <c r="J64" s="112"/>
      <c r="K64" s="118">
        <v>6.1999999999999998E-3</v>
      </c>
      <c r="L64" s="112"/>
      <c r="M64" s="112"/>
      <c r="N64" s="112"/>
      <c r="O64" s="112"/>
    </row>
    <row r="65" spans="1:11">
      <c r="A65" s="316">
        <f t="shared" si="0"/>
        <v>58</v>
      </c>
      <c r="B65" s="112"/>
      <c r="C65" s="112"/>
      <c r="D65" s="112"/>
      <c r="E65" s="112" t="s">
        <v>296</v>
      </c>
      <c r="F65" s="112"/>
      <c r="G65" s="112"/>
      <c r="H65" s="112" t="s">
        <v>336</v>
      </c>
      <c r="I65" s="112"/>
      <c r="J65" s="112"/>
      <c r="K65" s="118">
        <v>6.4000000000000003E-3</v>
      </c>
    </row>
    <row r="66" spans="1:11">
      <c r="A66" s="316">
        <f t="shared" si="0"/>
        <v>59</v>
      </c>
      <c r="B66" s="112"/>
      <c r="C66" s="112"/>
      <c r="D66" s="112"/>
      <c r="E66" s="112" t="s">
        <v>340</v>
      </c>
      <c r="F66" s="112"/>
      <c r="G66" s="112"/>
      <c r="H66" s="112" t="s">
        <v>336</v>
      </c>
      <c r="I66" s="112"/>
      <c r="J66" s="112"/>
      <c r="K66" s="118">
        <v>6.1999999999999998E-3</v>
      </c>
    </row>
    <row r="67" spans="1:11">
      <c r="A67" s="316">
        <f t="shared" si="0"/>
        <v>60</v>
      </c>
      <c r="B67" s="112"/>
      <c r="C67" s="112"/>
      <c r="D67" s="112"/>
      <c r="E67" s="112" t="s">
        <v>341</v>
      </c>
      <c r="F67" s="112"/>
      <c r="G67" s="112"/>
      <c r="H67" s="112" t="s">
        <v>336</v>
      </c>
      <c r="I67" s="112"/>
      <c r="J67" s="112"/>
      <c r="K67" s="118">
        <v>6.4000000000000003E-3</v>
      </c>
    </row>
    <row r="68" spans="1:11">
      <c r="A68" s="316">
        <f t="shared" si="0"/>
        <v>61</v>
      </c>
      <c r="B68" s="112"/>
      <c r="C68" s="112"/>
      <c r="D68" s="112"/>
      <c r="E68" s="112" t="s">
        <v>342</v>
      </c>
      <c r="F68" s="112"/>
      <c r="G68" s="112"/>
      <c r="H68" s="112" t="s">
        <v>336</v>
      </c>
      <c r="I68" s="112"/>
      <c r="J68" s="112"/>
      <c r="K68" s="118">
        <v>6.4000000000000003E-3</v>
      </c>
    </row>
    <row r="69" spans="1:11">
      <c r="A69" s="316">
        <f t="shared" si="0"/>
        <v>62</v>
      </c>
      <c r="B69" s="112"/>
      <c r="C69" s="112"/>
      <c r="D69" s="112"/>
      <c r="E69" s="112" t="s">
        <v>307</v>
      </c>
      <c r="F69" s="112"/>
      <c r="G69" s="112"/>
      <c r="H69" s="112" t="s">
        <v>336</v>
      </c>
      <c r="I69" s="112"/>
      <c r="J69" s="112"/>
      <c r="K69" s="118">
        <v>6.1999999999999998E-3</v>
      </c>
    </row>
    <row r="70" spans="1:11">
      <c r="A70" s="316">
        <f t="shared" si="0"/>
        <v>63</v>
      </c>
      <c r="B70" s="112"/>
      <c r="C70" s="112"/>
      <c r="D70" s="112"/>
      <c r="E70" s="112" t="s">
        <v>316</v>
      </c>
      <c r="F70" s="112"/>
      <c r="G70" s="112"/>
      <c r="H70" s="112" t="s">
        <v>336</v>
      </c>
      <c r="I70" s="112"/>
      <c r="J70" s="112"/>
      <c r="K70" s="118">
        <v>6.4000000000000003E-3</v>
      </c>
    </row>
    <row r="71" spans="1:11">
      <c r="A71" s="316">
        <f t="shared" si="0"/>
        <v>64</v>
      </c>
      <c r="B71" s="112"/>
      <c r="C71" s="112"/>
      <c r="D71" s="112"/>
      <c r="E71" s="112" t="s">
        <v>343</v>
      </c>
      <c r="F71" s="112"/>
      <c r="G71" s="112"/>
      <c r="H71" s="112" t="s">
        <v>336</v>
      </c>
      <c r="I71" s="112"/>
      <c r="J71" s="112"/>
      <c r="K71" s="118">
        <v>6.1999999999999998E-3</v>
      </c>
    </row>
    <row r="72" spans="1:11">
      <c r="A72" s="316">
        <f t="shared" si="0"/>
        <v>65</v>
      </c>
      <c r="B72" s="112"/>
      <c r="C72" s="112"/>
      <c r="D72" s="112"/>
      <c r="E72" s="112" t="s">
        <v>344</v>
      </c>
      <c r="F72" s="112"/>
      <c r="G72" s="112"/>
      <c r="H72" s="112" t="s">
        <v>336</v>
      </c>
      <c r="I72" s="112"/>
      <c r="J72" s="112"/>
      <c r="K72" s="118">
        <v>6.4000000000000003E-3</v>
      </c>
    </row>
    <row r="73" spans="1:11">
      <c r="A73" s="316">
        <f t="shared" si="0"/>
        <v>66</v>
      </c>
      <c r="B73" s="112"/>
      <c r="C73" s="112"/>
      <c r="D73" s="112"/>
      <c r="E73" s="112" t="s">
        <v>319</v>
      </c>
      <c r="F73" s="112"/>
      <c r="G73" s="112"/>
      <c r="H73" s="112" t="s">
        <v>345</v>
      </c>
      <c r="I73" s="112"/>
      <c r="J73" s="112"/>
      <c r="K73" s="118">
        <v>6.1000000000000004E-3</v>
      </c>
    </row>
    <row r="74" spans="1:11">
      <c r="A74" s="316">
        <f t="shared" si="0"/>
        <v>67</v>
      </c>
      <c r="B74" s="112"/>
      <c r="C74" s="112"/>
      <c r="D74" s="112"/>
      <c r="E74" s="112" t="s">
        <v>337</v>
      </c>
      <c r="F74" s="112"/>
      <c r="G74" s="112"/>
      <c r="H74" s="112" t="s">
        <v>345</v>
      </c>
      <c r="I74" s="112"/>
      <c r="J74" s="112"/>
      <c r="K74" s="118">
        <v>5.4999999999999997E-3</v>
      </c>
    </row>
    <row r="75" spans="1:11">
      <c r="A75" s="316">
        <f>A74+1</f>
        <v>68</v>
      </c>
      <c r="B75" s="112"/>
      <c r="C75" s="112"/>
      <c r="D75" s="112"/>
      <c r="E75" s="112" t="s">
        <v>338</v>
      </c>
      <c r="F75" s="112"/>
      <c r="G75" s="112"/>
      <c r="H75" s="112" t="s">
        <v>345</v>
      </c>
      <c r="I75" s="112"/>
      <c r="J75" s="112"/>
      <c r="K75" s="118">
        <v>6.1000000000000004E-3</v>
      </c>
    </row>
    <row r="76" spans="1:11">
      <c r="A76" s="316">
        <f>A75+1</f>
        <v>69</v>
      </c>
      <c r="B76" s="112"/>
      <c r="C76" s="112"/>
      <c r="D76" s="112"/>
      <c r="E76" s="112" t="s">
        <v>339</v>
      </c>
      <c r="F76" s="112"/>
      <c r="G76" s="112"/>
      <c r="H76" s="112" t="s">
        <v>345</v>
      </c>
      <c r="I76" s="112"/>
      <c r="J76" s="112"/>
      <c r="K76" s="118">
        <v>5.5999999999999999E-3</v>
      </c>
    </row>
    <row r="77" spans="1:11">
      <c r="A77" s="316">
        <f>A76+1</f>
        <v>70</v>
      </c>
      <c r="B77" s="112"/>
      <c r="C77" s="112"/>
      <c r="D77" s="112"/>
      <c r="E77" s="112"/>
      <c r="F77" s="112" t="s">
        <v>346</v>
      </c>
      <c r="G77" s="112"/>
      <c r="H77" s="112"/>
      <c r="I77" s="112"/>
      <c r="J77" s="112"/>
      <c r="K77" s="323">
        <f>ROUND(AVERAGE(K61:K76),6)</f>
        <v>6.2440000000000004E-3</v>
      </c>
    </row>
  </sheetData>
  <mergeCells count="1">
    <mergeCell ref="A5:O5"/>
  </mergeCells>
  <phoneticPr fontId="13" type="noConversion"/>
  <pageMargins left="0.5" right="0.25" top="0.75" bottom="0.5" header="0.5" footer="0.5"/>
  <pageSetup scale="66" orientation="portrait" r:id="rId1"/>
  <headerFooter alignWithMargins="0">
    <oddHeader>&amp;L&amp;8 2016 BHP Capital True-up Transmission Rate True-Up&amp;C&amp;"Arial MT,Bold"
CALCULATION OF TRUE-UP ADJUSTMENT
BLACK HILLS POWER, INC.&amp;R&amp;10Page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3:H33"/>
  <sheetViews>
    <sheetView workbookViewId="0">
      <selection activeCell="E50" sqref="E50"/>
    </sheetView>
  </sheetViews>
  <sheetFormatPr defaultColWidth="7.109375" defaultRowHeight="12.75"/>
  <cols>
    <col min="1" max="1" width="10.109375" style="119" customWidth="1"/>
    <col min="2" max="2" width="3.5546875" style="119" customWidth="1"/>
    <col min="3" max="4" width="1.88671875" style="119" customWidth="1"/>
    <col min="5" max="5" width="4" style="119" customWidth="1"/>
    <col min="6" max="6" width="24.109375" style="119" customWidth="1"/>
    <col min="7" max="7" width="1.88671875" style="119" customWidth="1"/>
    <col min="8" max="8" width="8.109375" style="120" customWidth="1"/>
    <col min="9" max="9" width="8.109375" style="119" customWidth="1"/>
    <col min="10" max="16384" width="7.109375" style="119"/>
  </cols>
  <sheetData>
    <row r="3" spans="1:8">
      <c r="F3" s="112"/>
    </row>
    <row r="4" spans="1:8">
      <c r="A4" s="330" t="s">
        <v>347</v>
      </c>
      <c r="B4" s="330"/>
      <c r="C4" s="330"/>
      <c r="D4" s="330"/>
      <c r="E4" s="330"/>
      <c r="F4" s="330"/>
      <c r="G4" s="330"/>
      <c r="H4" s="330"/>
    </row>
    <row r="5" spans="1:8">
      <c r="B5" s="122" t="s">
        <v>58</v>
      </c>
      <c r="H5" s="123" t="s">
        <v>348</v>
      </c>
    </row>
    <row r="6" spans="1:8">
      <c r="B6" s="124" t="s">
        <v>63</v>
      </c>
      <c r="D6" s="125" t="s">
        <v>349</v>
      </c>
      <c r="E6" s="125"/>
      <c r="F6" s="125"/>
      <c r="H6" s="126" t="s">
        <v>231</v>
      </c>
    </row>
    <row r="7" spans="1:8">
      <c r="B7" s="122">
        <v>1</v>
      </c>
    </row>
    <row r="8" spans="1:8">
      <c r="B8" s="122">
        <v>2</v>
      </c>
      <c r="D8" s="127" t="s">
        <v>350</v>
      </c>
      <c r="E8" s="127"/>
    </row>
    <row r="9" spans="1:8">
      <c r="B9" s="122">
        <v>3</v>
      </c>
    </row>
    <row r="10" spans="1:8">
      <c r="B10" s="122">
        <v>4</v>
      </c>
      <c r="E10" s="119">
        <v>350</v>
      </c>
      <c r="F10" s="119" t="s">
        <v>351</v>
      </c>
      <c r="H10" s="4">
        <v>0</v>
      </c>
    </row>
    <row r="11" spans="1:8">
      <c r="B11" s="122">
        <v>5</v>
      </c>
      <c r="E11" s="119">
        <v>352</v>
      </c>
      <c r="F11" s="119" t="s">
        <v>352</v>
      </c>
      <c r="H11" s="4">
        <v>2.3900000000000001E-2</v>
      </c>
    </row>
    <row r="12" spans="1:8">
      <c r="B12" s="122">
        <v>6</v>
      </c>
      <c r="E12" s="119">
        <v>353</v>
      </c>
      <c r="F12" s="119" t="s">
        <v>353</v>
      </c>
      <c r="H12" s="4">
        <v>2.6599999999999999E-2</v>
      </c>
    </row>
    <row r="13" spans="1:8">
      <c r="B13" s="122">
        <v>7</v>
      </c>
      <c r="E13" s="119">
        <v>354</v>
      </c>
      <c r="F13" s="119" t="s">
        <v>354</v>
      </c>
      <c r="H13" s="4">
        <v>2.0400000000000001E-2</v>
      </c>
    </row>
    <row r="14" spans="1:8">
      <c r="B14" s="122">
        <v>8</v>
      </c>
      <c r="E14" s="119">
        <v>355</v>
      </c>
      <c r="F14" s="119" t="s">
        <v>355</v>
      </c>
      <c r="H14" s="4">
        <v>2.2200000000000001E-2</v>
      </c>
    </row>
    <row r="15" spans="1:8">
      <c r="B15" s="122">
        <v>9</v>
      </c>
      <c r="E15" s="119">
        <v>356</v>
      </c>
      <c r="F15" s="119" t="s">
        <v>356</v>
      </c>
      <c r="H15" s="4">
        <v>2.0400000000000001E-2</v>
      </c>
    </row>
    <row r="16" spans="1:8">
      <c r="B16" s="122">
        <v>10</v>
      </c>
      <c r="E16" s="119">
        <v>359</v>
      </c>
      <c r="F16" s="119" t="s">
        <v>357</v>
      </c>
      <c r="H16" s="4">
        <v>1.95E-2</v>
      </c>
    </row>
    <row r="17" spans="2:8">
      <c r="B17" s="122">
        <v>11</v>
      </c>
      <c r="F17" s="119" t="s">
        <v>358</v>
      </c>
      <c r="H17" s="4">
        <v>2.3199999999999998E-2</v>
      </c>
    </row>
    <row r="18" spans="2:8">
      <c r="B18" s="122">
        <v>12</v>
      </c>
      <c r="H18" s="4"/>
    </row>
    <row r="19" spans="2:8">
      <c r="B19" s="122">
        <v>13</v>
      </c>
      <c r="D19" s="127" t="s">
        <v>359</v>
      </c>
      <c r="H19" s="4"/>
    </row>
    <row r="20" spans="2:8">
      <c r="B20" s="122">
        <v>14</v>
      </c>
      <c r="H20" s="4"/>
    </row>
    <row r="21" spans="2:8">
      <c r="B21" s="122">
        <v>15</v>
      </c>
      <c r="E21" s="119">
        <v>389</v>
      </c>
      <c r="F21" s="128" t="s">
        <v>351</v>
      </c>
      <c r="H21" s="4">
        <v>0</v>
      </c>
    </row>
    <row r="22" spans="2:8">
      <c r="B22" s="122">
        <v>16</v>
      </c>
      <c r="E22" s="119">
        <v>390</v>
      </c>
      <c r="F22" s="119" t="s">
        <v>352</v>
      </c>
      <c r="H22" s="4">
        <v>4.7300000000000002E-2</v>
      </c>
    </row>
    <row r="23" spans="2:8">
      <c r="B23" s="122">
        <v>17</v>
      </c>
      <c r="E23" s="119">
        <v>391</v>
      </c>
      <c r="F23" s="119" t="s">
        <v>360</v>
      </c>
      <c r="H23" s="4">
        <v>0.1056</v>
      </c>
    </row>
    <row r="24" spans="2:8">
      <c r="B24" s="122">
        <v>18</v>
      </c>
      <c r="E24" s="119">
        <v>392</v>
      </c>
      <c r="F24" s="119" t="s">
        <v>361</v>
      </c>
      <c r="H24" s="4">
        <v>9.06E-2</v>
      </c>
    </row>
    <row r="25" spans="2:8">
      <c r="B25" s="122">
        <v>19</v>
      </c>
      <c r="E25" s="119">
        <v>393</v>
      </c>
      <c r="F25" s="119" t="s">
        <v>362</v>
      </c>
      <c r="H25" s="4">
        <v>4.2299999999999997E-2</v>
      </c>
    </row>
    <row r="26" spans="2:8">
      <c r="B26" s="122">
        <v>20</v>
      </c>
      <c r="E26" s="119">
        <v>394</v>
      </c>
      <c r="F26" s="119" t="s">
        <v>363</v>
      </c>
      <c r="H26" s="4">
        <v>4.2299999999999997E-2</v>
      </c>
    </row>
    <row r="27" spans="2:8">
      <c r="B27" s="122">
        <v>21</v>
      </c>
      <c r="E27" s="119">
        <v>395</v>
      </c>
      <c r="F27" s="119" t="s">
        <v>364</v>
      </c>
      <c r="H27" s="4">
        <v>3.0599999999999999E-2</v>
      </c>
    </row>
    <row r="28" spans="2:8">
      <c r="B28" s="122">
        <v>22</v>
      </c>
      <c r="E28" s="119">
        <v>396</v>
      </c>
      <c r="F28" s="119" t="s">
        <v>365</v>
      </c>
      <c r="H28" s="4">
        <v>4.2299999999999997E-2</v>
      </c>
    </row>
    <row r="29" spans="2:8">
      <c r="B29" s="122">
        <v>23</v>
      </c>
      <c r="E29" s="119">
        <v>397</v>
      </c>
      <c r="F29" s="119" t="s">
        <v>366</v>
      </c>
      <c r="H29" s="4">
        <v>4.3900000000000002E-2</v>
      </c>
    </row>
    <row r="30" spans="2:8">
      <c r="B30" s="122">
        <v>24</v>
      </c>
      <c r="E30" s="119">
        <v>398</v>
      </c>
      <c r="F30" s="119" t="s">
        <v>367</v>
      </c>
      <c r="H30" s="4">
        <v>5.8099999999999999E-2</v>
      </c>
    </row>
    <row r="31" spans="2:8">
      <c r="B31" s="122">
        <v>25</v>
      </c>
      <c r="F31" s="119" t="s">
        <v>368</v>
      </c>
      <c r="H31" s="4">
        <v>6.5299999999999997E-2</v>
      </c>
    </row>
    <row r="32" spans="2:8">
      <c r="B32" s="122">
        <v>26</v>
      </c>
    </row>
    <row r="33" spans="2:5">
      <c r="B33" s="122">
        <v>27</v>
      </c>
      <c r="D33" s="119" t="s">
        <v>369</v>
      </c>
      <c r="E33" s="129"/>
    </row>
  </sheetData>
  <mergeCells count="1">
    <mergeCell ref="A4:H4"/>
  </mergeCells>
  <phoneticPr fontId="13" type="noConversion"/>
  <pageMargins left="1" right="1" top="0.75" bottom="0.75" header="0.5" footer="0.5"/>
  <pageSetup orientation="portrait" r:id="rId1"/>
  <headerFooter alignWithMargins="0">
    <oddHeader>&amp;L&amp;8 2016 BHP-Workpaper 5 Rate True-Up&amp;C&amp;"Arial MT,Bold"
WORKPAPER 5
BLACK HILLS POWER, INC.&amp;R&amp;10Page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2:AE172"/>
  <sheetViews>
    <sheetView zoomScale="70" zoomScaleNormal="70" workbookViewId="0">
      <pane xSplit="4" ySplit="13" topLeftCell="E14" activePane="bottomRight" state="frozen"/>
      <selection pane="topRight" activeCell="E50" sqref="E50"/>
      <selection pane="bottomLeft" activeCell="E50" sqref="E50"/>
      <selection pane="bottomRight" activeCell="E14" sqref="E14"/>
    </sheetView>
  </sheetViews>
  <sheetFormatPr defaultColWidth="8.77734375" defaultRowHeight="15"/>
  <cols>
    <col min="1" max="1" width="6" style="133" customWidth="1"/>
    <col min="2" max="2" width="1.44140625" style="133" customWidth="1"/>
    <col min="3" max="3" width="36" style="133" customWidth="1"/>
    <col min="4" max="4" width="27.44140625" style="133" customWidth="1"/>
    <col min="5" max="5" width="16.109375" style="133" customWidth="1"/>
    <col min="6" max="11" width="15.88671875" style="133" customWidth="1"/>
    <col min="12" max="12" width="17.6640625" style="133" customWidth="1"/>
    <col min="13" max="13" width="16.109375" style="133" customWidth="1"/>
    <col min="14" max="15" width="15.88671875" style="133" customWidth="1"/>
    <col min="16" max="16" width="19.6640625" style="133" customWidth="1"/>
    <col min="17" max="17" width="14.88671875" style="133" bestFit="1" customWidth="1"/>
    <col min="18" max="18" width="17.88671875" style="133" customWidth="1"/>
    <col min="19" max="19" width="15.44140625" style="133" customWidth="1"/>
    <col min="20" max="20" width="14.88671875" style="133" bestFit="1" customWidth="1"/>
    <col min="21" max="21" width="14.109375" style="133" bestFit="1" customWidth="1"/>
    <col min="22" max="22" width="13.33203125" style="133" bestFit="1" customWidth="1"/>
    <col min="23" max="16384" width="8.77734375" style="133"/>
  </cols>
  <sheetData>
    <row r="2" spans="1:20" ht="15.75">
      <c r="A2" s="130"/>
      <c r="B2" s="130"/>
      <c r="C2" s="130"/>
      <c r="D2" s="131"/>
      <c r="E2" s="130"/>
      <c r="F2" s="130"/>
      <c r="G2" s="130"/>
      <c r="H2" s="130"/>
      <c r="I2" s="132" t="str">
        <f>'CU AC Rate Design - True-Up'!H1</f>
        <v>Date: May 31, 2026</v>
      </c>
      <c r="J2" s="130"/>
      <c r="K2" s="130"/>
      <c r="L2" s="130"/>
      <c r="O2" s="134"/>
      <c r="R2" s="135" t="str">
        <f>I2</f>
        <v>Date: May 31, 2026</v>
      </c>
    </row>
    <row r="3" spans="1:20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4"/>
    </row>
    <row r="4" spans="1:20" ht="15" customHeight="1">
      <c r="A4" s="331" t="s">
        <v>46</v>
      </c>
      <c r="B4" s="331"/>
      <c r="C4" s="331"/>
      <c r="D4" s="331"/>
      <c r="E4" s="331"/>
      <c r="F4" s="331"/>
      <c r="G4" s="331"/>
      <c r="H4" s="331"/>
      <c r="I4" s="331"/>
      <c r="J4" s="331" t="s">
        <v>46</v>
      </c>
      <c r="K4" s="331"/>
      <c r="L4" s="331"/>
      <c r="M4" s="331"/>
      <c r="N4" s="331"/>
      <c r="O4" s="331"/>
      <c r="P4" s="331"/>
      <c r="Q4" s="331"/>
      <c r="R4" s="331"/>
    </row>
    <row r="5" spans="1:20" ht="15.75">
      <c r="A5" s="332" t="s">
        <v>47</v>
      </c>
      <c r="B5" s="332"/>
      <c r="C5" s="332"/>
      <c r="D5" s="332"/>
      <c r="E5" s="332"/>
      <c r="F5" s="332"/>
      <c r="G5" s="332"/>
      <c r="H5" s="332"/>
      <c r="I5" s="332"/>
      <c r="J5" s="332" t="s">
        <v>47</v>
      </c>
      <c r="K5" s="332"/>
      <c r="L5" s="332"/>
      <c r="M5" s="332"/>
      <c r="N5" s="332"/>
      <c r="O5" s="332"/>
      <c r="P5" s="332"/>
      <c r="Q5" s="332"/>
      <c r="R5" s="332"/>
    </row>
    <row r="6" spans="1:20">
      <c r="A6" s="130"/>
      <c r="B6" s="130"/>
      <c r="C6" s="134"/>
      <c r="D6" s="134"/>
      <c r="F6" s="134"/>
      <c r="G6" s="134"/>
      <c r="H6" s="134"/>
      <c r="I6" s="134"/>
      <c r="J6" s="130"/>
      <c r="K6" s="130"/>
      <c r="L6" s="134"/>
      <c r="M6" s="134"/>
      <c r="O6" s="134"/>
      <c r="P6" s="134"/>
      <c r="Q6" s="134"/>
      <c r="R6" s="134"/>
    </row>
    <row r="7" spans="1:20" ht="15" customHeight="1">
      <c r="A7" s="333" t="s">
        <v>48</v>
      </c>
      <c r="B7" s="333"/>
      <c r="C7" s="333"/>
      <c r="D7" s="333"/>
      <c r="E7" s="333"/>
      <c r="F7" s="333"/>
      <c r="G7" s="333"/>
      <c r="H7" s="333"/>
      <c r="I7" s="333"/>
      <c r="J7" s="333" t="s">
        <v>48</v>
      </c>
      <c r="K7" s="333"/>
      <c r="L7" s="333"/>
      <c r="M7" s="333"/>
      <c r="N7" s="333"/>
      <c r="O7" s="333"/>
      <c r="P7" s="333"/>
      <c r="Q7" s="333"/>
      <c r="R7" s="333"/>
    </row>
    <row r="8" spans="1:20">
      <c r="A8" s="139"/>
      <c r="B8" s="130"/>
      <c r="C8" s="134"/>
      <c r="D8" s="134"/>
      <c r="E8" s="140"/>
      <c r="F8" s="134"/>
      <c r="G8" s="134"/>
      <c r="H8" s="134"/>
      <c r="I8" s="141"/>
      <c r="J8" s="142"/>
      <c r="K8" s="134"/>
      <c r="L8" s="134"/>
      <c r="M8" s="134"/>
      <c r="N8" s="134"/>
      <c r="O8" s="134"/>
      <c r="P8" s="134"/>
      <c r="Q8" s="134"/>
      <c r="R8" s="134"/>
    </row>
    <row r="9" spans="1:20">
      <c r="A9" s="130"/>
      <c r="B9" s="130"/>
      <c r="C9" s="143"/>
      <c r="D9" s="143"/>
      <c r="E9" s="143"/>
      <c r="F9" s="144"/>
      <c r="G9" s="144"/>
      <c r="H9" s="144"/>
      <c r="I9" s="144"/>
      <c r="J9" s="144"/>
      <c r="K9" s="144"/>
      <c r="L9" s="143"/>
    </row>
    <row r="10" spans="1:20" ht="15.75" customHeight="1">
      <c r="A10" s="130"/>
      <c r="B10" s="130"/>
      <c r="C10" s="134"/>
      <c r="D10" s="137" t="s">
        <v>55</v>
      </c>
      <c r="E10" s="144"/>
      <c r="F10" s="144"/>
      <c r="G10" s="144"/>
      <c r="H10" s="144"/>
      <c r="I10" s="144"/>
      <c r="J10" s="144"/>
      <c r="K10" s="144"/>
      <c r="L10" s="143"/>
    </row>
    <row r="11" spans="1:20" ht="15.75">
      <c r="A11" s="139" t="s">
        <v>58</v>
      </c>
      <c r="B11" s="130"/>
      <c r="C11" s="134"/>
      <c r="D11" s="145" t="s">
        <v>59</v>
      </c>
      <c r="E11" s="136" t="s">
        <v>60</v>
      </c>
      <c r="F11" s="146"/>
      <c r="G11" s="146"/>
      <c r="H11" s="146"/>
      <c r="I11" s="146"/>
      <c r="J11" s="146"/>
      <c r="K11" s="146"/>
      <c r="L11" s="143"/>
    </row>
    <row r="12" spans="1:20" ht="16.5" thickBot="1">
      <c r="A12" s="147" t="s">
        <v>63</v>
      </c>
      <c r="B12" s="130"/>
      <c r="C12" s="148" t="s">
        <v>64</v>
      </c>
      <c r="D12" s="144"/>
      <c r="E12" s="149" t="s">
        <v>370</v>
      </c>
      <c r="F12" s="149" t="s">
        <v>371</v>
      </c>
      <c r="G12" s="149" t="s">
        <v>372</v>
      </c>
      <c r="H12" s="149" t="s">
        <v>373</v>
      </c>
      <c r="I12" s="149" t="s">
        <v>374</v>
      </c>
      <c r="J12" s="149" t="s">
        <v>375</v>
      </c>
      <c r="K12" s="149" t="s">
        <v>376</v>
      </c>
      <c r="L12" s="149" t="s">
        <v>377</v>
      </c>
      <c r="M12" s="149" t="s">
        <v>274</v>
      </c>
      <c r="N12" s="149" t="s">
        <v>378</v>
      </c>
      <c r="O12" s="149" t="s">
        <v>379</v>
      </c>
      <c r="P12" s="149" t="s">
        <v>380</v>
      </c>
      <c r="Q12" s="149" t="s">
        <v>381</v>
      </c>
      <c r="R12" s="149" t="s">
        <v>382</v>
      </c>
    </row>
    <row r="13" spans="1:20" ht="15" customHeight="1">
      <c r="A13" s="139"/>
      <c r="B13" s="130"/>
      <c r="C13" s="134"/>
      <c r="D13" s="144"/>
      <c r="E13" s="150">
        <v>45627</v>
      </c>
      <c r="F13" s="150">
        <v>45658</v>
      </c>
      <c r="G13" s="150">
        <v>45689</v>
      </c>
      <c r="H13" s="150">
        <v>45717</v>
      </c>
      <c r="I13" s="150">
        <v>45748</v>
      </c>
      <c r="J13" s="150">
        <v>45778</v>
      </c>
      <c r="K13" s="150">
        <v>45809</v>
      </c>
      <c r="L13" s="150">
        <v>45839</v>
      </c>
      <c r="M13" s="150">
        <v>45870</v>
      </c>
      <c r="N13" s="150">
        <v>45901</v>
      </c>
      <c r="O13" s="150">
        <v>45931</v>
      </c>
      <c r="P13" s="150">
        <v>45962</v>
      </c>
      <c r="Q13" s="150">
        <v>45992</v>
      </c>
      <c r="R13" s="151" t="s">
        <v>383</v>
      </c>
    </row>
    <row r="14" spans="1:20">
      <c r="A14" s="139"/>
      <c r="B14" s="130"/>
      <c r="C14" s="134" t="s">
        <v>384</v>
      </c>
      <c r="D14" s="144" t="s">
        <v>385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20">
      <c r="A15" s="139">
        <v>1</v>
      </c>
      <c r="B15" s="130"/>
      <c r="C15" s="134" t="s">
        <v>67</v>
      </c>
      <c r="D15" s="144" t="s">
        <v>68</v>
      </c>
      <c r="E15" s="151">
        <f t="shared" ref="E15:P15" si="0">E69-E90+E111+E133+E154</f>
        <v>725160801.43999994</v>
      </c>
      <c r="F15" s="151">
        <f>F69-F90+F111+F133+F154</f>
        <v>727752103.29999995</v>
      </c>
      <c r="G15" s="151">
        <f t="shared" si="0"/>
        <v>727725190.23000002</v>
      </c>
      <c r="H15" s="151">
        <f t="shared" si="0"/>
        <v>727968943.67999995</v>
      </c>
      <c r="I15" s="151">
        <f t="shared" si="0"/>
        <v>728670112.41999996</v>
      </c>
      <c r="J15" s="151">
        <f t="shared" si="0"/>
        <v>728854424.38</v>
      </c>
      <c r="K15" s="151">
        <f t="shared" si="0"/>
        <v>727176725.31999993</v>
      </c>
      <c r="L15" s="151">
        <f t="shared" si="0"/>
        <v>732286797.42999983</v>
      </c>
      <c r="M15" s="151">
        <f t="shared" si="0"/>
        <v>733225779.63999987</v>
      </c>
      <c r="N15" s="151">
        <f t="shared" si="0"/>
        <v>728959744.68999994</v>
      </c>
      <c r="O15" s="151">
        <f t="shared" si="0"/>
        <v>740065137.54000008</v>
      </c>
      <c r="P15" s="151">
        <f t="shared" si="0"/>
        <v>754151371.69000018</v>
      </c>
      <c r="Q15" s="151">
        <f>Q69-Q90+Q111+Q133+Q154</f>
        <v>753790094.56000018</v>
      </c>
      <c r="R15" s="151">
        <f t="shared" ref="R15:R21" si="1">AVERAGE(E15:Q15)</f>
        <v>733522094.33230758</v>
      </c>
      <c r="S15" s="151"/>
      <c r="T15" s="151"/>
    </row>
    <row r="16" spans="1:20">
      <c r="A16" s="139">
        <f t="shared" ref="A16:A65" si="2">+A15+1</f>
        <v>2</v>
      </c>
      <c r="B16" s="130"/>
      <c r="C16" s="134" t="s">
        <v>70</v>
      </c>
      <c r="D16" s="144" t="s">
        <v>71</v>
      </c>
      <c r="E16" s="151">
        <f t="shared" ref="E16:Q16" si="3">E70-E91+E112+E134+E155</f>
        <v>299412904.5</v>
      </c>
      <c r="F16" s="151">
        <f t="shared" si="3"/>
        <v>299433840.99000001</v>
      </c>
      <c r="G16" s="151">
        <f t="shared" si="3"/>
        <v>299407792.99000001</v>
      </c>
      <c r="H16" s="151">
        <f t="shared" si="3"/>
        <v>299294392.33999997</v>
      </c>
      <c r="I16" s="151">
        <f t="shared" si="3"/>
        <v>299645719.64999998</v>
      </c>
      <c r="J16" s="151">
        <f t="shared" si="3"/>
        <v>299663933.28999996</v>
      </c>
      <c r="K16" s="151">
        <f t="shared" si="3"/>
        <v>299595912.50999993</v>
      </c>
      <c r="L16" s="151">
        <f t="shared" si="3"/>
        <v>299426364.60000002</v>
      </c>
      <c r="M16" s="151">
        <f t="shared" si="3"/>
        <v>299310215.77999997</v>
      </c>
      <c r="N16" s="151">
        <f t="shared" si="3"/>
        <v>299301464.60999995</v>
      </c>
      <c r="O16" s="151">
        <f t="shared" si="3"/>
        <v>301129710.40999997</v>
      </c>
      <c r="P16" s="151">
        <f t="shared" si="3"/>
        <v>301357829.89999998</v>
      </c>
      <c r="Q16" s="151">
        <f t="shared" si="3"/>
        <v>299983988.14999998</v>
      </c>
      <c r="R16" s="151">
        <f t="shared" si="1"/>
        <v>299766466.90153843</v>
      </c>
      <c r="T16" s="151"/>
    </row>
    <row r="17" spans="1:20">
      <c r="A17" s="139">
        <f t="shared" si="2"/>
        <v>3</v>
      </c>
      <c r="B17" s="130"/>
      <c r="C17" s="134" t="s">
        <v>73</v>
      </c>
      <c r="D17" s="144" t="s">
        <v>74</v>
      </c>
      <c r="E17" s="151">
        <f t="shared" ref="E17:Q17" si="4">E71-E92+E113+E135+E156</f>
        <v>565178193.94309199</v>
      </c>
      <c r="F17" s="151">
        <f t="shared" si="4"/>
        <v>571433704.68000007</v>
      </c>
      <c r="G17" s="151">
        <f t="shared" si="4"/>
        <v>571646899.63999999</v>
      </c>
      <c r="H17" s="151">
        <f t="shared" si="4"/>
        <v>572717760.09111226</v>
      </c>
      <c r="I17" s="151">
        <f t="shared" si="4"/>
        <v>578679027.30000007</v>
      </c>
      <c r="J17" s="151">
        <f t="shared" si="4"/>
        <v>580058255.71000016</v>
      </c>
      <c r="K17" s="151">
        <f t="shared" si="4"/>
        <v>577898859.49366879</v>
      </c>
      <c r="L17" s="151">
        <f t="shared" si="4"/>
        <v>590929763.82999992</v>
      </c>
      <c r="M17" s="151">
        <f t="shared" si="4"/>
        <v>593344418.74000001</v>
      </c>
      <c r="N17" s="151">
        <f t="shared" si="4"/>
        <v>590882432.11774707</v>
      </c>
      <c r="O17" s="151">
        <f t="shared" si="4"/>
        <v>600095577.24000001</v>
      </c>
      <c r="P17" s="151">
        <f t="shared" si="4"/>
        <v>602438517.49000013</v>
      </c>
      <c r="Q17" s="151">
        <f t="shared" si="4"/>
        <v>600361634.32250714</v>
      </c>
      <c r="R17" s="151">
        <f t="shared" si="1"/>
        <v>584281926.50754821</v>
      </c>
      <c r="T17" s="151"/>
    </row>
    <row r="18" spans="1:20">
      <c r="A18" s="139">
        <f t="shared" si="2"/>
        <v>4</v>
      </c>
      <c r="B18" s="130"/>
      <c r="C18" s="134" t="s">
        <v>75</v>
      </c>
      <c r="D18" s="144" t="s">
        <v>386</v>
      </c>
      <c r="E18" s="151">
        <f t="shared" ref="E18:P18" si="5">E72-E93+E114+E136+E157</f>
        <v>73208646.719999999</v>
      </c>
      <c r="F18" s="151">
        <f t="shared" si="5"/>
        <v>69118027.329999983</v>
      </c>
      <c r="G18" s="151">
        <f t="shared" si="5"/>
        <v>68398542.350000039</v>
      </c>
      <c r="H18" s="151">
        <f>H72-H93+H114+H136+H157</f>
        <v>67948806.400000006</v>
      </c>
      <c r="I18" s="151">
        <f t="shared" si="5"/>
        <v>68007255.85999997</v>
      </c>
      <c r="J18" s="151">
        <f t="shared" si="5"/>
        <v>67538599.590000033</v>
      </c>
      <c r="K18" s="151">
        <f t="shared" si="5"/>
        <v>67735739.769999996</v>
      </c>
      <c r="L18" s="151">
        <f t="shared" si="5"/>
        <v>69644955.919999972</v>
      </c>
      <c r="M18" s="151">
        <f t="shared" si="5"/>
        <v>70155648.920000017</v>
      </c>
      <c r="N18" s="151">
        <f t="shared" si="5"/>
        <v>69205921.480000019</v>
      </c>
      <c r="O18" s="151">
        <f>O72-O93+O114+O136+O157</f>
        <v>68040118.00000003</v>
      </c>
      <c r="P18" s="151">
        <f t="shared" si="5"/>
        <v>67987878.670000002</v>
      </c>
      <c r="Q18" s="151">
        <f>Q72-Q93+Q114+Q136+Q157</f>
        <v>67951828.110000029</v>
      </c>
      <c r="R18" s="151">
        <f t="shared" si="1"/>
        <v>68841689.932307705</v>
      </c>
      <c r="T18" s="151"/>
    </row>
    <row r="19" spans="1:20">
      <c r="A19" s="139">
        <f t="shared" si="2"/>
        <v>5</v>
      </c>
      <c r="B19" s="130"/>
      <c r="C19" s="134" t="s">
        <v>78</v>
      </c>
      <c r="D19" s="144" t="s">
        <v>387</v>
      </c>
      <c r="E19" s="151">
        <f t="shared" ref="E19:Q19" si="6">E73-E94+E115+E137+E158</f>
        <v>37323668</v>
      </c>
      <c r="F19" s="151">
        <f t="shared" si="6"/>
        <v>35804667</v>
      </c>
      <c r="G19" s="151">
        <f t="shared" si="6"/>
        <v>35725329</v>
      </c>
      <c r="H19" s="151">
        <f t="shared" si="6"/>
        <v>36115707</v>
      </c>
      <c r="I19" s="151">
        <f t="shared" si="6"/>
        <v>36094731</v>
      </c>
      <c r="J19" s="151">
        <f t="shared" si="6"/>
        <v>35955531</v>
      </c>
      <c r="K19" s="151">
        <f t="shared" si="6"/>
        <v>36469634</v>
      </c>
      <c r="L19" s="151">
        <f t="shared" si="6"/>
        <v>35909663</v>
      </c>
      <c r="M19" s="151">
        <f t="shared" si="6"/>
        <v>35915279</v>
      </c>
      <c r="N19" s="151">
        <f t="shared" si="6"/>
        <v>36002307</v>
      </c>
      <c r="O19" s="151">
        <f t="shared" si="6"/>
        <v>35830525</v>
      </c>
      <c r="P19" s="151">
        <f t="shared" si="6"/>
        <v>35877375</v>
      </c>
      <c r="Q19" s="151">
        <f t="shared" si="6"/>
        <v>37872147</v>
      </c>
      <c r="R19" s="151">
        <f>AVERAGE(E19:Q19)</f>
        <v>36222812.538461536</v>
      </c>
      <c r="T19" s="151"/>
    </row>
    <row r="20" spans="1:20">
      <c r="A20" s="139">
        <f t="shared" si="2"/>
        <v>6</v>
      </c>
      <c r="B20" s="130"/>
      <c r="C20" s="134" t="s">
        <v>80</v>
      </c>
      <c r="D20" s="144" t="s">
        <v>388</v>
      </c>
      <c r="E20" s="151">
        <f t="shared" ref="E20:Q20" si="7">E74-E95+E116+E138+E159</f>
        <v>6753338.9000000004</v>
      </c>
      <c r="F20" s="151">
        <f t="shared" si="7"/>
        <v>8480806.540000001</v>
      </c>
      <c r="G20" s="151">
        <f t="shared" si="7"/>
        <v>8480806.540000001</v>
      </c>
      <c r="H20" s="151">
        <f t="shared" si="7"/>
        <v>8477501.4800000004</v>
      </c>
      <c r="I20" s="151">
        <f t="shared" si="7"/>
        <v>8427300.9700000007</v>
      </c>
      <c r="J20" s="151">
        <f t="shared" si="7"/>
        <v>8998535.7300000004</v>
      </c>
      <c r="K20" s="151">
        <f t="shared" si="7"/>
        <v>8913865.7999999989</v>
      </c>
      <c r="L20" s="151">
        <f t="shared" si="7"/>
        <v>8913865.7999999989</v>
      </c>
      <c r="M20" s="151">
        <f t="shared" si="7"/>
        <v>8924932.4800000004</v>
      </c>
      <c r="N20" s="151">
        <f t="shared" si="7"/>
        <v>8936037.9800000004</v>
      </c>
      <c r="O20" s="151">
        <f t="shared" si="7"/>
        <v>10213409.279999997</v>
      </c>
      <c r="P20" s="151">
        <f t="shared" si="7"/>
        <v>10322349.02</v>
      </c>
      <c r="Q20" s="151">
        <f t="shared" si="7"/>
        <v>10799267.960000001</v>
      </c>
      <c r="R20" s="151">
        <f t="shared" si="1"/>
        <v>8972462.9600000009</v>
      </c>
      <c r="T20" s="151"/>
    </row>
    <row r="21" spans="1:20">
      <c r="A21" s="139">
        <f t="shared" si="2"/>
        <v>7</v>
      </c>
      <c r="B21" s="130"/>
      <c r="C21" s="134" t="s">
        <v>82</v>
      </c>
      <c r="D21" s="144" t="s">
        <v>83</v>
      </c>
      <c r="E21" s="151">
        <v>0</v>
      </c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>
        <v>0</v>
      </c>
      <c r="R21" s="151">
        <f t="shared" si="1"/>
        <v>0</v>
      </c>
    </row>
    <row r="22" spans="1:20">
      <c r="A22" s="139">
        <f t="shared" si="2"/>
        <v>8</v>
      </c>
      <c r="B22" s="130"/>
      <c r="C22" s="152" t="s">
        <v>85</v>
      </c>
      <c r="D22" s="144" t="str">
        <f>"(sum lines "&amp;A15&amp;" - "&amp;A21&amp;")"</f>
        <v>(sum lines 1 - 7)</v>
      </c>
      <c r="E22" s="153">
        <f>SUM(E15:E21)</f>
        <v>1707037553.5030921</v>
      </c>
      <c r="F22" s="153">
        <f t="shared" ref="F22:R22" si="8">SUM(F15:F21)</f>
        <v>1712023149.8399999</v>
      </c>
      <c r="G22" s="153">
        <f t="shared" si="8"/>
        <v>1711384560.7500002</v>
      </c>
      <c r="H22" s="153">
        <f t="shared" si="8"/>
        <v>1712523110.9911122</v>
      </c>
      <c r="I22" s="153">
        <f t="shared" si="8"/>
        <v>1719524147.1999998</v>
      </c>
      <c r="J22" s="153">
        <f t="shared" si="8"/>
        <v>1721069279.7000003</v>
      </c>
      <c r="K22" s="153">
        <f t="shared" si="8"/>
        <v>1717790736.8936687</v>
      </c>
      <c r="L22" s="153">
        <f t="shared" si="8"/>
        <v>1737111410.5799997</v>
      </c>
      <c r="M22" s="153">
        <f t="shared" si="8"/>
        <v>1740876274.5599999</v>
      </c>
      <c r="N22" s="153">
        <f t="shared" si="8"/>
        <v>1733287907.8777471</v>
      </c>
      <c r="O22" s="153">
        <f t="shared" si="8"/>
        <v>1755374477.47</v>
      </c>
      <c r="P22" s="153">
        <f t="shared" si="8"/>
        <v>1772135321.7700005</v>
      </c>
      <c r="Q22" s="153">
        <f t="shared" si="8"/>
        <v>1770758960.1025076</v>
      </c>
      <c r="R22" s="153">
        <f t="shared" si="8"/>
        <v>1731607453.1721632</v>
      </c>
    </row>
    <row r="23" spans="1:20">
      <c r="A23" s="139">
        <f t="shared" si="2"/>
        <v>9</v>
      </c>
      <c r="B23" s="130"/>
      <c r="C23" s="134"/>
      <c r="D23" s="144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</row>
    <row r="24" spans="1:20">
      <c r="A24" s="139">
        <f t="shared" si="2"/>
        <v>10</v>
      </c>
      <c r="B24" s="130"/>
      <c r="C24" s="134" t="s">
        <v>389</v>
      </c>
      <c r="D24" s="144" t="s">
        <v>385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</row>
    <row r="25" spans="1:20">
      <c r="A25" s="139">
        <f t="shared" si="2"/>
        <v>11</v>
      </c>
      <c r="B25" s="130"/>
      <c r="C25" s="134" t="str">
        <f>+C15</f>
        <v xml:space="preserve">  Production</v>
      </c>
      <c r="D25" s="144" t="s">
        <v>88</v>
      </c>
      <c r="E25" s="151">
        <f t="shared" ref="E25:Q25" si="9">+E79-E100+E121-E143+E164</f>
        <v>265967088.20000002</v>
      </c>
      <c r="F25" s="151">
        <f t="shared" si="9"/>
        <v>266871945.26000002</v>
      </c>
      <c r="G25" s="151">
        <f t="shared" si="9"/>
        <v>268649917.00000006</v>
      </c>
      <c r="H25" s="151">
        <f t="shared" si="9"/>
        <v>269934853.46999997</v>
      </c>
      <c r="I25" s="151">
        <f t="shared" si="9"/>
        <v>271714680.77999997</v>
      </c>
      <c r="J25" s="151">
        <f t="shared" si="9"/>
        <v>273489477.87</v>
      </c>
      <c r="K25" s="151">
        <f t="shared" si="9"/>
        <v>270439823.44000006</v>
      </c>
      <c r="L25" s="151">
        <f t="shared" si="9"/>
        <v>276618929.76999998</v>
      </c>
      <c r="M25" s="151">
        <f t="shared" si="9"/>
        <v>278291408.31999999</v>
      </c>
      <c r="N25" s="151">
        <f t="shared" si="9"/>
        <v>274518455.21999991</v>
      </c>
      <c r="O25" s="151">
        <f t="shared" si="9"/>
        <v>277700440.10000002</v>
      </c>
      <c r="P25" s="151">
        <f t="shared" si="9"/>
        <v>279485584.79000002</v>
      </c>
      <c r="Q25" s="151">
        <f t="shared" si="9"/>
        <v>272492754.75</v>
      </c>
      <c r="R25" s="151">
        <f t="shared" ref="R25:R31" si="10">AVERAGE(E25:Q25)</f>
        <v>272782719.92076921</v>
      </c>
      <c r="S25" s="151"/>
      <c r="T25" s="151"/>
    </row>
    <row r="26" spans="1:20">
      <c r="A26" s="139">
        <f t="shared" si="2"/>
        <v>12</v>
      </c>
      <c r="B26" s="130"/>
      <c r="C26" s="134" t="s">
        <v>70</v>
      </c>
      <c r="D26" s="144" t="s">
        <v>89</v>
      </c>
      <c r="E26" s="151">
        <f>+E80-E101+E122-E144+E165</f>
        <v>50680571.986214556</v>
      </c>
      <c r="F26" s="151">
        <f t="shared" ref="F26:P26" si="11">+F80-F101+F122-F144+F165</f>
        <v>51226479.40703997</v>
      </c>
      <c r="G26" s="151">
        <f t="shared" si="11"/>
        <v>51727392.614644893</v>
      </c>
      <c r="H26" s="151">
        <f t="shared" si="11"/>
        <v>52143974.775017306</v>
      </c>
      <c r="I26" s="151">
        <f t="shared" si="11"/>
        <v>52737735.107416801</v>
      </c>
      <c r="J26" s="151">
        <f t="shared" si="11"/>
        <v>53271421.55106739</v>
      </c>
      <c r="K26" s="151">
        <f t="shared" si="11"/>
        <v>53740461.933559813</v>
      </c>
      <c r="L26" s="151">
        <f t="shared" si="11"/>
        <v>54109926.475410216</v>
      </c>
      <c r="M26" s="151">
        <f t="shared" si="11"/>
        <v>54649117.388961382</v>
      </c>
      <c r="N26" s="151">
        <f t="shared" si="11"/>
        <v>55179402.009465218</v>
      </c>
      <c r="O26" s="151">
        <f t="shared" si="11"/>
        <v>55727733.955912471</v>
      </c>
      <c r="P26" s="151">
        <f t="shared" si="11"/>
        <v>56270039.489494964</v>
      </c>
      <c r="Q26" s="151">
        <f>+Q80-Q101+Q122-Q144+Q165</f>
        <v>55373421.426073708</v>
      </c>
      <c r="R26" s="151">
        <f t="shared" si="10"/>
        <v>53602898.31694451</v>
      </c>
      <c r="T26" s="151"/>
    </row>
    <row r="27" spans="1:20">
      <c r="A27" s="139">
        <f t="shared" si="2"/>
        <v>13</v>
      </c>
      <c r="B27" s="130"/>
      <c r="C27" s="134" t="s">
        <v>73</v>
      </c>
      <c r="D27" s="144" t="s">
        <v>91</v>
      </c>
      <c r="E27" s="151">
        <f t="shared" ref="E27:Q27" si="12">+E81-E102+E123-E145+E166</f>
        <v>181963879.92309201</v>
      </c>
      <c r="F27" s="151">
        <f t="shared" si="12"/>
        <v>186804756.19999996</v>
      </c>
      <c r="G27" s="151">
        <f t="shared" si="12"/>
        <v>187478724.23999995</v>
      </c>
      <c r="H27" s="151">
        <f t="shared" si="12"/>
        <v>184436199.51111209</v>
      </c>
      <c r="I27" s="151">
        <f t="shared" si="12"/>
        <v>189396656.19999999</v>
      </c>
      <c r="J27" s="151">
        <f t="shared" si="12"/>
        <v>190308115.31000003</v>
      </c>
      <c r="K27" s="151">
        <f t="shared" si="12"/>
        <v>187465957.36366868</v>
      </c>
      <c r="L27" s="151">
        <f t="shared" si="12"/>
        <v>192639478.67000002</v>
      </c>
      <c r="M27" s="151">
        <f t="shared" si="12"/>
        <v>193805785.89000002</v>
      </c>
      <c r="N27" s="151">
        <f t="shared" si="12"/>
        <v>190370876.16774699</v>
      </c>
      <c r="O27" s="151">
        <f t="shared" si="12"/>
        <v>195643094.68000004</v>
      </c>
      <c r="P27" s="151">
        <f t="shared" si="12"/>
        <v>196790136.56999999</v>
      </c>
      <c r="Q27" s="151">
        <f t="shared" si="12"/>
        <v>193687354.79250705</v>
      </c>
      <c r="R27" s="151">
        <f>AVERAGE(E27:Q27)</f>
        <v>190060847.34754822</v>
      </c>
      <c r="T27" s="151"/>
    </row>
    <row r="28" spans="1:20">
      <c r="A28" s="139">
        <f t="shared" si="2"/>
        <v>14</v>
      </c>
      <c r="B28" s="130"/>
      <c r="C28" s="134" t="str">
        <f>+C18</f>
        <v xml:space="preserve">  General &amp; Intangible</v>
      </c>
      <c r="D28" s="144" t="s">
        <v>390</v>
      </c>
      <c r="E28" s="151">
        <f t="shared" ref="E28:Q28" si="13">+E82-E103+E124-E146+E167</f>
        <v>47798123.027324013</v>
      </c>
      <c r="F28" s="151">
        <f t="shared" si="13"/>
        <v>48303881.060425155</v>
      </c>
      <c r="G28" s="151">
        <f t="shared" si="13"/>
        <v>48120961.54482846</v>
      </c>
      <c r="H28" s="151">
        <f t="shared" si="13"/>
        <v>48214976.508842103</v>
      </c>
      <c r="I28" s="151">
        <f t="shared" si="13"/>
        <v>48727043.909622431</v>
      </c>
      <c r="J28" s="151">
        <f t="shared" si="13"/>
        <v>49133804.930862397</v>
      </c>
      <c r="K28" s="151">
        <f t="shared" si="13"/>
        <v>48680158.45327121</v>
      </c>
      <c r="L28" s="151">
        <f t="shared" si="13"/>
        <v>49117608.771413602</v>
      </c>
      <c r="M28" s="151">
        <f t="shared" si="13"/>
        <v>49252901.596455328</v>
      </c>
      <c r="N28" s="151">
        <f t="shared" si="13"/>
        <v>49693191.055954009</v>
      </c>
      <c r="O28" s="151">
        <f t="shared" si="13"/>
        <v>50241533.191967063</v>
      </c>
      <c r="P28" s="151">
        <f t="shared" si="13"/>
        <v>50178084.57167501</v>
      </c>
      <c r="Q28" s="151">
        <f t="shared" si="13"/>
        <v>50625942.162961863</v>
      </c>
      <c r="R28" s="151">
        <f>AVERAGE(E28:Q28)</f>
        <v>49083708.521969438</v>
      </c>
      <c r="T28" s="151"/>
    </row>
    <row r="29" spans="1:20">
      <c r="A29" s="139">
        <f t="shared" si="2"/>
        <v>15</v>
      </c>
      <c r="B29" s="130"/>
      <c r="C29" s="134" t="s">
        <v>78</v>
      </c>
      <c r="D29" s="144" t="s">
        <v>391</v>
      </c>
      <c r="E29" s="151">
        <f t="shared" ref="E29:Q29" si="14">+E83-E104+E125-E147+E168</f>
        <v>12034656</v>
      </c>
      <c r="F29" s="151">
        <f t="shared" si="14"/>
        <v>11567665</v>
      </c>
      <c r="G29" s="151">
        <f t="shared" si="14"/>
        <v>11711065</v>
      </c>
      <c r="H29" s="151">
        <f t="shared" si="14"/>
        <v>12109921</v>
      </c>
      <c r="I29" s="151">
        <f t="shared" si="14"/>
        <v>12495890</v>
      </c>
      <c r="J29" s="151">
        <f t="shared" si="14"/>
        <v>12582955</v>
      </c>
      <c r="K29" s="151">
        <f t="shared" si="14"/>
        <v>12932118</v>
      </c>
      <c r="L29" s="151">
        <f t="shared" si="14"/>
        <v>13108972</v>
      </c>
      <c r="M29" s="151">
        <f t="shared" si="14"/>
        <v>13479617</v>
      </c>
      <c r="N29" s="151">
        <f t="shared" si="14"/>
        <v>13882079</v>
      </c>
      <c r="O29" s="151">
        <f t="shared" si="14"/>
        <v>13537772</v>
      </c>
      <c r="P29" s="151">
        <f t="shared" si="14"/>
        <v>13914046</v>
      </c>
      <c r="Q29" s="151">
        <f t="shared" si="14"/>
        <v>13776575</v>
      </c>
      <c r="R29" s="151">
        <f>AVERAGE(E29:Q29)</f>
        <v>12856410.076923076</v>
      </c>
      <c r="T29" s="151"/>
    </row>
    <row r="30" spans="1:20">
      <c r="A30" s="139">
        <f t="shared" si="2"/>
        <v>16</v>
      </c>
      <c r="B30" s="130"/>
      <c r="C30" s="134" t="str">
        <f>+C20</f>
        <v xml:space="preserve">  Communication System</v>
      </c>
      <c r="D30" s="144" t="s">
        <v>392</v>
      </c>
      <c r="E30" s="151">
        <f t="shared" ref="E30:Q30" si="15">+E84-E105+E126-E148+E169</f>
        <v>2468456.0578693342</v>
      </c>
      <c r="F30" s="151">
        <f t="shared" si="15"/>
        <v>2929850.5199558754</v>
      </c>
      <c r="G30" s="151">
        <f t="shared" si="15"/>
        <v>2974495.3996237093</v>
      </c>
      <c r="H30" s="151">
        <f t="shared" si="15"/>
        <v>3019107.095495292</v>
      </c>
      <c r="I30" s="151">
        <f t="shared" si="15"/>
        <v>3013077.5925386259</v>
      </c>
      <c r="J30" s="151">
        <f t="shared" si="15"/>
        <v>3062275.4654699597</v>
      </c>
      <c r="K30" s="151">
        <f t="shared" si="15"/>
        <v>3092697.7006880427</v>
      </c>
      <c r="L30" s="151">
        <f t="shared" si="15"/>
        <v>3141198.1259061256</v>
      </c>
      <c r="M30" s="151">
        <f t="shared" si="15"/>
        <v>3189795.9379082099</v>
      </c>
      <c r="N30" s="151">
        <f t="shared" si="15"/>
        <v>3239551.9675785429</v>
      </c>
      <c r="O30" s="151">
        <f t="shared" si="15"/>
        <v>3291534.0881232093</v>
      </c>
      <c r="P30" s="151">
        <f t="shared" si="15"/>
        <v>3353995.240086793</v>
      </c>
      <c r="Q30" s="151">
        <f t="shared" si="15"/>
        <v>2959500.1090445425</v>
      </c>
      <c r="R30" s="151">
        <f t="shared" si="10"/>
        <v>3056579.6384837124</v>
      </c>
      <c r="S30" s="151"/>
      <c r="T30" s="151"/>
    </row>
    <row r="31" spans="1:20">
      <c r="A31" s="139">
        <f t="shared" si="2"/>
        <v>17</v>
      </c>
      <c r="B31" s="130"/>
      <c r="C31" s="134" t="str">
        <f>+C21</f>
        <v xml:space="preserve">  Common</v>
      </c>
      <c r="D31" s="144" t="s">
        <v>83</v>
      </c>
      <c r="E31" s="151">
        <v>0</v>
      </c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>
        <v>0</v>
      </c>
      <c r="R31" s="151">
        <f t="shared" si="10"/>
        <v>0</v>
      </c>
    </row>
    <row r="32" spans="1:20">
      <c r="A32" s="139">
        <f t="shared" si="2"/>
        <v>18</v>
      </c>
      <c r="B32" s="130"/>
      <c r="C32" s="134" t="s">
        <v>93</v>
      </c>
      <c r="D32" s="144" t="str">
        <f>"(sum lines "&amp;A25&amp;" - "&amp;A31&amp;")"</f>
        <v>(sum lines 11 - 17)</v>
      </c>
      <c r="E32" s="153">
        <f>SUM(E25:E31)</f>
        <v>560912775.19449985</v>
      </c>
      <c r="F32" s="153">
        <f>SUM(F25:F31)</f>
        <v>567704577.44742095</v>
      </c>
      <c r="G32" s="153">
        <f t="shared" ref="G32:R32" si="16">SUM(G25:G31)</f>
        <v>570662555.79909706</v>
      </c>
      <c r="H32" s="153">
        <f t="shared" si="16"/>
        <v>569859032.36046684</v>
      </c>
      <c r="I32" s="153">
        <f t="shared" si="16"/>
        <v>578085083.58957779</v>
      </c>
      <c r="J32" s="153">
        <f t="shared" si="16"/>
        <v>581848050.1273998</v>
      </c>
      <c r="K32" s="153">
        <f t="shared" si="16"/>
        <v>576351216.89118779</v>
      </c>
      <c r="L32" s="153">
        <f t="shared" si="16"/>
        <v>588736113.81272995</v>
      </c>
      <c r="M32" s="153">
        <f t="shared" si="16"/>
        <v>592668626.13332486</v>
      </c>
      <c r="N32" s="153">
        <f t="shared" si="16"/>
        <v>586883555.42074466</v>
      </c>
      <c r="O32" s="153">
        <f>SUM(O25:O31)</f>
        <v>596142108.01600277</v>
      </c>
      <c r="P32" s="153">
        <f>SUM(P25:P31)</f>
        <v>599991886.66125679</v>
      </c>
      <c r="Q32" s="153">
        <f>SUM(Q25:Q31)</f>
        <v>588915548.24058723</v>
      </c>
      <c r="R32" s="153">
        <f t="shared" si="16"/>
        <v>581443163.82263827</v>
      </c>
      <c r="S32" s="144"/>
    </row>
    <row r="33" spans="1:19">
      <c r="A33" s="139">
        <f t="shared" si="2"/>
        <v>19</v>
      </c>
      <c r="B33" s="130"/>
      <c r="C33" s="130"/>
      <c r="D33" s="144" t="s">
        <v>52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44"/>
    </row>
    <row r="34" spans="1:19">
      <c r="A34" s="139">
        <f t="shared" si="2"/>
        <v>20</v>
      </c>
      <c r="B34" s="130"/>
      <c r="C34" s="134" t="s">
        <v>94</v>
      </c>
      <c r="D34" s="144" t="s">
        <v>385</v>
      </c>
      <c r="E34" s="151"/>
      <c r="F34" s="151"/>
      <c r="G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44"/>
    </row>
    <row r="35" spans="1:19">
      <c r="A35" s="139">
        <f t="shared" si="2"/>
        <v>21</v>
      </c>
      <c r="B35" s="130"/>
      <c r="C35" s="134" t="str">
        <f>+C25</f>
        <v xml:space="preserve">  Production</v>
      </c>
      <c r="D35" s="144" t="str">
        <f t="shared" ref="D35:D41" si="17">"(line "&amp;A15&amp;" - line "&amp;A25&amp;")"</f>
        <v>(line 1 - line 11)</v>
      </c>
      <c r="E35" s="151">
        <f t="shared" ref="E35:E41" si="18">+E15-E25</f>
        <v>459193713.23999989</v>
      </c>
      <c r="F35" s="151">
        <f t="shared" ref="F35:Q35" si="19">+F15-F25</f>
        <v>460880158.03999996</v>
      </c>
      <c r="G35" s="151">
        <f t="shared" si="19"/>
        <v>459075273.22999996</v>
      </c>
      <c r="H35" s="151">
        <f t="shared" si="19"/>
        <v>458034090.20999998</v>
      </c>
      <c r="I35" s="151">
        <f t="shared" si="19"/>
        <v>456955431.63999999</v>
      </c>
      <c r="J35" s="151">
        <f t="shared" si="19"/>
        <v>455364946.50999999</v>
      </c>
      <c r="K35" s="151">
        <f t="shared" si="19"/>
        <v>456736901.87999988</v>
      </c>
      <c r="L35" s="151">
        <f t="shared" si="19"/>
        <v>455667867.65999985</v>
      </c>
      <c r="M35" s="151">
        <f t="shared" si="19"/>
        <v>454934371.31999987</v>
      </c>
      <c r="N35" s="151">
        <f t="shared" si="19"/>
        <v>454441289.47000003</v>
      </c>
      <c r="O35" s="151">
        <f t="shared" si="19"/>
        <v>462364697.44000006</v>
      </c>
      <c r="P35" s="151">
        <f t="shared" si="19"/>
        <v>474665786.90000015</v>
      </c>
      <c r="Q35" s="151">
        <f t="shared" si="19"/>
        <v>481297339.81000018</v>
      </c>
      <c r="R35" s="151">
        <f>R15-R25</f>
        <v>460739374.41153836</v>
      </c>
      <c r="S35" s="144"/>
    </row>
    <row r="36" spans="1:19">
      <c r="A36" s="139">
        <f t="shared" si="2"/>
        <v>22</v>
      </c>
      <c r="B36" s="130"/>
      <c r="C36" s="134" t="s">
        <v>70</v>
      </c>
      <c r="D36" s="144" t="str">
        <f t="shared" si="17"/>
        <v>(line 2 - line 12)</v>
      </c>
      <c r="E36" s="151">
        <f t="shared" si="18"/>
        <v>248732332.51378545</v>
      </c>
      <c r="F36" s="151">
        <f t="shared" ref="F36:Q41" si="20">+F16-F26</f>
        <v>248207361.58296004</v>
      </c>
      <c r="G36" s="151">
        <f t="shared" si="20"/>
        <v>247680400.37535512</v>
      </c>
      <c r="H36" s="151">
        <f t="shared" si="20"/>
        <v>247150417.56498265</v>
      </c>
      <c r="I36" s="151">
        <f t="shared" si="20"/>
        <v>246907984.54258317</v>
      </c>
      <c r="J36" s="151">
        <f t="shared" si="20"/>
        <v>246392511.73893258</v>
      </c>
      <c r="K36" s="151">
        <f t="shared" si="20"/>
        <v>245855450.57644013</v>
      </c>
      <c r="L36" s="151">
        <f t="shared" si="20"/>
        <v>245316438.1245898</v>
      </c>
      <c r="M36" s="151">
        <f t="shared" si="20"/>
        <v>244661098.3910386</v>
      </c>
      <c r="N36" s="151">
        <f t="shared" si="20"/>
        <v>244122062.60053474</v>
      </c>
      <c r="O36" s="151">
        <f t="shared" si="20"/>
        <v>245401976.4540875</v>
      </c>
      <c r="P36" s="151">
        <f t="shared" si="20"/>
        <v>245087790.410505</v>
      </c>
      <c r="Q36" s="151">
        <f t="shared" si="20"/>
        <v>244610566.72392628</v>
      </c>
      <c r="R36" s="151">
        <f t="shared" ref="R36:R41" si="21">R16-R26</f>
        <v>246163568.58459392</v>
      </c>
      <c r="S36" s="144"/>
    </row>
    <row r="37" spans="1:19">
      <c r="A37" s="139">
        <f t="shared" si="2"/>
        <v>23</v>
      </c>
      <c r="B37" s="130"/>
      <c r="C37" s="134" t="s">
        <v>96</v>
      </c>
      <c r="D37" s="144" t="str">
        <f t="shared" si="17"/>
        <v>(line 3 - line 13)</v>
      </c>
      <c r="E37" s="151">
        <f t="shared" si="18"/>
        <v>383214314.01999998</v>
      </c>
      <c r="F37" s="151">
        <f t="shared" si="20"/>
        <v>384628948.48000014</v>
      </c>
      <c r="G37" s="151">
        <f t="shared" si="20"/>
        <v>384168175.40000004</v>
      </c>
      <c r="H37" s="151">
        <f t="shared" si="20"/>
        <v>388281560.58000016</v>
      </c>
      <c r="I37" s="151">
        <f t="shared" si="20"/>
        <v>389282371.10000008</v>
      </c>
      <c r="J37" s="151">
        <f t="shared" si="20"/>
        <v>389750140.4000001</v>
      </c>
      <c r="K37" s="151">
        <f t="shared" si="20"/>
        <v>390432902.13000011</v>
      </c>
      <c r="L37" s="151">
        <f t="shared" si="20"/>
        <v>398290285.15999991</v>
      </c>
      <c r="M37" s="151">
        <f t="shared" si="20"/>
        <v>399538632.85000002</v>
      </c>
      <c r="N37" s="151">
        <f t="shared" si="20"/>
        <v>400511555.95000005</v>
      </c>
      <c r="O37" s="151">
        <f t="shared" si="20"/>
        <v>404452482.55999994</v>
      </c>
      <c r="P37" s="151">
        <f t="shared" si="20"/>
        <v>405648380.92000014</v>
      </c>
      <c r="Q37" s="151">
        <f t="shared" si="20"/>
        <v>406674279.53000009</v>
      </c>
      <c r="R37" s="151">
        <f t="shared" si="21"/>
        <v>394221079.15999997</v>
      </c>
      <c r="S37" s="144"/>
    </row>
    <row r="38" spans="1:19">
      <c r="A38" s="139">
        <f t="shared" si="2"/>
        <v>24</v>
      </c>
      <c r="B38" s="130"/>
      <c r="C38" s="134" t="str">
        <f>+C28</f>
        <v xml:space="preserve">  General &amp; Intangible</v>
      </c>
      <c r="D38" s="144" t="str">
        <f t="shared" si="17"/>
        <v>(line 4 - line 14)</v>
      </c>
      <c r="E38" s="151">
        <f t="shared" si="18"/>
        <v>25410523.692675985</v>
      </c>
      <c r="F38" s="151">
        <f t="shared" si="20"/>
        <v>20814146.269574828</v>
      </c>
      <c r="G38" s="151">
        <f t="shared" si="20"/>
        <v>20277580.805171579</v>
      </c>
      <c r="H38" s="151">
        <f t="shared" si="20"/>
        <v>19733829.891157903</v>
      </c>
      <c r="I38" s="151">
        <f t="shared" si="20"/>
        <v>19280211.950377539</v>
      </c>
      <c r="J38" s="151">
        <f t="shared" si="20"/>
        <v>18404794.659137636</v>
      </c>
      <c r="K38" s="151">
        <f t="shared" si="20"/>
        <v>19055581.316728786</v>
      </c>
      <c r="L38" s="151">
        <f t="shared" si="20"/>
        <v>20527347.14858637</v>
      </c>
      <c r="M38" s="151">
        <f t="shared" si="20"/>
        <v>20902747.323544689</v>
      </c>
      <c r="N38" s="151">
        <f t="shared" si="20"/>
        <v>19512730.42404601</v>
      </c>
      <c r="O38" s="151">
        <f t="shared" si="20"/>
        <v>17798584.808032967</v>
      </c>
      <c r="P38" s="151">
        <f t="shared" si="20"/>
        <v>17809794.098324992</v>
      </c>
      <c r="Q38" s="151">
        <f t="shared" si="20"/>
        <v>17325885.947038166</v>
      </c>
      <c r="R38" s="151">
        <f t="shared" si="21"/>
        <v>19757981.410338268</v>
      </c>
      <c r="S38" s="144"/>
    </row>
    <row r="39" spans="1:19">
      <c r="A39" s="139">
        <f t="shared" si="2"/>
        <v>25</v>
      </c>
      <c r="B39" s="130"/>
      <c r="C39" s="134" t="s">
        <v>78</v>
      </c>
      <c r="D39" s="144" t="str">
        <f t="shared" si="17"/>
        <v>(line 5 - line 15)</v>
      </c>
      <c r="E39" s="151">
        <f t="shared" si="18"/>
        <v>25289012</v>
      </c>
      <c r="F39" s="151">
        <f t="shared" si="20"/>
        <v>24237002</v>
      </c>
      <c r="G39" s="151">
        <f t="shared" si="20"/>
        <v>24014264</v>
      </c>
      <c r="H39" s="151">
        <f t="shared" si="20"/>
        <v>24005786</v>
      </c>
      <c r="I39" s="151">
        <f t="shared" si="20"/>
        <v>23598841</v>
      </c>
      <c r="J39" s="151">
        <f t="shared" si="20"/>
        <v>23372576</v>
      </c>
      <c r="K39" s="151">
        <f t="shared" si="20"/>
        <v>23537516</v>
      </c>
      <c r="L39" s="151">
        <f t="shared" si="20"/>
        <v>22800691</v>
      </c>
      <c r="M39" s="151">
        <f t="shared" si="20"/>
        <v>22435662</v>
      </c>
      <c r="N39" s="151">
        <f t="shared" si="20"/>
        <v>22120228</v>
      </c>
      <c r="O39" s="151">
        <f t="shared" si="20"/>
        <v>22292753</v>
      </c>
      <c r="P39" s="151">
        <f t="shared" si="20"/>
        <v>21963329</v>
      </c>
      <c r="Q39" s="151">
        <f t="shared" si="20"/>
        <v>24095572</v>
      </c>
      <c r="R39" s="151">
        <f t="shared" si="21"/>
        <v>23366402.46153846</v>
      </c>
      <c r="S39" s="144"/>
    </row>
    <row r="40" spans="1:19">
      <c r="A40" s="139">
        <f t="shared" si="2"/>
        <v>26</v>
      </c>
      <c r="B40" s="130"/>
      <c r="C40" s="134" t="str">
        <f>+C30</f>
        <v xml:space="preserve">  Communication System</v>
      </c>
      <c r="D40" s="144" t="str">
        <f t="shared" si="17"/>
        <v>(line 6 - line 16)</v>
      </c>
      <c r="E40" s="151">
        <f t="shared" si="18"/>
        <v>4284882.8421306666</v>
      </c>
      <c r="F40" s="151">
        <f t="shared" si="20"/>
        <v>5550956.0200441256</v>
      </c>
      <c r="G40" s="151">
        <f t="shared" si="20"/>
        <v>5506311.1403762922</v>
      </c>
      <c r="H40" s="151">
        <f t="shared" si="20"/>
        <v>5458394.3845047085</v>
      </c>
      <c r="I40" s="151">
        <f t="shared" si="20"/>
        <v>5414223.3774613747</v>
      </c>
      <c r="J40" s="151">
        <f t="shared" si="20"/>
        <v>5936260.2645300403</v>
      </c>
      <c r="K40" s="151">
        <f t="shared" si="20"/>
        <v>5821168.0993119562</v>
      </c>
      <c r="L40" s="151">
        <f t="shared" si="20"/>
        <v>5772667.6740938732</v>
      </c>
      <c r="M40" s="151">
        <f t="shared" si="20"/>
        <v>5735136.5420917906</v>
      </c>
      <c r="N40" s="151">
        <f t="shared" si="20"/>
        <v>5696486.0124214571</v>
      </c>
      <c r="O40" s="151">
        <f t="shared" si="20"/>
        <v>6921875.1918767877</v>
      </c>
      <c r="P40" s="151">
        <f t="shared" si="20"/>
        <v>6968353.7799132066</v>
      </c>
      <c r="Q40" s="151">
        <f>+Q20-Q30</f>
        <v>7839767.8509554584</v>
      </c>
      <c r="R40" s="151">
        <f t="shared" si="21"/>
        <v>5915883.3215162884</v>
      </c>
      <c r="S40" s="144"/>
    </row>
    <row r="41" spans="1:19">
      <c r="A41" s="139">
        <f t="shared" si="2"/>
        <v>27</v>
      </c>
      <c r="B41" s="130"/>
      <c r="C41" s="134" t="str">
        <f>+C31</f>
        <v xml:space="preserve">  Common</v>
      </c>
      <c r="D41" s="144" t="str">
        <f t="shared" si="17"/>
        <v>(line 7 - line 17)</v>
      </c>
      <c r="E41" s="151">
        <f t="shared" si="18"/>
        <v>0</v>
      </c>
      <c r="F41" s="151">
        <f t="shared" si="20"/>
        <v>0</v>
      </c>
      <c r="G41" s="151">
        <f t="shared" si="20"/>
        <v>0</v>
      </c>
      <c r="H41" s="151">
        <f t="shared" si="20"/>
        <v>0</v>
      </c>
      <c r="I41" s="151">
        <f t="shared" si="20"/>
        <v>0</v>
      </c>
      <c r="J41" s="151">
        <f t="shared" si="20"/>
        <v>0</v>
      </c>
      <c r="K41" s="151">
        <f t="shared" si="20"/>
        <v>0</v>
      </c>
      <c r="L41" s="151">
        <f t="shared" si="20"/>
        <v>0</v>
      </c>
      <c r="M41" s="151">
        <f t="shared" si="20"/>
        <v>0</v>
      </c>
      <c r="N41" s="151">
        <f t="shared" si="20"/>
        <v>0</v>
      </c>
      <c r="O41" s="151">
        <f t="shared" si="20"/>
        <v>0</v>
      </c>
      <c r="P41" s="151">
        <f t="shared" si="20"/>
        <v>0</v>
      </c>
      <c r="Q41" s="151">
        <f t="shared" si="20"/>
        <v>0</v>
      </c>
      <c r="R41" s="154">
        <f t="shared" si="21"/>
        <v>0</v>
      </c>
      <c r="S41" s="144"/>
    </row>
    <row r="42" spans="1:19">
      <c r="A42" s="139">
        <f t="shared" si="2"/>
        <v>28</v>
      </c>
      <c r="B42" s="130"/>
      <c r="C42" s="134" t="s">
        <v>97</v>
      </c>
      <c r="D42" s="144" t="str">
        <f>"(sum lines "&amp;A35&amp;" - "&amp;A41&amp;")"</f>
        <v>(sum lines 21 - 27)</v>
      </c>
      <c r="E42" s="153">
        <f>SUM(E35:E41)</f>
        <v>1146124778.3085921</v>
      </c>
      <c r="F42" s="153">
        <f t="shared" ref="F42:Q42" si="22">SUM(F35:F41)</f>
        <v>1144318572.3925791</v>
      </c>
      <c r="G42" s="153">
        <f t="shared" si="22"/>
        <v>1140722004.9509029</v>
      </c>
      <c r="H42" s="153">
        <f t="shared" si="22"/>
        <v>1142664078.6306455</v>
      </c>
      <c r="I42" s="153">
        <f t="shared" si="22"/>
        <v>1141439063.6104221</v>
      </c>
      <c r="J42" s="153">
        <f t="shared" si="22"/>
        <v>1139221229.5726004</v>
      </c>
      <c r="K42" s="153">
        <f t="shared" si="22"/>
        <v>1141439520.002481</v>
      </c>
      <c r="L42" s="153">
        <f t="shared" si="22"/>
        <v>1148375296.7672698</v>
      </c>
      <c r="M42" s="153">
        <f t="shared" si="22"/>
        <v>1148207648.4266751</v>
      </c>
      <c r="N42" s="153">
        <f t="shared" si="22"/>
        <v>1146404352.4570022</v>
      </c>
      <c r="O42" s="153">
        <f t="shared" si="22"/>
        <v>1159232369.4539974</v>
      </c>
      <c r="P42" s="153">
        <f t="shared" si="22"/>
        <v>1172143435.1087434</v>
      </c>
      <c r="Q42" s="153">
        <f t="shared" si="22"/>
        <v>1181843411.8619204</v>
      </c>
      <c r="R42" s="153">
        <f>SUM(R35:R41)</f>
        <v>1150164289.3495252</v>
      </c>
      <c r="S42" s="144"/>
    </row>
    <row r="43" spans="1:19">
      <c r="A43" s="139"/>
      <c r="B43" s="130"/>
      <c r="C43" s="134"/>
      <c r="D43" s="144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44"/>
    </row>
    <row r="44" spans="1:19">
      <c r="A44" s="139"/>
      <c r="B44" s="130"/>
      <c r="C44" s="134" t="s">
        <v>393</v>
      </c>
      <c r="D44" s="144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44"/>
    </row>
    <row r="45" spans="1:19" ht="18">
      <c r="A45" s="139"/>
      <c r="B45" s="130"/>
      <c r="C45" s="152" t="s">
        <v>394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</row>
    <row r="46" spans="1:19">
      <c r="A46" s="139"/>
      <c r="B46" s="130"/>
      <c r="C46" s="13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Q46" s="144"/>
      <c r="R46" s="144"/>
      <c r="S46" s="144"/>
    </row>
    <row r="47" spans="1:19" ht="23.25">
      <c r="A47" s="139"/>
      <c r="B47" s="130"/>
      <c r="C47" s="134"/>
      <c r="D47" s="144"/>
      <c r="E47" s="155" t="s">
        <v>395</v>
      </c>
      <c r="F47" s="156"/>
      <c r="G47" s="156"/>
      <c r="H47" s="157"/>
      <c r="I47" s="134"/>
      <c r="J47" s="144"/>
      <c r="S47" s="144"/>
    </row>
    <row r="48" spans="1:19">
      <c r="A48" s="139">
        <f>+A42+1</f>
        <v>29</v>
      </c>
      <c r="B48" s="130"/>
      <c r="C48" s="130"/>
      <c r="D48" s="144"/>
      <c r="E48" s="158" t="s">
        <v>370</v>
      </c>
      <c r="F48" s="158" t="s">
        <v>371</v>
      </c>
      <c r="G48" s="158" t="s">
        <v>372</v>
      </c>
      <c r="H48" s="158"/>
      <c r="I48" s="130"/>
      <c r="J48" s="130"/>
      <c r="K48" s="130"/>
      <c r="L48" s="130"/>
    </row>
    <row r="49" spans="1:12">
      <c r="A49" s="139">
        <f t="shared" si="2"/>
        <v>30</v>
      </c>
      <c r="B49" s="130"/>
      <c r="C49" s="152" t="s">
        <v>396</v>
      </c>
      <c r="D49" s="144"/>
      <c r="E49" s="150">
        <v>45627</v>
      </c>
      <c r="F49" s="150">
        <v>45992</v>
      </c>
      <c r="G49" s="144" t="s">
        <v>397</v>
      </c>
      <c r="H49" s="150"/>
    </row>
    <row r="50" spans="1:12">
      <c r="A50" s="139">
        <f t="shared" si="2"/>
        <v>31</v>
      </c>
      <c r="B50" s="130"/>
      <c r="C50" s="134" t="s">
        <v>101</v>
      </c>
      <c r="D50" s="144" t="s">
        <v>398</v>
      </c>
      <c r="E50" s="151">
        <v>0</v>
      </c>
      <c r="F50" s="151">
        <v>0</v>
      </c>
      <c r="G50" s="151">
        <f t="shared" ref="G50:G54" si="23">(+E50+F50)/2</f>
        <v>0</v>
      </c>
      <c r="H50" s="151"/>
    </row>
    <row r="51" spans="1:12">
      <c r="A51" s="139">
        <f t="shared" si="2"/>
        <v>32</v>
      </c>
      <c r="B51" s="130"/>
      <c r="C51" s="134" t="s">
        <v>104</v>
      </c>
      <c r="D51" s="144" t="s">
        <v>399</v>
      </c>
      <c r="E51" s="151">
        <v>-155249962.53999999</v>
      </c>
      <c r="F51" s="151">
        <v>-168433608</v>
      </c>
      <c r="G51" s="151">
        <f t="shared" si="23"/>
        <v>-161841785.26999998</v>
      </c>
      <c r="H51" s="134"/>
    </row>
    <row r="52" spans="1:12">
      <c r="A52" s="139">
        <f>+A51+1</f>
        <v>33</v>
      </c>
      <c r="B52" s="130"/>
      <c r="C52" s="134" t="s">
        <v>107</v>
      </c>
      <c r="D52" s="144" t="s">
        <v>400</v>
      </c>
      <c r="E52" s="154">
        <v>-17423866</v>
      </c>
      <c r="F52" s="154">
        <v>-19214310</v>
      </c>
      <c r="G52" s="151">
        <f t="shared" si="23"/>
        <v>-18319088</v>
      </c>
      <c r="H52" s="134"/>
      <c r="J52" s="144"/>
    </row>
    <row r="53" spans="1:12">
      <c r="A53" s="139">
        <f>+A52+1</f>
        <v>34</v>
      </c>
      <c r="B53" s="130"/>
      <c r="C53" s="134" t="s">
        <v>109</v>
      </c>
      <c r="D53" s="144" t="s">
        <v>401</v>
      </c>
      <c r="E53" s="154">
        <v>44945479</v>
      </c>
      <c r="F53" s="154">
        <v>45107178</v>
      </c>
      <c r="G53" s="151">
        <f t="shared" si="23"/>
        <v>45026328.5</v>
      </c>
      <c r="H53" s="134"/>
      <c r="J53" s="144"/>
    </row>
    <row r="54" spans="1:12" ht="18">
      <c r="A54" s="139">
        <f>+A53+1</f>
        <v>35</v>
      </c>
      <c r="B54" s="130"/>
      <c r="C54" s="130" t="s">
        <v>114</v>
      </c>
      <c r="D54" s="144" t="s">
        <v>402</v>
      </c>
      <c r="E54" s="154">
        <v>0</v>
      </c>
      <c r="F54" s="154">
        <v>0</v>
      </c>
      <c r="G54" s="151">
        <f t="shared" si="23"/>
        <v>0</v>
      </c>
      <c r="H54" s="144"/>
      <c r="J54" s="144"/>
      <c r="L54" s="159"/>
    </row>
    <row r="55" spans="1:12" ht="18">
      <c r="A55" s="139">
        <f t="shared" si="2"/>
        <v>36</v>
      </c>
      <c r="B55" s="130"/>
      <c r="C55" s="134" t="s">
        <v>116</v>
      </c>
      <c r="D55" s="130" t="s">
        <v>399</v>
      </c>
      <c r="E55" s="160">
        <v>1676945.82</v>
      </c>
      <c r="F55" s="160">
        <v>1876784.25</v>
      </c>
      <c r="G55" s="160">
        <v>1740994.4649999999</v>
      </c>
      <c r="H55" s="134"/>
      <c r="J55" s="144"/>
      <c r="L55" s="159"/>
    </row>
    <row r="56" spans="1:12">
      <c r="A56" s="139">
        <f t="shared" si="2"/>
        <v>37</v>
      </c>
      <c r="B56" s="130"/>
      <c r="C56" s="134" t="s">
        <v>118</v>
      </c>
      <c r="D56" s="144" t="str">
        <f>"(sum lines "&amp;A50&amp;" - "&amp;A55&amp;")"</f>
        <v>(sum lines 31 - 36)</v>
      </c>
      <c r="E56" s="151">
        <f>SUM(E50:E55)</f>
        <v>-126051403.72</v>
      </c>
      <c r="F56" s="151">
        <f>SUM(F50:F55)</f>
        <v>-140663955.75</v>
      </c>
      <c r="G56" s="151">
        <f>SUM(G50:G55)</f>
        <v>-133393550.30499998</v>
      </c>
      <c r="H56" s="144"/>
      <c r="J56" s="144"/>
    </row>
    <row r="57" spans="1:12">
      <c r="A57" s="139">
        <f t="shared" si="2"/>
        <v>38</v>
      </c>
      <c r="B57" s="130"/>
      <c r="C57" s="130"/>
      <c r="D57" s="144"/>
      <c r="E57" s="151"/>
      <c r="F57" s="151"/>
      <c r="G57" s="151"/>
      <c r="H57" s="144"/>
      <c r="I57" s="144"/>
      <c r="J57" s="144"/>
    </row>
    <row r="58" spans="1:12">
      <c r="A58" s="139">
        <f t="shared" si="2"/>
        <v>39</v>
      </c>
      <c r="B58" s="130"/>
      <c r="C58" s="152" t="s">
        <v>119</v>
      </c>
      <c r="D58" s="144" t="s">
        <v>120</v>
      </c>
      <c r="E58" s="151">
        <v>6203620</v>
      </c>
      <c r="F58" s="151">
        <v>6238342</v>
      </c>
      <c r="G58" s="151">
        <f>(+E58+F58)/2</f>
        <v>6220981</v>
      </c>
      <c r="H58" s="144"/>
      <c r="I58" s="144"/>
      <c r="J58" s="144"/>
    </row>
    <row r="59" spans="1:12">
      <c r="A59" s="139">
        <f t="shared" si="2"/>
        <v>40</v>
      </c>
      <c r="B59" s="130"/>
      <c r="C59" s="134"/>
      <c r="D59" s="144"/>
      <c r="E59" s="151"/>
      <c r="G59" s="151"/>
      <c r="H59" s="144"/>
      <c r="I59" s="144"/>
      <c r="J59" s="144"/>
    </row>
    <row r="60" spans="1:12">
      <c r="A60" s="139">
        <f t="shared" si="2"/>
        <v>41</v>
      </c>
      <c r="B60" s="130"/>
      <c r="C60" s="134" t="s">
        <v>403</v>
      </c>
      <c r="D60" s="144"/>
      <c r="E60" s="151"/>
      <c r="F60" s="151"/>
      <c r="G60" s="151"/>
      <c r="H60" s="144"/>
      <c r="I60" s="144"/>
      <c r="J60" s="144"/>
    </row>
    <row r="61" spans="1:12">
      <c r="A61" s="139">
        <f t="shared" si="2"/>
        <v>42</v>
      </c>
      <c r="B61" s="130"/>
      <c r="C61" s="134"/>
      <c r="D61" s="130"/>
      <c r="E61" s="151"/>
      <c r="F61" s="151"/>
      <c r="G61" s="151"/>
      <c r="H61" s="144"/>
      <c r="I61" s="144"/>
      <c r="J61" s="144"/>
    </row>
    <row r="62" spans="1:12">
      <c r="A62" s="139">
        <f t="shared" si="2"/>
        <v>43</v>
      </c>
      <c r="B62" s="130"/>
      <c r="C62" s="134" t="s">
        <v>124</v>
      </c>
      <c r="D62" s="144" t="s">
        <v>125</v>
      </c>
      <c r="E62" s="154">
        <v>8883548</v>
      </c>
      <c r="F62" s="154">
        <v>8628093</v>
      </c>
      <c r="G62" s="151">
        <f>(+E62+F62)/2</f>
        <v>8755820.5</v>
      </c>
      <c r="H62" s="134"/>
      <c r="J62" s="144"/>
    </row>
    <row r="63" spans="1:12">
      <c r="A63" s="139">
        <f t="shared" si="2"/>
        <v>44</v>
      </c>
      <c r="B63" s="130"/>
      <c r="C63" s="134" t="s">
        <v>124</v>
      </c>
      <c r="D63" s="144" t="s">
        <v>126</v>
      </c>
      <c r="E63" s="154">
        <v>151544</v>
      </c>
      <c r="F63" s="154">
        <v>149337</v>
      </c>
      <c r="G63" s="151">
        <f>(+E63+F63)/2</f>
        <v>150440.5</v>
      </c>
      <c r="H63" s="134"/>
      <c r="J63" s="144"/>
    </row>
    <row r="64" spans="1:12">
      <c r="A64" s="139">
        <f t="shared" si="2"/>
        <v>45</v>
      </c>
      <c r="B64" s="130"/>
      <c r="C64" s="134" t="s">
        <v>127</v>
      </c>
      <c r="D64" s="144" t="s">
        <v>404</v>
      </c>
      <c r="E64" s="154">
        <v>4487867</v>
      </c>
      <c r="F64" s="154">
        <v>4630741</v>
      </c>
      <c r="G64" s="151">
        <f>(+E64+F64)/2</f>
        <v>4559304</v>
      </c>
      <c r="H64" s="134"/>
      <c r="J64" s="144"/>
    </row>
    <row r="65" spans="1:20">
      <c r="A65" s="139">
        <f t="shared" si="2"/>
        <v>46</v>
      </c>
      <c r="B65" s="130"/>
      <c r="C65" s="134" t="s">
        <v>130</v>
      </c>
      <c r="D65" s="144" t="str">
        <f>"(sum lines "&amp;A61&amp;" - "&amp;A64&amp;")"</f>
        <v>(sum lines 42 - 45)</v>
      </c>
      <c r="E65" s="153">
        <f>SUM(E62:E64)</f>
        <v>13522959</v>
      </c>
      <c r="F65" s="153">
        <f>SUM(F62:F64)</f>
        <v>13408171</v>
      </c>
      <c r="G65" s="153">
        <f>SUM(G62:G64)</f>
        <v>13465565</v>
      </c>
      <c r="H65" s="134"/>
      <c r="I65" s="134"/>
      <c r="J65" s="144"/>
    </row>
    <row r="68" spans="1:20">
      <c r="C68" s="134" t="s">
        <v>384</v>
      </c>
      <c r="D68" s="133" t="s">
        <v>405</v>
      </c>
    </row>
    <row r="69" spans="1:20">
      <c r="C69" s="134" t="s">
        <v>67</v>
      </c>
      <c r="E69" s="151">
        <v>726161182.95999992</v>
      </c>
      <c r="F69" s="151">
        <v>727752103.29999995</v>
      </c>
      <c r="G69" s="151">
        <v>727725190.23000002</v>
      </c>
      <c r="H69" s="151">
        <v>728302999.89999998</v>
      </c>
      <c r="I69" s="151">
        <v>728670112.41999996</v>
      </c>
      <c r="J69" s="151">
        <v>728854424.38</v>
      </c>
      <c r="K69" s="151">
        <v>731665710.46999991</v>
      </c>
      <c r="L69" s="151">
        <v>732286797.42999983</v>
      </c>
      <c r="M69" s="151">
        <v>733225779.63999987</v>
      </c>
      <c r="N69" s="151">
        <v>734142244.16999996</v>
      </c>
      <c r="O69" s="151">
        <v>740065137.54000008</v>
      </c>
      <c r="P69" s="151">
        <v>754151371.69000018</v>
      </c>
      <c r="Q69" s="151">
        <v>760369074.80000019</v>
      </c>
      <c r="S69" s="151"/>
      <c r="T69" s="151"/>
    </row>
    <row r="70" spans="1:20">
      <c r="C70" s="134" t="s">
        <v>70</v>
      </c>
      <c r="E70" s="151">
        <v>299490869.48000002</v>
      </c>
      <c r="F70" s="151">
        <v>299433840.99000001</v>
      </c>
      <c r="G70" s="151">
        <v>299407792.99000001</v>
      </c>
      <c r="H70" s="151">
        <v>299416641.45999998</v>
      </c>
      <c r="I70" s="151">
        <v>299645719.64999998</v>
      </c>
      <c r="J70" s="151">
        <v>299663933.28999996</v>
      </c>
      <c r="K70" s="151">
        <v>299619911.66999996</v>
      </c>
      <c r="L70" s="151">
        <v>299426364.60000002</v>
      </c>
      <c r="M70" s="151">
        <v>299310215.77999997</v>
      </c>
      <c r="N70" s="151">
        <v>299309198.85999995</v>
      </c>
      <c r="O70" s="151">
        <v>301129710.40999997</v>
      </c>
      <c r="P70" s="151">
        <v>301357829.89999998</v>
      </c>
      <c r="Q70" s="151">
        <v>301359975.21999997</v>
      </c>
      <c r="T70" s="151"/>
    </row>
    <row r="71" spans="1:20">
      <c r="C71" s="134" t="s">
        <v>73</v>
      </c>
      <c r="E71" s="151">
        <v>569292336.46000004</v>
      </c>
      <c r="F71" s="151">
        <v>571433704.68000007</v>
      </c>
      <c r="G71" s="151">
        <v>571646899.63999999</v>
      </c>
      <c r="H71" s="151">
        <v>576534588.94000018</v>
      </c>
      <c r="I71" s="151">
        <v>578679027.30000007</v>
      </c>
      <c r="J71" s="151">
        <v>580058255.71000016</v>
      </c>
      <c r="K71" s="151">
        <v>581882658.38000011</v>
      </c>
      <c r="L71" s="151">
        <v>590929763.82999992</v>
      </c>
      <c r="M71" s="151">
        <v>593344418.74000001</v>
      </c>
      <c r="N71" s="151">
        <v>595177276.67000008</v>
      </c>
      <c r="O71" s="151">
        <v>600095577.24000001</v>
      </c>
      <c r="P71" s="151">
        <v>602438517.49000013</v>
      </c>
      <c r="Q71" s="151">
        <v>604188302.32000005</v>
      </c>
      <c r="T71" s="151"/>
    </row>
    <row r="72" spans="1:20">
      <c r="C72" s="134" t="s">
        <v>75</v>
      </c>
      <c r="E72" s="151">
        <v>147740382.93000001</v>
      </c>
      <c r="F72" s="151">
        <v>144029081.31</v>
      </c>
      <c r="G72" s="151">
        <v>143525836.42000005</v>
      </c>
      <c r="H72" s="151">
        <v>143037910.17000002</v>
      </c>
      <c r="I72" s="151">
        <v>143089950.07999998</v>
      </c>
      <c r="J72" s="151">
        <v>142621558.25000003</v>
      </c>
      <c r="K72" s="151">
        <v>142991246.68000001</v>
      </c>
      <c r="L72" s="151">
        <v>144900462.82999998</v>
      </c>
      <c r="M72" s="151">
        <v>145504459.52000001</v>
      </c>
      <c r="N72" s="151">
        <v>144529855.26000002</v>
      </c>
      <c r="O72" s="151">
        <v>143856858.78000003</v>
      </c>
      <c r="P72" s="151">
        <v>143810750.74000001</v>
      </c>
      <c r="Q72" s="151">
        <v>144196294.79000002</v>
      </c>
      <c r="T72" s="151"/>
    </row>
    <row r="73" spans="1:20">
      <c r="C73" s="134" t="s">
        <v>78</v>
      </c>
      <c r="D73" s="133" t="s">
        <v>406</v>
      </c>
      <c r="E73" s="151">
        <v>37323668</v>
      </c>
      <c r="F73" s="151">
        <v>35804667</v>
      </c>
      <c r="G73" s="151">
        <v>35725329</v>
      </c>
      <c r="H73" s="151">
        <v>36115707</v>
      </c>
      <c r="I73" s="151">
        <v>36094731</v>
      </c>
      <c r="J73" s="151">
        <v>35955531</v>
      </c>
      <c r="K73" s="151">
        <v>36469634</v>
      </c>
      <c r="L73" s="151">
        <v>35909663</v>
      </c>
      <c r="M73" s="151">
        <v>35915279</v>
      </c>
      <c r="N73" s="151">
        <v>36002307</v>
      </c>
      <c r="O73" s="151">
        <v>35830525</v>
      </c>
      <c r="P73" s="151">
        <v>35877375</v>
      </c>
      <c r="Q73" s="151">
        <v>37872147</v>
      </c>
      <c r="T73" s="151"/>
    </row>
    <row r="74" spans="1:20">
      <c r="C74" s="134" t="s">
        <v>80</v>
      </c>
      <c r="E74" s="151">
        <v>6753338.9000000004</v>
      </c>
      <c r="F74" s="151">
        <v>8480806.540000001</v>
      </c>
      <c r="G74" s="151">
        <v>8480806.540000001</v>
      </c>
      <c r="H74" s="151">
        <v>8477501.4800000004</v>
      </c>
      <c r="I74" s="151">
        <v>8427300.9700000007</v>
      </c>
      <c r="J74" s="151">
        <v>8998535.7300000004</v>
      </c>
      <c r="K74" s="151">
        <v>8913865.7999999989</v>
      </c>
      <c r="L74" s="151">
        <v>8913865.7999999989</v>
      </c>
      <c r="M74" s="151">
        <v>8924932.4800000004</v>
      </c>
      <c r="N74" s="151">
        <v>8936037.9800000004</v>
      </c>
      <c r="O74" s="151">
        <v>10213409.279999997</v>
      </c>
      <c r="P74" s="151">
        <v>10322349.02</v>
      </c>
      <c r="Q74" s="151">
        <v>10805701.5</v>
      </c>
      <c r="T74" s="151"/>
    </row>
    <row r="75" spans="1:20">
      <c r="C75" s="134" t="s">
        <v>82</v>
      </c>
      <c r="E75" s="151">
        <v>0</v>
      </c>
      <c r="F75" s="151">
        <v>0</v>
      </c>
      <c r="G75" s="151">
        <v>0</v>
      </c>
      <c r="H75" s="151">
        <v>0</v>
      </c>
      <c r="I75" s="151">
        <v>0</v>
      </c>
      <c r="J75" s="151">
        <v>0</v>
      </c>
      <c r="K75" s="151">
        <v>0</v>
      </c>
      <c r="L75" s="151">
        <v>0</v>
      </c>
      <c r="M75" s="151">
        <v>0</v>
      </c>
      <c r="N75" s="151">
        <v>0</v>
      </c>
      <c r="O75" s="151">
        <v>0</v>
      </c>
      <c r="P75" s="151">
        <v>0</v>
      </c>
      <c r="Q75" s="151">
        <v>0</v>
      </c>
    </row>
    <row r="76" spans="1:20">
      <c r="C76" s="152" t="s">
        <v>85</v>
      </c>
      <c r="E76" s="153">
        <f>SUM(E69:E75)</f>
        <v>1786761778.7300003</v>
      </c>
      <c r="F76" s="153">
        <f>SUM(F69:F75)</f>
        <v>1786934203.8199999</v>
      </c>
      <c r="G76" s="153">
        <f t="shared" ref="G76:Q76" si="24">SUM(G69:G75)</f>
        <v>1786511854.8200002</v>
      </c>
      <c r="H76" s="153">
        <f t="shared" si="24"/>
        <v>1791885348.9500003</v>
      </c>
      <c r="I76" s="153">
        <f t="shared" si="24"/>
        <v>1794606841.4199998</v>
      </c>
      <c r="J76" s="153">
        <f t="shared" si="24"/>
        <v>1796152238.3600001</v>
      </c>
      <c r="K76" s="153">
        <f t="shared" si="24"/>
        <v>1801543027</v>
      </c>
      <c r="L76" s="153">
        <f t="shared" si="24"/>
        <v>1812366917.4899995</v>
      </c>
      <c r="M76" s="153">
        <f t="shared" si="24"/>
        <v>1816225085.1599998</v>
      </c>
      <c r="N76" s="153">
        <f t="shared" si="24"/>
        <v>1818096919.9400001</v>
      </c>
      <c r="O76" s="153">
        <f t="shared" si="24"/>
        <v>1831191218.25</v>
      </c>
      <c r="P76" s="153">
        <f t="shared" si="24"/>
        <v>1847958193.8400004</v>
      </c>
      <c r="Q76" s="153">
        <f t="shared" si="24"/>
        <v>1858791495.6300001</v>
      </c>
    </row>
    <row r="78" spans="1:20">
      <c r="C78" s="134" t="s">
        <v>389</v>
      </c>
      <c r="D78" s="133" t="s">
        <v>407</v>
      </c>
    </row>
    <row r="79" spans="1:20">
      <c r="C79" s="134" t="s">
        <v>67</v>
      </c>
      <c r="D79" s="133" t="s">
        <v>408</v>
      </c>
      <c r="E79" s="151">
        <v>266967469.72000003</v>
      </c>
      <c r="F79" s="151">
        <v>267003358.30000001</v>
      </c>
      <c r="G79" s="151">
        <v>268783965.61000007</v>
      </c>
      <c r="H79" s="151">
        <v>270405593.87</v>
      </c>
      <c r="I79" s="151">
        <v>271854000.52999997</v>
      </c>
      <c r="J79" s="151">
        <v>273631433.19</v>
      </c>
      <c r="K79" s="151">
        <v>275073399.49000001</v>
      </c>
      <c r="L79" s="151">
        <v>276766156.24000001</v>
      </c>
      <c r="M79" s="151">
        <v>278441270.36000001</v>
      </c>
      <c r="N79" s="151">
        <v>279853452.31999993</v>
      </c>
      <c r="O79" s="151">
        <v>277855573.29000002</v>
      </c>
      <c r="P79" s="151">
        <v>279643353.55000001</v>
      </c>
      <c r="Q79" s="151">
        <v>279232139.31999999</v>
      </c>
      <c r="S79" s="151"/>
      <c r="T79" s="151"/>
    </row>
    <row r="80" spans="1:20">
      <c r="C80" s="134" t="s">
        <v>70</v>
      </c>
      <c r="E80" s="151">
        <v>50758536.966214553</v>
      </c>
      <c r="F80" s="151">
        <v>51226479.40703997</v>
      </c>
      <c r="G80" s="151">
        <v>51727392.614644893</v>
      </c>
      <c r="H80" s="151">
        <v>52266223.895017304</v>
      </c>
      <c r="I80" s="151">
        <v>52737735.107416801</v>
      </c>
      <c r="J80" s="151">
        <v>53271421.55106739</v>
      </c>
      <c r="K80" s="151">
        <v>53764461.093559809</v>
      </c>
      <c r="L80" s="151">
        <v>54109926.475410216</v>
      </c>
      <c r="M80" s="151">
        <v>54649117.388961382</v>
      </c>
      <c r="N80" s="151">
        <v>55187136.259465218</v>
      </c>
      <c r="O80" s="151">
        <v>55727733.955912471</v>
      </c>
      <c r="P80" s="151">
        <v>56270039.489494964</v>
      </c>
      <c r="Q80" s="151">
        <v>56749408.496073708</v>
      </c>
      <c r="T80" s="151"/>
    </row>
    <row r="81" spans="2:31">
      <c r="C81" s="134" t="s">
        <v>73</v>
      </c>
      <c r="E81" s="151">
        <v>186078022.44000003</v>
      </c>
      <c r="F81" s="151">
        <v>186804756.19999996</v>
      </c>
      <c r="G81" s="151">
        <v>187478724.23999995</v>
      </c>
      <c r="H81" s="151">
        <v>188253028.35999998</v>
      </c>
      <c r="I81" s="151">
        <v>189396656.19999999</v>
      </c>
      <c r="J81" s="151">
        <v>190308115.31000003</v>
      </c>
      <c r="K81" s="151">
        <v>191449756.24999997</v>
      </c>
      <c r="L81" s="151">
        <v>192639478.67000002</v>
      </c>
      <c r="M81" s="151">
        <v>193805785.89000002</v>
      </c>
      <c r="N81" s="151">
        <v>194665720.72</v>
      </c>
      <c r="O81" s="151">
        <v>195643094.68000004</v>
      </c>
      <c r="P81" s="151">
        <v>196790136.56999999</v>
      </c>
      <c r="Q81" s="151">
        <v>197514022.79000002</v>
      </c>
      <c r="T81" s="151"/>
    </row>
    <row r="82" spans="2:31">
      <c r="C82" s="134" t="s">
        <v>75</v>
      </c>
      <c r="E82" s="151">
        <v>64273305.127837092</v>
      </c>
      <c r="F82" s="151">
        <v>64566296.230230451</v>
      </c>
      <c r="G82" s="151">
        <v>64474493.717973188</v>
      </c>
      <c r="H82" s="151">
        <v>64421514.41471751</v>
      </c>
      <c r="I82" s="151">
        <v>65051532.605731472</v>
      </c>
      <c r="J82" s="151">
        <v>65679592.717159688</v>
      </c>
      <c r="K82" s="151">
        <v>66130347.303614438</v>
      </c>
      <c r="L82" s="151">
        <v>66734004.35033299</v>
      </c>
      <c r="M82" s="151">
        <v>67380373.049055576</v>
      </c>
      <c r="N82" s="151">
        <v>67969851.125864431</v>
      </c>
      <c r="O82" s="151">
        <v>68404500.429700106</v>
      </c>
      <c r="P82" s="151">
        <v>69025258.670008525</v>
      </c>
      <c r="Q82" s="151">
        <v>69633943.601254135</v>
      </c>
      <c r="T82" s="151"/>
    </row>
    <row r="83" spans="2:31">
      <c r="C83" s="134" t="str">
        <f>+C73</f>
        <v xml:space="preserve">  Allocated Plant</v>
      </c>
      <c r="D83" s="133" t="s">
        <v>406</v>
      </c>
      <c r="E83" s="151">
        <v>12034656</v>
      </c>
      <c r="F83" s="151">
        <v>11567665</v>
      </c>
      <c r="G83" s="151">
        <v>11711065</v>
      </c>
      <c r="H83" s="151">
        <v>12109921</v>
      </c>
      <c r="I83" s="151">
        <v>12495890</v>
      </c>
      <c r="J83" s="151">
        <v>12582955</v>
      </c>
      <c r="K83" s="151">
        <v>12932118</v>
      </c>
      <c r="L83" s="151">
        <v>13108972</v>
      </c>
      <c r="M83" s="151">
        <v>13479617</v>
      </c>
      <c r="N83" s="151">
        <v>13882079</v>
      </c>
      <c r="O83" s="151">
        <v>13537772</v>
      </c>
      <c r="P83" s="151">
        <v>13914046</v>
      </c>
      <c r="Q83" s="151">
        <v>13776575</v>
      </c>
      <c r="T83" s="151"/>
    </row>
    <row r="84" spans="2:31">
      <c r="C84" s="134" t="s">
        <v>80</v>
      </c>
      <c r="E84" s="151">
        <v>2468456.0578693342</v>
      </c>
      <c r="F84" s="151">
        <v>2929850.5199558754</v>
      </c>
      <c r="G84" s="151">
        <v>2974495.3996237093</v>
      </c>
      <c r="H84" s="151">
        <v>3019107.095495292</v>
      </c>
      <c r="I84" s="151">
        <v>3013077.5925386259</v>
      </c>
      <c r="J84" s="151">
        <v>3062275.4654699597</v>
      </c>
      <c r="K84" s="151">
        <v>3092697.7006880427</v>
      </c>
      <c r="L84" s="151">
        <v>3141198.1259061256</v>
      </c>
      <c r="M84" s="151">
        <v>3189795.9379082099</v>
      </c>
      <c r="N84" s="151">
        <v>3239551.9675785429</v>
      </c>
      <c r="O84" s="151">
        <v>3291534.0881232093</v>
      </c>
      <c r="P84" s="151">
        <v>3353995.240086793</v>
      </c>
      <c r="Q84" s="151">
        <v>2965933.6490445426</v>
      </c>
      <c r="T84" s="151"/>
    </row>
    <row r="85" spans="2:31">
      <c r="C85" s="134" t="str">
        <f>+C75</f>
        <v xml:space="preserve">  Common</v>
      </c>
      <c r="E85" s="151">
        <v>0</v>
      </c>
      <c r="F85" s="151">
        <v>0</v>
      </c>
      <c r="G85" s="151">
        <v>0</v>
      </c>
      <c r="H85" s="151">
        <v>0</v>
      </c>
      <c r="I85" s="151">
        <v>0</v>
      </c>
      <c r="J85" s="151">
        <v>0</v>
      </c>
      <c r="K85" s="151">
        <v>0</v>
      </c>
      <c r="L85" s="151">
        <v>0</v>
      </c>
      <c r="M85" s="151">
        <v>0</v>
      </c>
      <c r="N85" s="151">
        <v>0</v>
      </c>
      <c r="O85" s="151">
        <v>0</v>
      </c>
      <c r="P85" s="151">
        <v>0</v>
      </c>
      <c r="Q85" s="151">
        <v>0</v>
      </c>
    </row>
    <row r="86" spans="2:31">
      <c r="C86" s="134" t="s">
        <v>93</v>
      </c>
      <c r="E86" s="151">
        <v>0</v>
      </c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>
        <v>0</v>
      </c>
    </row>
    <row r="87" spans="2:31">
      <c r="E87" s="153">
        <f>SUM(E79:E86)</f>
        <v>582580446.311921</v>
      </c>
      <c r="F87" s="153">
        <f t="shared" ref="F87:Q87" si="25">SUM(F79:F86)</f>
        <v>584098405.6572262</v>
      </c>
      <c r="G87" s="153">
        <f t="shared" si="25"/>
        <v>587150136.58224189</v>
      </c>
      <c r="H87" s="153">
        <f t="shared" si="25"/>
        <v>590475388.63523018</v>
      </c>
      <c r="I87" s="153">
        <f t="shared" si="25"/>
        <v>594548892.03568685</v>
      </c>
      <c r="J87" s="153">
        <f t="shared" si="25"/>
        <v>598535793.23369706</v>
      </c>
      <c r="K87" s="153">
        <f t="shared" si="25"/>
        <v>602442779.83786213</v>
      </c>
      <c r="L87" s="153">
        <f t="shared" si="25"/>
        <v>606499735.86164939</v>
      </c>
      <c r="M87" s="153">
        <f t="shared" si="25"/>
        <v>610945959.62592518</v>
      </c>
      <c r="N87" s="153">
        <f t="shared" si="25"/>
        <v>614797791.3929081</v>
      </c>
      <c r="O87" s="153">
        <f t="shared" si="25"/>
        <v>614460208.44373584</v>
      </c>
      <c r="P87" s="153">
        <f t="shared" si="25"/>
        <v>618996829.51959026</v>
      </c>
      <c r="Q87" s="153">
        <f t="shared" si="25"/>
        <v>619872022.85637236</v>
      </c>
    </row>
    <row r="88" spans="2:31">
      <c r="B88" s="161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3"/>
    </row>
    <row r="89" spans="2:31">
      <c r="B89" s="164"/>
      <c r="C89" s="134" t="s">
        <v>384</v>
      </c>
      <c r="D89" s="133" t="s">
        <v>409</v>
      </c>
      <c r="R89" s="165"/>
    </row>
    <row r="90" spans="2:31">
      <c r="B90" s="164"/>
      <c r="C90" s="134" t="s">
        <v>67</v>
      </c>
      <c r="R90" s="165"/>
    </row>
    <row r="91" spans="2:31">
      <c r="B91" s="164"/>
      <c r="C91" s="134" t="s">
        <v>70</v>
      </c>
      <c r="R91" s="165"/>
    </row>
    <row r="92" spans="2:31">
      <c r="B92" s="164"/>
      <c r="C92" s="134" t="s">
        <v>73</v>
      </c>
      <c r="R92" s="165"/>
      <c r="S92" s="166"/>
    </row>
    <row r="93" spans="2:31">
      <c r="B93" s="164"/>
      <c r="C93" s="134" t="s">
        <v>75</v>
      </c>
      <c r="E93" s="167">
        <v>74531736.210000008</v>
      </c>
      <c r="F93" s="167">
        <v>74911053.980000019</v>
      </c>
      <c r="G93" s="167">
        <v>75127294.070000008</v>
      </c>
      <c r="H93" s="167">
        <v>75077348.730000004</v>
      </c>
      <c r="I93" s="167">
        <v>75082694.220000014</v>
      </c>
      <c r="J93" s="167">
        <v>75082958.659999996</v>
      </c>
      <c r="K93" s="167">
        <v>75255506.910000011</v>
      </c>
      <c r="L93" s="167">
        <v>75255506.910000011</v>
      </c>
      <c r="M93" s="167">
        <v>75348810.599999994</v>
      </c>
      <c r="N93" s="167">
        <v>75323933.780000001</v>
      </c>
      <c r="O93" s="167">
        <v>75816740.780000001</v>
      </c>
      <c r="P93" s="167">
        <v>75822872.070000008</v>
      </c>
      <c r="Q93" s="167">
        <v>76244466.679999992</v>
      </c>
      <c r="R93" s="165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</row>
    <row r="94" spans="2:31">
      <c r="B94" s="164"/>
      <c r="C94" s="134" t="s">
        <v>78</v>
      </c>
      <c r="R94" s="165"/>
      <c r="S94" s="166"/>
    </row>
    <row r="95" spans="2:31">
      <c r="B95" s="164"/>
      <c r="C95" s="134" t="s">
        <v>80</v>
      </c>
      <c r="R95" s="165"/>
      <c r="S95" s="166"/>
    </row>
    <row r="96" spans="2:31">
      <c r="B96" s="164"/>
      <c r="C96" s="134" t="s">
        <v>82</v>
      </c>
      <c r="R96" s="165"/>
      <c r="S96" s="166"/>
    </row>
    <row r="97" spans="2:31">
      <c r="B97" s="164"/>
      <c r="C97" s="152" t="s">
        <v>85</v>
      </c>
      <c r="E97" s="168">
        <f>SUM(E90:E96)</f>
        <v>74531736.210000008</v>
      </c>
      <c r="F97" s="168">
        <f t="shared" ref="F97:Q97" si="26">SUM(F90:F96)</f>
        <v>74911053.980000019</v>
      </c>
      <c r="G97" s="168">
        <f t="shared" si="26"/>
        <v>75127294.070000008</v>
      </c>
      <c r="H97" s="168">
        <f t="shared" si="26"/>
        <v>75077348.730000004</v>
      </c>
      <c r="I97" s="168">
        <f t="shared" si="26"/>
        <v>75082694.220000014</v>
      </c>
      <c r="J97" s="168">
        <f t="shared" si="26"/>
        <v>75082958.659999996</v>
      </c>
      <c r="K97" s="168">
        <f t="shared" si="26"/>
        <v>75255506.910000011</v>
      </c>
      <c r="L97" s="168">
        <f t="shared" si="26"/>
        <v>75255506.910000011</v>
      </c>
      <c r="M97" s="168">
        <f t="shared" si="26"/>
        <v>75348810.599999994</v>
      </c>
      <c r="N97" s="168">
        <f t="shared" si="26"/>
        <v>75323933.780000001</v>
      </c>
      <c r="O97" s="168">
        <f t="shared" si="26"/>
        <v>75816740.780000001</v>
      </c>
      <c r="P97" s="168">
        <f t="shared" si="26"/>
        <v>75822872.070000008</v>
      </c>
      <c r="Q97" s="168">
        <f t="shared" si="26"/>
        <v>76244466.679999992</v>
      </c>
      <c r="R97" s="165"/>
      <c r="S97" s="166"/>
    </row>
    <row r="98" spans="2:31">
      <c r="B98" s="164"/>
      <c r="R98" s="165"/>
      <c r="S98" s="166"/>
    </row>
    <row r="99" spans="2:31">
      <c r="B99" s="164"/>
      <c r="C99" s="134" t="s">
        <v>389</v>
      </c>
      <c r="D99" s="133" t="s">
        <v>409</v>
      </c>
      <c r="R99" s="165"/>
      <c r="S99" s="166"/>
    </row>
    <row r="100" spans="2:31">
      <c r="B100" s="164"/>
      <c r="C100" s="134" t="s">
        <v>67</v>
      </c>
      <c r="R100" s="165"/>
      <c r="S100" s="166"/>
    </row>
    <row r="101" spans="2:31">
      <c r="B101" s="164"/>
      <c r="C101" s="134" t="s">
        <v>70</v>
      </c>
      <c r="R101" s="165"/>
      <c r="S101" s="166"/>
      <c r="T101" s="166"/>
    </row>
    <row r="102" spans="2:31">
      <c r="B102" s="164"/>
      <c r="C102" s="134" t="s">
        <v>73</v>
      </c>
      <c r="R102" s="165"/>
      <c r="S102" s="166"/>
      <c r="T102" s="166"/>
    </row>
    <row r="103" spans="2:31">
      <c r="B103" s="164"/>
      <c r="C103" s="134" t="s">
        <v>75</v>
      </c>
      <c r="E103" s="167">
        <v>15291562.100513078</v>
      </c>
      <c r="F103" s="167">
        <v>15329543.169805298</v>
      </c>
      <c r="G103" s="167">
        <v>15452477.173144724</v>
      </c>
      <c r="H103" s="167">
        <v>15524873.865875412</v>
      </c>
      <c r="I103" s="167">
        <v>15641532.696109045</v>
      </c>
      <c r="J103" s="167">
        <v>15773263.78629729</v>
      </c>
      <c r="K103" s="167">
        <v>15942209.850343227</v>
      </c>
      <c r="L103" s="167">
        <v>16065694.578919388</v>
      </c>
      <c r="M103" s="167">
        <v>16190098.45260025</v>
      </c>
      <c r="N103" s="167">
        <v>16289269.06991042</v>
      </c>
      <c r="O103" s="167">
        <v>16426182.237733044</v>
      </c>
      <c r="P103" s="167">
        <v>16636976.098333513</v>
      </c>
      <c r="Q103" s="167">
        <v>16842162.438292272</v>
      </c>
      <c r="R103" s="165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</row>
    <row r="104" spans="2:31">
      <c r="B104" s="164"/>
      <c r="C104" s="134" t="s">
        <v>78</v>
      </c>
      <c r="R104" s="165"/>
      <c r="T104" s="166"/>
    </row>
    <row r="105" spans="2:31">
      <c r="B105" s="164"/>
      <c r="C105" s="134" t="s">
        <v>80</v>
      </c>
      <c r="R105" s="165"/>
      <c r="T105" s="166"/>
    </row>
    <row r="106" spans="2:31">
      <c r="B106" s="164"/>
      <c r="C106" s="134" t="str">
        <f>+C96</f>
        <v xml:space="preserve">  Common</v>
      </c>
      <c r="R106" s="165"/>
      <c r="T106" s="166"/>
    </row>
    <row r="107" spans="2:31">
      <c r="B107" s="164"/>
      <c r="C107" s="134" t="s">
        <v>93</v>
      </c>
      <c r="E107" s="169">
        <f>SUM(E100:E106)</f>
        <v>15291562.100513078</v>
      </c>
      <c r="F107" s="168">
        <f t="shared" ref="F107:Q107" si="27">SUM(F100:F106)</f>
        <v>15329543.169805298</v>
      </c>
      <c r="G107" s="168">
        <f t="shared" si="27"/>
        <v>15452477.173144724</v>
      </c>
      <c r="H107" s="168">
        <f t="shared" si="27"/>
        <v>15524873.865875412</v>
      </c>
      <c r="I107" s="168">
        <f t="shared" si="27"/>
        <v>15641532.696109045</v>
      </c>
      <c r="J107" s="168">
        <f t="shared" si="27"/>
        <v>15773263.78629729</v>
      </c>
      <c r="K107" s="168">
        <f t="shared" si="27"/>
        <v>15942209.850343227</v>
      </c>
      <c r="L107" s="168">
        <f t="shared" si="27"/>
        <v>16065694.578919388</v>
      </c>
      <c r="M107" s="168">
        <f t="shared" si="27"/>
        <v>16190098.45260025</v>
      </c>
      <c r="N107" s="168">
        <f t="shared" si="27"/>
        <v>16289269.06991042</v>
      </c>
      <c r="O107" s="168">
        <f t="shared" si="27"/>
        <v>16426182.237733044</v>
      </c>
      <c r="P107" s="168">
        <f t="shared" si="27"/>
        <v>16636976.098333513</v>
      </c>
      <c r="Q107" s="168">
        <f t="shared" si="27"/>
        <v>16842162.438292272</v>
      </c>
      <c r="R107" s="165"/>
      <c r="T107" s="166"/>
    </row>
    <row r="108" spans="2:31">
      <c r="B108" s="170"/>
      <c r="C108" s="171"/>
      <c r="D108" s="172"/>
      <c r="E108" s="173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Q108" s="173"/>
      <c r="R108" s="174"/>
      <c r="T108" s="166"/>
    </row>
    <row r="109" spans="2:31">
      <c r="B109" s="161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3"/>
      <c r="T109" s="166"/>
    </row>
    <row r="110" spans="2:31">
      <c r="B110" s="164"/>
      <c r="C110" s="134" t="s">
        <v>384</v>
      </c>
      <c r="D110" s="133" t="s">
        <v>410</v>
      </c>
      <c r="R110" s="165"/>
      <c r="T110" s="166"/>
    </row>
    <row r="111" spans="2:31">
      <c r="B111" s="164"/>
      <c r="C111" s="134" t="s">
        <v>67</v>
      </c>
      <c r="R111" s="165"/>
      <c r="T111" s="166"/>
    </row>
    <row r="112" spans="2:31">
      <c r="B112" s="164"/>
      <c r="C112" s="134" t="s">
        <v>70</v>
      </c>
      <c r="R112" s="165"/>
      <c r="T112" s="166"/>
    </row>
    <row r="113" spans="2:18">
      <c r="B113" s="164"/>
      <c r="C113" s="134" t="s">
        <v>73</v>
      </c>
      <c r="R113" s="165"/>
    </row>
    <row r="114" spans="2:18">
      <c r="B114" s="164"/>
      <c r="C114" s="134" t="s">
        <v>75</v>
      </c>
      <c r="R114" s="165"/>
    </row>
    <row r="115" spans="2:18">
      <c r="B115" s="164"/>
      <c r="C115" s="134" t="s">
        <v>78</v>
      </c>
      <c r="R115" s="165"/>
    </row>
    <row r="116" spans="2:18">
      <c r="B116" s="164"/>
      <c r="C116" s="134" t="s">
        <v>80</v>
      </c>
      <c r="R116" s="165"/>
    </row>
    <row r="117" spans="2:18">
      <c r="B117" s="164"/>
      <c r="C117" s="134" t="s">
        <v>82</v>
      </c>
      <c r="R117" s="165"/>
    </row>
    <row r="118" spans="2:18">
      <c r="B118" s="164"/>
      <c r="C118" s="152" t="s">
        <v>85</v>
      </c>
      <c r="E118" s="168">
        <f>SUM(E111:E117)</f>
        <v>0</v>
      </c>
      <c r="F118" s="168">
        <f t="shared" ref="F118:Q118" si="28">SUM(F111:F117)</f>
        <v>0</v>
      </c>
      <c r="G118" s="168">
        <f t="shared" si="28"/>
        <v>0</v>
      </c>
      <c r="H118" s="168">
        <f t="shared" si="28"/>
        <v>0</v>
      </c>
      <c r="I118" s="168">
        <f t="shared" si="28"/>
        <v>0</v>
      </c>
      <c r="J118" s="168">
        <f t="shared" si="28"/>
        <v>0</v>
      </c>
      <c r="K118" s="168">
        <f t="shared" si="28"/>
        <v>0</v>
      </c>
      <c r="L118" s="168">
        <f t="shared" si="28"/>
        <v>0</v>
      </c>
      <c r="M118" s="168">
        <f t="shared" si="28"/>
        <v>0</v>
      </c>
      <c r="N118" s="168">
        <f t="shared" si="28"/>
        <v>0</v>
      </c>
      <c r="O118" s="168">
        <f t="shared" si="28"/>
        <v>0</v>
      </c>
      <c r="P118" s="168">
        <f t="shared" si="28"/>
        <v>0</v>
      </c>
      <c r="Q118" s="168">
        <f t="shared" si="28"/>
        <v>0</v>
      </c>
      <c r="R118" s="165"/>
    </row>
    <row r="119" spans="2:18">
      <c r="B119" s="164"/>
      <c r="R119" s="165"/>
    </row>
    <row r="120" spans="2:18">
      <c r="B120" s="164"/>
      <c r="C120" s="134" t="s">
        <v>389</v>
      </c>
      <c r="D120" s="133" t="s">
        <v>410</v>
      </c>
      <c r="R120" s="165"/>
    </row>
    <row r="121" spans="2:18">
      <c r="B121" s="164"/>
      <c r="C121" s="134" t="s">
        <v>67</v>
      </c>
      <c r="D121" s="133" t="s">
        <v>411</v>
      </c>
      <c r="E121" s="167">
        <v>0</v>
      </c>
      <c r="F121" s="167">
        <v>-131413.04</v>
      </c>
      <c r="G121" s="167">
        <v>-134048.61000000002</v>
      </c>
      <c r="H121" s="167">
        <v>-136684.18</v>
      </c>
      <c r="I121" s="167">
        <v>-139319.75</v>
      </c>
      <c r="J121" s="167">
        <v>-141955.32</v>
      </c>
      <c r="K121" s="167">
        <v>-144590.9</v>
      </c>
      <c r="L121" s="167">
        <v>-147226.47</v>
      </c>
      <c r="M121" s="167">
        <v>-149862.04</v>
      </c>
      <c r="N121" s="167">
        <v>-152497.62</v>
      </c>
      <c r="O121" s="167">
        <v>-155133.19</v>
      </c>
      <c r="P121" s="167">
        <v>-157768.76</v>
      </c>
      <c r="Q121" s="167">
        <v>-160404.33000000002</v>
      </c>
      <c r="R121" s="165"/>
    </row>
    <row r="122" spans="2:18">
      <c r="B122" s="164"/>
      <c r="C122" s="134" t="s">
        <v>70</v>
      </c>
      <c r="R122" s="165"/>
    </row>
    <row r="123" spans="2:18">
      <c r="B123" s="164"/>
      <c r="C123" s="134" t="s">
        <v>73</v>
      </c>
      <c r="R123" s="165"/>
    </row>
    <row r="124" spans="2:18">
      <c r="B124" s="164"/>
      <c r="C124" s="134" t="s">
        <v>75</v>
      </c>
      <c r="R124" s="165"/>
    </row>
    <row r="125" spans="2:18">
      <c r="B125" s="164"/>
      <c r="C125" s="134" t="s">
        <v>78</v>
      </c>
      <c r="R125" s="165"/>
    </row>
    <row r="126" spans="2:18">
      <c r="B126" s="164"/>
      <c r="C126" s="134" t="s">
        <v>80</v>
      </c>
      <c r="R126" s="165"/>
    </row>
    <row r="127" spans="2:18">
      <c r="B127" s="164"/>
      <c r="C127" s="134" t="s">
        <v>82</v>
      </c>
      <c r="R127" s="165"/>
    </row>
    <row r="128" spans="2:18">
      <c r="B128" s="164"/>
      <c r="C128" s="134" t="s">
        <v>93</v>
      </c>
      <c r="E128" s="168">
        <f t="shared" ref="E128:Q128" si="29">SUM(E121:E127)</f>
        <v>0</v>
      </c>
      <c r="F128" s="168">
        <f t="shared" si="29"/>
        <v>-131413.04</v>
      </c>
      <c r="G128" s="168">
        <f t="shared" si="29"/>
        <v>-134048.61000000002</v>
      </c>
      <c r="H128" s="168">
        <f t="shared" si="29"/>
        <v>-136684.18</v>
      </c>
      <c r="I128" s="168">
        <f t="shared" si="29"/>
        <v>-139319.75</v>
      </c>
      <c r="J128" s="168">
        <f t="shared" si="29"/>
        <v>-141955.32</v>
      </c>
      <c r="K128" s="168">
        <f t="shared" si="29"/>
        <v>-144590.9</v>
      </c>
      <c r="L128" s="168">
        <f t="shared" si="29"/>
        <v>-147226.47</v>
      </c>
      <c r="M128" s="168">
        <f t="shared" si="29"/>
        <v>-149862.04</v>
      </c>
      <c r="N128" s="168">
        <f t="shared" si="29"/>
        <v>-152497.62</v>
      </c>
      <c r="O128" s="168">
        <f t="shared" si="29"/>
        <v>-155133.19</v>
      </c>
      <c r="P128" s="168">
        <f t="shared" si="29"/>
        <v>-157768.76</v>
      </c>
      <c r="Q128" s="168">
        <f t="shared" si="29"/>
        <v>-160404.33000000002</v>
      </c>
      <c r="R128" s="165"/>
    </row>
    <row r="129" spans="2:18">
      <c r="B129" s="164"/>
      <c r="R129" s="165"/>
    </row>
    <row r="130" spans="2:18">
      <c r="B130" s="164"/>
      <c r="C130" s="134" t="s">
        <v>412</v>
      </c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R130" s="165"/>
    </row>
    <row r="131" spans="2:18">
      <c r="B131" s="170"/>
      <c r="C131" s="172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4"/>
    </row>
    <row r="132" spans="2:18">
      <c r="B132" s="161"/>
      <c r="C132" s="176" t="s">
        <v>384</v>
      </c>
      <c r="D132" s="162" t="s">
        <v>413</v>
      </c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3"/>
    </row>
    <row r="133" spans="2:18">
      <c r="B133" s="164"/>
      <c r="C133" s="134" t="s">
        <v>67</v>
      </c>
      <c r="R133" s="165"/>
    </row>
    <row r="134" spans="2:18">
      <c r="B134" s="164"/>
      <c r="C134" s="134" t="s">
        <v>70</v>
      </c>
      <c r="R134" s="165"/>
    </row>
    <row r="135" spans="2:18">
      <c r="B135" s="164"/>
      <c r="C135" s="134" t="s">
        <v>73</v>
      </c>
      <c r="R135" s="165"/>
    </row>
    <row r="136" spans="2:18">
      <c r="B136" s="164"/>
      <c r="C136" s="134" t="s">
        <v>75</v>
      </c>
      <c r="R136" s="165"/>
    </row>
    <row r="137" spans="2:18">
      <c r="B137" s="164"/>
      <c r="C137" s="134" t="s">
        <v>78</v>
      </c>
      <c r="E137" s="177"/>
      <c r="R137" s="165"/>
    </row>
    <row r="138" spans="2:18">
      <c r="B138" s="164"/>
      <c r="C138" s="134" t="s">
        <v>80</v>
      </c>
      <c r="R138" s="165"/>
    </row>
    <row r="139" spans="2:18">
      <c r="B139" s="164"/>
      <c r="C139" s="134" t="s">
        <v>82</v>
      </c>
      <c r="R139" s="165"/>
    </row>
    <row r="140" spans="2:18">
      <c r="B140" s="164"/>
      <c r="C140" s="152" t="s">
        <v>85</v>
      </c>
      <c r="E140" s="168">
        <f t="shared" ref="E140:Q140" si="30">SUM(E133:E139)</f>
        <v>0</v>
      </c>
      <c r="F140" s="168">
        <f t="shared" si="30"/>
        <v>0</v>
      </c>
      <c r="G140" s="168">
        <f t="shared" si="30"/>
        <v>0</v>
      </c>
      <c r="H140" s="168">
        <f t="shared" si="30"/>
        <v>0</v>
      </c>
      <c r="I140" s="168">
        <f t="shared" si="30"/>
        <v>0</v>
      </c>
      <c r="J140" s="168">
        <f t="shared" si="30"/>
        <v>0</v>
      </c>
      <c r="K140" s="168">
        <f t="shared" si="30"/>
        <v>0</v>
      </c>
      <c r="L140" s="168">
        <f t="shared" si="30"/>
        <v>0</v>
      </c>
      <c r="M140" s="168">
        <f t="shared" si="30"/>
        <v>0</v>
      </c>
      <c r="N140" s="168">
        <f t="shared" si="30"/>
        <v>0</v>
      </c>
      <c r="O140" s="168">
        <f t="shared" si="30"/>
        <v>0</v>
      </c>
      <c r="P140" s="168">
        <f t="shared" si="30"/>
        <v>0</v>
      </c>
      <c r="Q140" s="168">
        <f t="shared" si="30"/>
        <v>0</v>
      </c>
      <c r="R140" s="165"/>
    </row>
    <row r="141" spans="2:18">
      <c r="B141" s="164"/>
      <c r="R141" s="165"/>
    </row>
    <row r="142" spans="2:18">
      <c r="B142" s="164"/>
      <c r="C142" s="134" t="s">
        <v>389</v>
      </c>
      <c r="D142" s="133" t="s">
        <v>413</v>
      </c>
      <c r="R142" s="165"/>
    </row>
    <row r="143" spans="2:18">
      <c r="B143" s="164"/>
      <c r="C143" s="134" t="s">
        <v>67</v>
      </c>
      <c r="D143" s="133" t="s">
        <v>414</v>
      </c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9"/>
    </row>
    <row r="144" spans="2:18">
      <c r="B144" s="164"/>
      <c r="C144" s="134" t="s">
        <v>70</v>
      </c>
      <c r="D144" s="133" t="s">
        <v>415</v>
      </c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9"/>
    </row>
    <row r="145" spans="2:18">
      <c r="B145" s="164"/>
      <c r="C145" s="134" t="s">
        <v>73</v>
      </c>
      <c r="D145" s="133" t="s">
        <v>416</v>
      </c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9"/>
    </row>
    <row r="146" spans="2:18">
      <c r="B146" s="164"/>
      <c r="C146" s="134" t="s">
        <v>75</v>
      </c>
      <c r="E146" s="175">
        <v>1183620</v>
      </c>
      <c r="F146" s="175">
        <v>932872</v>
      </c>
      <c r="G146" s="175">
        <v>901055</v>
      </c>
      <c r="H146" s="175">
        <v>669909</v>
      </c>
      <c r="I146" s="175">
        <v>682956</v>
      </c>
      <c r="J146" s="175">
        <v>772524</v>
      </c>
      <c r="K146" s="175">
        <v>1507979</v>
      </c>
      <c r="L146" s="175">
        <v>1550701</v>
      </c>
      <c r="M146" s="175">
        <v>1937373</v>
      </c>
      <c r="N146" s="175">
        <v>1987391</v>
      </c>
      <c r="O146" s="175">
        <v>1736785</v>
      </c>
      <c r="P146" s="175">
        <v>2210198</v>
      </c>
      <c r="Q146" s="175">
        <v>2165839</v>
      </c>
      <c r="R146" s="179"/>
    </row>
    <row r="147" spans="2:18">
      <c r="B147" s="164"/>
      <c r="C147" s="134" t="s">
        <v>78</v>
      </c>
      <c r="E147" s="178">
        <v>0</v>
      </c>
      <c r="F147" s="178">
        <v>0</v>
      </c>
      <c r="G147" s="178">
        <v>0</v>
      </c>
      <c r="H147" s="178">
        <v>0</v>
      </c>
      <c r="I147" s="178">
        <v>0</v>
      </c>
      <c r="J147" s="178">
        <v>0</v>
      </c>
      <c r="K147" s="178">
        <v>0</v>
      </c>
      <c r="L147" s="178">
        <v>0</v>
      </c>
      <c r="M147" s="178">
        <v>0</v>
      </c>
      <c r="N147" s="178">
        <v>0</v>
      </c>
      <c r="O147" s="178">
        <v>0</v>
      </c>
      <c r="P147" s="178">
        <v>0</v>
      </c>
      <c r="Q147" s="178">
        <v>0</v>
      </c>
      <c r="R147" s="165"/>
    </row>
    <row r="148" spans="2:18">
      <c r="B148" s="164"/>
      <c r="C148" s="134" t="s">
        <v>80</v>
      </c>
      <c r="E148" s="178">
        <v>0</v>
      </c>
      <c r="F148" s="178">
        <v>0</v>
      </c>
      <c r="G148" s="178">
        <v>0</v>
      </c>
      <c r="H148" s="178">
        <v>0</v>
      </c>
      <c r="I148" s="178">
        <v>0</v>
      </c>
      <c r="J148" s="178">
        <v>0</v>
      </c>
      <c r="K148" s="178">
        <v>0</v>
      </c>
      <c r="L148" s="178">
        <v>0</v>
      </c>
      <c r="M148" s="178">
        <v>0</v>
      </c>
      <c r="N148" s="178">
        <v>0</v>
      </c>
      <c r="O148" s="178">
        <v>0</v>
      </c>
      <c r="P148" s="178">
        <v>0</v>
      </c>
      <c r="Q148" s="178">
        <v>0</v>
      </c>
      <c r="R148" s="165"/>
    </row>
    <row r="149" spans="2:18">
      <c r="B149" s="164"/>
      <c r="C149" s="134" t="s">
        <v>82</v>
      </c>
      <c r="E149" s="178">
        <f t="shared" ref="E149:Q149" si="31">E$130*E85/$E$87</f>
        <v>0</v>
      </c>
      <c r="F149" s="178">
        <f t="shared" si="31"/>
        <v>0</v>
      </c>
      <c r="G149" s="178">
        <f t="shared" si="31"/>
        <v>0</v>
      </c>
      <c r="H149" s="178">
        <f t="shared" si="31"/>
        <v>0</v>
      </c>
      <c r="I149" s="178">
        <f t="shared" si="31"/>
        <v>0</v>
      </c>
      <c r="J149" s="178">
        <f t="shared" si="31"/>
        <v>0</v>
      </c>
      <c r="K149" s="178">
        <f t="shared" si="31"/>
        <v>0</v>
      </c>
      <c r="L149" s="178">
        <f t="shared" si="31"/>
        <v>0</v>
      </c>
      <c r="M149" s="178">
        <f t="shared" si="31"/>
        <v>0</v>
      </c>
      <c r="N149" s="178">
        <f t="shared" si="31"/>
        <v>0</v>
      </c>
      <c r="O149" s="178">
        <f t="shared" si="31"/>
        <v>0</v>
      </c>
      <c r="P149" s="178">
        <f t="shared" si="31"/>
        <v>0</v>
      </c>
      <c r="Q149" s="178">
        <f t="shared" si="31"/>
        <v>0</v>
      </c>
      <c r="R149" s="165"/>
    </row>
    <row r="150" spans="2:18">
      <c r="B150" s="164"/>
      <c r="C150" s="134" t="s">
        <v>93</v>
      </c>
      <c r="E150" s="180">
        <f>SUM(E143:E149)</f>
        <v>1183620</v>
      </c>
      <c r="F150" s="180">
        <f t="shared" ref="F150:Q150" si="32">SUM(F143:F149)</f>
        <v>932872</v>
      </c>
      <c r="G150" s="180">
        <f t="shared" si="32"/>
        <v>901055</v>
      </c>
      <c r="H150" s="180">
        <f t="shared" si="32"/>
        <v>669909</v>
      </c>
      <c r="I150" s="180">
        <f t="shared" si="32"/>
        <v>682956</v>
      </c>
      <c r="J150" s="180">
        <f t="shared" si="32"/>
        <v>772524</v>
      </c>
      <c r="K150" s="180">
        <f t="shared" si="32"/>
        <v>1507979</v>
      </c>
      <c r="L150" s="180">
        <f t="shared" si="32"/>
        <v>1550701</v>
      </c>
      <c r="M150" s="180">
        <f t="shared" si="32"/>
        <v>1937373</v>
      </c>
      <c r="N150" s="180">
        <f t="shared" si="32"/>
        <v>1987391</v>
      </c>
      <c r="O150" s="180">
        <f t="shared" si="32"/>
        <v>1736785</v>
      </c>
      <c r="P150" s="180">
        <f t="shared" si="32"/>
        <v>2210198</v>
      </c>
      <c r="Q150" s="180">
        <f t="shared" si="32"/>
        <v>2165839</v>
      </c>
      <c r="R150" s="165"/>
    </row>
    <row r="151" spans="2:18">
      <c r="B151" s="170"/>
      <c r="C151" s="172"/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4"/>
    </row>
    <row r="152" spans="2:18">
      <c r="B152" s="161"/>
      <c r="C152" s="176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3"/>
    </row>
    <row r="153" spans="2:18">
      <c r="B153" s="164"/>
      <c r="C153" s="134" t="s">
        <v>384</v>
      </c>
      <c r="D153" s="134" t="s">
        <v>417</v>
      </c>
      <c r="R153" s="165"/>
    </row>
    <row r="154" spans="2:18">
      <c r="B154" s="164"/>
      <c r="C154" s="134" t="s">
        <v>67</v>
      </c>
      <c r="D154" s="133" t="s">
        <v>418</v>
      </c>
      <c r="E154" s="175">
        <v>-1000381.5199999999</v>
      </c>
      <c r="F154" s="175">
        <v>0</v>
      </c>
      <c r="G154" s="175">
        <v>0</v>
      </c>
      <c r="H154" s="175">
        <v>-334056.22000000003</v>
      </c>
      <c r="I154" s="175">
        <v>0</v>
      </c>
      <c r="J154" s="175">
        <v>0</v>
      </c>
      <c r="K154" s="175">
        <v>-4488985.1499999994</v>
      </c>
      <c r="L154" s="175">
        <v>0</v>
      </c>
      <c r="M154" s="175">
        <v>0</v>
      </c>
      <c r="N154" s="175">
        <v>-5182499.4800000004</v>
      </c>
      <c r="O154" s="175">
        <v>0</v>
      </c>
      <c r="P154" s="175">
        <v>0</v>
      </c>
      <c r="Q154" s="175">
        <v>-6578980.2400000002</v>
      </c>
      <c r="R154" s="165"/>
    </row>
    <row r="155" spans="2:18">
      <c r="B155" s="164"/>
      <c r="C155" s="134" t="s">
        <v>70</v>
      </c>
      <c r="D155" s="133" t="s">
        <v>419</v>
      </c>
      <c r="E155" s="175">
        <v>-77964.98</v>
      </c>
      <c r="F155" s="175">
        <v>0</v>
      </c>
      <c r="G155" s="175">
        <v>0</v>
      </c>
      <c r="H155" s="175">
        <v>-122249.12000000002</v>
      </c>
      <c r="I155" s="175">
        <v>0</v>
      </c>
      <c r="J155" s="175">
        <v>0</v>
      </c>
      <c r="K155" s="175">
        <v>-23999.16</v>
      </c>
      <c r="L155" s="175">
        <v>0</v>
      </c>
      <c r="M155" s="175">
        <v>0</v>
      </c>
      <c r="N155" s="175">
        <v>-7734.25</v>
      </c>
      <c r="O155" s="175">
        <v>0</v>
      </c>
      <c r="P155" s="175">
        <v>0</v>
      </c>
      <c r="Q155" s="175">
        <v>-1375987.0699999996</v>
      </c>
      <c r="R155" s="165"/>
    </row>
    <row r="156" spans="2:18">
      <c r="B156" s="164"/>
      <c r="C156" s="134" t="s">
        <v>73</v>
      </c>
      <c r="D156" s="133" t="s">
        <v>420</v>
      </c>
      <c r="E156" s="175">
        <v>-4114142.5169080254</v>
      </c>
      <c r="F156" s="175">
        <v>0</v>
      </c>
      <c r="G156" s="175">
        <v>0</v>
      </c>
      <c r="H156" s="175">
        <v>-3816828.8488878887</v>
      </c>
      <c r="I156" s="175">
        <v>0</v>
      </c>
      <c r="J156" s="175">
        <v>0</v>
      </c>
      <c r="K156" s="175">
        <v>-3983798.886331304</v>
      </c>
      <c r="L156" s="175">
        <v>0</v>
      </c>
      <c r="M156" s="175">
        <v>0</v>
      </c>
      <c r="N156" s="175">
        <v>-4294844.5522530209</v>
      </c>
      <c r="O156" s="175">
        <v>0</v>
      </c>
      <c r="P156" s="175">
        <v>0</v>
      </c>
      <c r="Q156" s="175">
        <v>-3826667.9974929681</v>
      </c>
      <c r="R156" s="165"/>
    </row>
    <row r="157" spans="2:18">
      <c r="B157" s="164"/>
      <c r="C157" s="134" t="s">
        <v>75</v>
      </c>
      <c r="D157" s="133" t="s">
        <v>421</v>
      </c>
      <c r="E157" s="175">
        <v>0</v>
      </c>
      <c r="F157" s="175">
        <v>0</v>
      </c>
      <c r="G157" s="175">
        <v>0</v>
      </c>
      <c r="H157" s="175">
        <v>-11755.04</v>
      </c>
      <c r="I157" s="175">
        <v>0</v>
      </c>
      <c r="J157" s="175">
        <v>0</v>
      </c>
      <c r="K157" s="175">
        <v>0</v>
      </c>
      <c r="L157" s="175">
        <v>0</v>
      </c>
      <c r="M157" s="175">
        <v>0</v>
      </c>
      <c r="N157" s="175">
        <v>0</v>
      </c>
      <c r="O157" s="175">
        <v>0</v>
      </c>
      <c r="P157" s="175">
        <v>0</v>
      </c>
      <c r="Q157" s="175">
        <v>0</v>
      </c>
      <c r="R157" s="165"/>
    </row>
    <row r="158" spans="2:18">
      <c r="B158" s="164"/>
      <c r="C158" s="134" t="s">
        <v>78</v>
      </c>
      <c r="D158" s="133" t="s">
        <v>422</v>
      </c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65"/>
    </row>
    <row r="159" spans="2:18">
      <c r="B159" s="164"/>
      <c r="C159" s="134" t="s">
        <v>80</v>
      </c>
      <c r="D159" s="133" t="s">
        <v>423</v>
      </c>
      <c r="E159" s="175">
        <v>0</v>
      </c>
      <c r="F159" s="175">
        <v>0</v>
      </c>
      <c r="G159" s="175">
        <v>0</v>
      </c>
      <c r="H159" s="175">
        <v>0</v>
      </c>
      <c r="I159" s="175">
        <v>0</v>
      </c>
      <c r="J159" s="175">
        <v>0</v>
      </c>
      <c r="K159" s="175">
        <v>0</v>
      </c>
      <c r="L159" s="175">
        <v>0</v>
      </c>
      <c r="M159" s="175">
        <v>0</v>
      </c>
      <c r="N159" s="175">
        <v>0</v>
      </c>
      <c r="O159" s="175">
        <v>0</v>
      </c>
      <c r="P159" s="175">
        <v>0</v>
      </c>
      <c r="Q159" s="175">
        <v>-6433.5399999999991</v>
      </c>
      <c r="R159" s="165"/>
    </row>
    <row r="160" spans="2:18">
      <c r="B160" s="164"/>
      <c r="C160" s="134" t="s">
        <v>82</v>
      </c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65"/>
    </row>
    <row r="161" spans="2:18">
      <c r="B161" s="164"/>
      <c r="C161" s="152" t="s">
        <v>85</v>
      </c>
      <c r="E161" s="180">
        <f>SUM(E154:E160)</f>
        <v>-5192489.0169080254</v>
      </c>
      <c r="F161" s="180">
        <f t="shared" ref="F161:P161" si="33">SUM(F154:F160)</f>
        <v>0</v>
      </c>
      <c r="G161" s="180">
        <f t="shared" si="33"/>
        <v>0</v>
      </c>
      <c r="H161" s="180">
        <f t="shared" si="33"/>
        <v>-4284889.2288878886</v>
      </c>
      <c r="I161" s="180">
        <f t="shared" si="33"/>
        <v>0</v>
      </c>
      <c r="J161" s="180">
        <f t="shared" si="33"/>
        <v>0</v>
      </c>
      <c r="K161" s="180">
        <f t="shared" si="33"/>
        <v>-8496783.1963313036</v>
      </c>
      <c r="L161" s="180">
        <f t="shared" si="33"/>
        <v>0</v>
      </c>
      <c r="M161" s="180">
        <f t="shared" si="33"/>
        <v>0</v>
      </c>
      <c r="N161" s="180">
        <f t="shared" si="33"/>
        <v>-9485078.2822530214</v>
      </c>
      <c r="O161" s="180">
        <f t="shared" si="33"/>
        <v>0</v>
      </c>
      <c r="P161" s="180">
        <f t="shared" si="33"/>
        <v>0</v>
      </c>
      <c r="Q161" s="180">
        <f>SUM(Q154:Q160)</f>
        <v>-11788068.847492967</v>
      </c>
      <c r="R161" s="165"/>
    </row>
    <row r="162" spans="2:18">
      <c r="B162" s="164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65"/>
    </row>
    <row r="163" spans="2:18">
      <c r="B163" s="164"/>
      <c r="C163" s="134" t="s">
        <v>389</v>
      </c>
      <c r="D163" s="134" t="s">
        <v>417</v>
      </c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65"/>
    </row>
    <row r="164" spans="2:18">
      <c r="B164" s="164"/>
      <c r="C164" s="134" t="s">
        <v>67</v>
      </c>
      <c r="E164" s="175">
        <v>-1000381.5199999999</v>
      </c>
      <c r="F164" s="175">
        <v>0</v>
      </c>
      <c r="G164" s="175">
        <v>0</v>
      </c>
      <c r="H164" s="175">
        <v>-334056.22000000003</v>
      </c>
      <c r="I164" s="175">
        <v>0</v>
      </c>
      <c r="J164" s="175">
        <v>0</v>
      </c>
      <c r="K164" s="175">
        <v>-4488985.1499999994</v>
      </c>
      <c r="L164" s="175">
        <v>0</v>
      </c>
      <c r="M164" s="175">
        <v>0</v>
      </c>
      <c r="N164" s="175">
        <v>-5182499.4800000004</v>
      </c>
      <c r="O164" s="175">
        <v>0</v>
      </c>
      <c r="P164" s="175">
        <v>0</v>
      </c>
      <c r="Q164" s="175">
        <v>-6578980.2400000002</v>
      </c>
      <c r="R164" s="165"/>
    </row>
    <row r="165" spans="2:18">
      <c r="B165" s="164"/>
      <c r="C165" s="134" t="s">
        <v>70</v>
      </c>
      <c r="E165" s="175">
        <v>-77964.98</v>
      </c>
      <c r="F165" s="175">
        <v>0</v>
      </c>
      <c r="G165" s="175">
        <v>0</v>
      </c>
      <c r="H165" s="175">
        <v>-122249.12000000002</v>
      </c>
      <c r="I165" s="175">
        <v>0</v>
      </c>
      <c r="J165" s="175">
        <v>0</v>
      </c>
      <c r="K165" s="175">
        <v>-23999.16</v>
      </c>
      <c r="L165" s="175">
        <v>0</v>
      </c>
      <c r="M165" s="175">
        <v>0</v>
      </c>
      <c r="N165" s="175">
        <v>-7734.25</v>
      </c>
      <c r="O165" s="175">
        <v>0</v>
      </c>
      <c r="P165" s="175">
        <v>0</v>
      </c>
      <c r="Q165" s="175">
        <v>-1375987.0699999996</v>
      </c>
      <c r="R165" s="165"/>
    </row>
    <row r="166" spans="2:18">
      <c r="B166" s="164"/>
      <c r="C166" s="134" t="s">
        <v>73</v>
      </c>
      <c r="E166" s="175">
        <v>-4114142.5169080254</v>
      </c>
      <c r="F166" s="175">
        <v>0</v>
      </c>
      <c r="G166" s="175">
        <v>0</v>
      </c>
      <c r="H166" s="175">
        <v>-3816828.8488878887</v>
      </c>
      <c r="I166" s="175">
        <v>0</v>
      </c>
      <c r="J166" s="175">
        <v>0</v>
      </c>
      <c r="K166" s="175">
        <v>-3983798.886331304</v>
      </c>
      <c r="L166" s="175">
        <v>0</v>
      </c>
      <c r="M166" s="175">
        <v>0</v>
      </c>
      <c r="N166" s="175">
        <v>-4294844.5522530209</v>
      </c>
      <c r="O166" s="175">
        <v>0</v>
      </c>
      <c r="P166" s="175">
        <v>0</v>
      </c>
      <c r="Q166" s="175">
        <v>-3826667.9974929681</v>
      </c>
      <c r="R166" s="165"/>
    </row>
    <row r="167" spans="2:18">
      <c r="B167" s="164"/>
      <c r="C167" s="134" t="s">
        <v>75</v>
      </c>
      <c r="E167" s="175">
        <v>0</v>
      </c>
      <c r="F167" s="175">
        <v>0</v>
      </c>
      <c r="G167" s="175">
        <v>0</v>
      </c>
      <c r="H167" s="175">
        <v>-11755.04</v>
      </c>
      <c r="I167" s="175">
        <v>0</v>
      </c>
      <c r="J167" s="175">
        <v>0</v>
      </c>
      <c r="K167" s="175">
        <v>0</v>
      </c>
      <c r="L167" s="175">
        <v>0</v>
      </c>
      <c r="M167" s="175">
        <v>0</v>
      </c>
      <c r="N167" s="175">
        <v>0</v>
      </c>
      <c r="O167" s="175">
        <v>0</v>
      </c>
      <c r="P167" s="175">
        <v>0</v>
      </c>
      <c r="Q167" s="175">
        <v>0</v>
      </c>
      <c r="R167" s="165"/>
    </row>
    <row r="168" spans="2:18">
      <c r="B168" s="164"/>
      <c r="C168" s="134" t="s">
        <v>78</v>
      </c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65"/>
    </row>
    <row r="169" spans="2:18">
      <c r="B169" s="164"/>
      <c r="C169" s="134" t="s">
        <v>80</v>
      </c>
      <c r="E169" s="175">
        <v>0</v>
      </c>
      <c r="F169" s="175">
        <v>0</v>
      </c>
      <c r="G169" s="175">
        <v>0</v>
      </c>
      <c r="H169" s="175">
        <v>0</v>
      </c>
      <c r="I169" s="175">
        <v>0</v>
      </c>
      <c r="J169" s="175">
        <v>0</v>
      </c>
      <c r="K169" s="175">
        <v>0</v>
      </c>
      <c r="L169" s="175">
        <v>0</v>
      </c>
      <c r="M169" s="175">
        <v>0</v>
      </c>
      <c r="N169" s="175">
        <v>0</v>
      </c>
      <c r="O169" s="175">
        <v>0</v>
      </c>
      <c r="P169" s="175">
        <v>0</v>
      </c>
      <c r="Q169" s="175">
        <v>-6433.5399999999991</v>
      </c>
      <c r="R169" s="165"/>
    </row>
    <row r="170" spans="2:18">
      <c r="B170" s="164"/>
      <c r="C170" s="134" t="s">
        <v>82</v>
      </c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65"/>
    </row>
    <row r="171" spans="2:18">
      <c r="B171" s="164"/>
      <c r="C171" s="134" t="s">
        <v>93</v>
      </c>
      <c r="E171" s="180">
        <f>SUM(E164:E170)</f>
        <v>-5192489.0169080254</v>
      </c>
      <c r="F171" s="180">
        <f t="shared" ref="F171:Q171" si="34">SUM(F164:F170)</f>
        <v>0</v>
      </c>
      <c r="G171" s="180">
        <f t="shared" si="34"/>
        <v>0</v>
      </c>
      <c r="H171" s="180">
        <f t="shared" si="34"/>
        <v>-4284889.2288878886</v>
      </c>
      <c r="I171" s="180">
        <f t="shared" si="34"/>
        <v>0</v>
      </c>
      <c r="J171" s="180">
        <f t="shared" si="34"/>
        <v>0</v>
      </c>
      <c r="K171" s="180">
        <f t="shared" si="34"/>
        <v>-8496783.1963313036</v>
      </c>
      <c r="L171" s="180">
        <f t="shared" si="34"/>
        <v>0</v>
      </c>
      <c r="M171" s="180">
        <f t="shared" si="34"/>
        <v>0</v>
      </c>
      <c r="N171" s="180">
        <f t="shared" si="34"/>
        <v>-9485078.2822530214</v>
      </c>
      <c r="O171" s="180">
        <f t="shared" si="34"/>
        <v>0</v>
      </c>
      <c r="P171" s="180">
        <f t="shared" si="34"/>
        <v>0</v>
      </c>
      <c r="Q171" s="180">
        <f t="shared" si="34"/>
        <v>-11788068.847492967</v>
      </c>
      <c r="R171" s="165"/>
    </row>
    <row r="172" spans="2:18">
      <c r="B172" s="170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4"/>
    </row>
  </sheetData>
  <mergeCells count="6">
    <mergeCell ref="A4:I4"/>
    <mergeCell ref="A5:I5"/>
    <mergeCell ref="A7:I7"/>
    <mergeCell ref="J4:R4"/>
    <mergeCell ref="J5:R5"/>
    <mergeCell ref="J7:R7"/>
  </mergeCells>
  <phoneticPr fontId="13" type="noConversion"/>
  <printOptions horizontalCentered="1"/>
  <pageMargins left="0.5" right="0.5" top="0.75" bottom="0.75" header="0.5" footer="0.5"/>
  <pageSetup scale="49" fitToWidth="2" fitToHeight="5" orientation="portrait" r:id="rId1"/>
  <headerFooter alignWithMargins="0">
    <oddHeader>&amp;L&amp;10 2016 BHP-Workpaper 6 Rate True-Up&amp;C&amp;"Arial MT,Bold"
ACTUAL SERVICE YEAR ATRR
BLACK HILLS POWER, INC.&amp;R&amp;10Page &amp;P of &amp;N</oddHeader>
    <oddFooter xml:space="preserve">&amp;L&amp;9
</oddFooter>
  </headerFooter>
  <rowBreaks count="1" manualBreakCount="1">
    <brk id="43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pageSetUpPr fitToPage="1"/>
  </sheetPr>
  <dimension ref="A1:Y206"/>
  <sheetViews>
    <sheetView workbookViewId="0">
      <selection activeCell="E50" sqref="E50"/>
    </sheetView>
  </sheetViews>
  <sheetFormatPr defaultColWidth="7.109375" defaultRowHeight="12.75"/>
  <cols>
    <col min="1" max="1" width="4.88671875" style="183" customWidth="1"/>
    <col min="2" max="2" width="15.6640625" style="183" customWidth="1"/>
    <col min="3" max="3" width="7.109375" style="183" customWidth="1"/>
    <col min="4" max="4" width="8.88671875" style="183" customWidth="1"/>
    <col min="5" max="5" width="7.88671875" style="183" customWidth="1"/>
    <col min="6" max="6" width="7.6640625" style="183" customWidth="1"/>
    <col min="7" max="7" width="10.33203125" style="183" customWidth="1"/>
    <col min="8" max="8" width="13" style="183" customWidth="1"/>
    <col min="9" max="9" width="11.88671875" style="183" customWidth="1"/>
    <col min="10" max="10" width="11.109375" style="183" customWidth="1"/>
    <col min="11" max="11" width="8" style="183" customWidth="1"/>
    <col min="12" max="16384" width="7.109375" style="183"/>
  </cols>
  <sheetData>
    <row r="1" spans="1:12">
      <c r="K1" s="184"/>
    </row>
    <row r="2" spans="1:12">
      <c r="B2" s="185"/>
      <c r="C2" s="186"/>
      <c r="D2" s="186"/>
      <c r="E2" s="186"/>
      <c r="F2" s="186"/>
      <c r="G2" s="186"/>
      <c r="H2" s="186"/>
      <c r="J2" s="187" t="str">
        <f>+'CU AC Rate Design - True-Up'!H1</f>
        <v>Date: May 31, 2026</v>
      </c>
    </row>
    <row r="3" spans="1:12" ht="15" customHeight="1">
      <c r="A3" s="337" t="s">
        <v>1</v>
      </c>
      <c r="B3" s="337"/>
      <c r="C3" s="337"/>
      <c r="D3" s="337"/>
      <c r="E3" s="337"/>
      <c r="F3" s="337"/>
      <c r="G3" s="337"/>
      <c r="H3" s="337"/>
      <c r="I3" s="337"/>
      <c r="J3" s="337"/>
    </row>
    <row r="4" spans="1:12" ht="15" customHeight="1">
      <c r="A4" s="337" t="s">
        <v>2</v>
      </c>
      <c r="B4" s="337"/>
      <c r="C4" s="337"/>
      <c r="D4" s="337"/>
      <c r="E4" s="337"/>
      <c r="F4" s="337"/>
      <c r="G4" s="337"/>
      <c r="H4" s="337"/>
      <c r="I4" s="337"/>
      <c r="J4" s="337"/>
    </row>
    <row r="5" spans="1:12">
      <c r="B5" s="185"/>
      <c r="C5" s="186"/>
      <c r="D5" s="188"/>
      <c r="E5" s="186"/>
      <c r="G5" s="186"/>
      <c r="H5" s="186"/>
      <c r="I5" s="186"/>
      <c r="J5" s="186"/>
    </row>
    <row r="6" spans="1:12" ht="18.75">
      <c r="A6" s="189" t="s">
        <v>58</v>
      </c>
      <c r="B6" s="185"/>
      <c r="C6" s="186"/>
      <c r="D6" s="334" t="s">
        <v>424</v>
      </c>
      <c r="E6" s="335"/>
      <c r="F6" s="335"/>
      <c r="G6" s="335"/>
      <c r="H6" s="336"/>
      <c r="I6" s="186"/>
      <c r="J6" s="186"/>
    </row>
    <row r="7" spans="1:12" ht="13.5" thickBot="1">
      <c r="A7" s="190" t="s">
        <v>63</v>
      </c>
    </row>
    <row r="8" spans="1:12" ht="15">
      <c r="A8" s="191">
        <v>1</v>
      </c>
      <c r="B8" s="192"/>
      <c r="C8" s="193"/>
      <c r="D8" s="194" t="s">
        <v>425</v>
      </c>
      <c r="E8" s="194" t="s">
        <v>426</v>
      </c>
      <c r="F8" s="194" t="s">
        <v>427</v>
      </c>
      <c r="G8" s="193" t="s">
        <v>428</v>
      </c>
      <c r="H8" s="194" t="s">
        <v>429</v>
      </c>
      <c r="I8" s="194" t="s">
        <v>430</v>
      </c>
      <c r="J8" s="194" t="s">
        <v>431</v>
      </c>
      <c r="K8" s="133"/>
    </row>
    <row r="9" spans="1:12" ht="15">
      <c r="A9" s="191">
        <f>A8+1</f>
        <v>2</v>
      </c>
      <c r="B9" s="195"/>
      <c r="C9" s="196"/>
      <c r="D9" s="197" t="s">
        <v>431</v>
      </c>
      <c r="E9" s="197" t="s">
        <v>431</v>
      </c>
      <c r="F9" s="197" t="s">
        <v>432</v>
      </c>
      <c r="G9" s="196" t="s">
        <v>433</v>
      </c>
      <c r="H9" s="197" t="s">
        <v>434</v>
      </c>
      <c r="I9" s="197" t="s">
        <v>435</v>
      </c>
      <c r="J9" s="197" t="s">
        <v>436</v>
      </c>
      <c r="K9" s="133"/>
    </row>
    <row r="10" spans="1:12" ht="15.75" thickBot="1">
      <c r="A10" s="191">
        <f t="shared" ref="A10:A47" si="0">A9+1</f>
        <v>3</v>
      </c>
      <c r="B10" s="198"/>
      <c r="C10" s="199"/>
      <c r="D10" s="200" t="s">
        <v>437</v>
      </c>
      <c r="E10" s="197" t="s">
        <v>437</v>
      </c>
      <c r="F10" s="200" t="s">
        <v>437</v>
      </c>
      <c r="G10" s="199" t="s">
        <v>437</v>
      </c>
      <c r="H10" s="200" t="s">
        <v>437</v>
      </c>
      <c r="I10" s="200" t="s">
        <v>437</v>
      </c>
      <c r="J10" s="197" t="s">
        <v>438</v>
      </c>
      <c r="K10" s="133"/>
    </row>
    <row r="11" spans="1:12" ht="15">
      <c r="A11" s="191">
        <f t="shared" si="0"/>
        <v>4</v>
      </c>
      <c r="B11" s="201" t="s">
        <v>319</v>
      </c>
      <c r="C11" s="202"/>
      <c r="D11" s="203">
        <v>298.03399999999999</v>
      </c>
      <c r="E11" s="204">
        <v>317.75200000000001</v>
      </c>
      <c r="F11" s="205">
        <v>2</v>
      </c>
      <c r="G11" s="204">
        <v>52.055999999999997</v>
      </c>
      <c r="H11" s="206">
        <v>317</v>
      </c>
      <c r="I11" s="203">
        <v>0</v>
      </c>
      <c r="J11" s="204">
        <f>SUM(D11:I11)</f>
        <v>986.8420000000001</v>
      </c>
      <c r="K11" s="133"/>
      <c r="L11" s="207"/>
    </row>
    <row r="12" spans="1:12" ht="15">
      <c r="A12" s="191">
        <f t="shared" si="0"/>
        <v>5</v>
      </c>
      <c r="B12" s="201" t="s">
        <v>337</v>
      </c>
      <c r="D12" s="208">
        <v>333.24299999999999</v>
      </c>
      <c r="E12" s="209">
        <v>306.93</v>
      </c>
      <c r="F12" s="210">
        <v>2</v>
      </c>
      <c r="G12" s="209">
        <v>60.816000000000003</v>
      </c>
      <c r="H12" s="211">
        <v>317</v>
      </c>
      <c r="I12" s="208">
        <v>0</v>
      </c>
      <c r="J12" s="209">
        <f>SUM(D12:I12)</f>
        <v>1019.989</v>
      </c>
      <c r="K12" s="133"/>
      <c r="L12" s="207"/>
    </row>
    <row r="13" spans="1:12" ht="15">
      <c r="A13" s="191">
        <f t="shared" si="0"/>
        <v>6</v>
      </c>
      <c r="B13" s="201" t="s">
        <v>338</v>
      </c>
      <c r="D13" s="208">
        <v>258</v>
      </c>
      <c r="E13" s="209">
        <v>264.351</v>
      </c>
      <c r="F13" s="210">
        <v>2</v>
      </c>
      <c r="G13" s="209">
        <v>45.956000000000003</v>
      </c>
      <c r="H13" s="211">
        <v>317</v>
      </c>
      <c r="I13" s="208">
        <v>0</v>
      </c>
      <c r="J13" s="209">
        <f t="shared" ref="J13:J21" si="1">SUM(D13:I13)</f>
        <v>887.30700000000002</v>
      </c>
      <c r="K13" s="133"/>
      <c r="L13" s="207"/>
    </row>
    <row r="14" spans="1:12" ht="15">
      <c r="A14" s="191">
        <f t="shared" si="0"/>
        <v>7</v>
      </c>
      <c r="B14" s="201" t="s">
        <v>339</v>
      </c>
      <c r="D14" s="208">
        <v>247.47399999999999</v>
      </c>
      <c r="E14" s="209">
        <v>238.006</v>
      </c>
      <c r="F14" s="210">
        <v>2</v>
      </c>
      <c r="G14" s="209">
        <v>45.76</v>
      </c>
      <c r="H14" s="211">
        <v>317</v>
      </c>
      <c r="I14" s="208">
        <v>0</v>
      </c>
      <c r="J14" s="209">
        <f t="shared" si="1"/>
        <v>850.24</v>
      </c>
      <c r="K14" s="133"/>
      <c r="L14" s="207"/>
    </row>
    <row r="15" spans="1:12" ht="15">
      <c r="A15" s="191">
        <f t="shared" si="0"/>
        <v>8</v>
      </c>
      <c r="B15" s="201" t="s">
        <v>296</v>
      </c>
      <c r="D15" s="208">
        <v>286.404</v>
      </c>
      <c r="E15" s="209">
        <v>243.35499999999999</v>
      </c>
      <c r="F15" s="210">
        <v>3</v>
      </c>
      <c r="G15" s="209">
        <v>51.095999999999997</v>
      </c>
      <c r="H15" s="211">
        <v>317</v>
      </c>
      <c r="I15" s="208">
        <v>0</v>
      </c>
      <c r="J15" s="209">
        <f t="shared" si="1"/>
        <v>900.85500000000002</v>
      </c>
      <c r="K15" s="133"/>
      <c r="L15" s="207"/>
    </row>
    <row r="16" spans="1:12" ht="15">
      <c r="A16" s="191">
        <f t="shared" si="0"/>
        <v>9</v>
      </c>
      <c r="B16" s="201" t="s">
        <v>340</v>
      </c>
      <c r="D16" s="208">
        <v>353.37799999999999</v>
      </c>
      <c r="E16" s="209">
        <v>231.49700000000001</v>
      </c>
      <c r="F16" s="210">
        <v>3</v>
      </c>
      <c r="G16" s="209">
        <v>63.273000000000003</v>
      </c>
      <c r="H16" s="211">
        <v>317</v>
      </c>
      <c r="I16" s="208">
        <v>0</v>
      </c>
      <c r="J16" s="209">
        <f t="shared" si="1"/>
        <v>968.14800000000002</v>
      </c>
      <c r="K16" s="133"/>
      <c r="L16" s="207"/>
    </row>
    <row r="17" spans="1:25" ht="15">
      <c r="A17" s="191">
        <f t="shared" si="0"/>
        <v>10</v>
      </c>
      <c r="B17" s="201" t="s">
        <v>341</v>
      </c>
      <c r="D17" s="208">
        <v>319</v>
      </c>
      <c r="E17" s="209">
        <v>239</v>
      </c>
      <c r="F17" s="210">
        <v>3</v>
      </c>
      <c r="G17" s="209">
        <v>70</v>
      </c>
      <c r="H17" s="211">
        <v>317</v>
      </c>
      <c r="I17" s="208">
        <v>0</v>
      </c>
      <c r="J17" s="209">
        <f t="shared" si="1"/>
        <v>948</v>
      </c>
      <c r="K17" s="133"/>
      <c r="L17" s="207"/>
    </row>
    <row r="18" spans="1:25" ht="15">
      <c r="A18" s="191">
        <f t="shared" si="0"/>
        <v>11</v>
      </c>
      <c r="B18" s="201" t="s">
        <v>342</v>
      </c>
      <c r="D18" s="208">
        <v>379</v>
      </c>
      <c r="E18" s="209">
        <v>258</v>
      </c>
      <c r="F18" s="210">
        <v>3</v>
      </c>
      <c r="G18" s="209">
        <v>71</v>
      </c>
      <c r="H18" s="211">
        <v>317</v>
      </c>
      <c r="I18" s="208">
        <v>0</v>
      </c>
      <c r="J18" s="209">
        <f t="shared" si="1"/>
        <v>1028</v>
      </c>
      <c r="K18" s="133"/>
      <c r="L18" s="207"/>
    </row>
    <row r="19" spans="1:25" ht="15">
      <c r="A19" s="191">
        <f t="shared" si="0"/>
        <v>12</v>
      </c>
      <c r="B19" s="201" t="s">
        <v>307</v>
      </c>
      <c r="D19" s="208">
        <v>334</v>
      </c>
      <c r="E19" s="209">
        <v>246</v>
      </c>
      <c r="F19" s="210">
        <v>3</v>
      </c>
      <c r="G19" s="209">
        <v>62</v>
      </c>
      <c r="H19" s="211">
        <v>317</v>
      </c>
      <c r="I19" s="208">
        <v>0</v>
      </c>
      <c r="J19" s="209">
        <f t="shared" si="1"/>
        <v>962</v>
      </c>
      <c r="K19" s="133"/>
      <c r="L19" s="207"/>
    </row>
    <row r="20" spans="1:25" ht="15">
      <c r="A20" s="191">
        <f t="shared" si="0"/>
        <v>13</v>
      </c>
      <c r="B20" s="201" t="s">
        <v>316</v>
      </c>
      <c r="D20" s="208">
        <v>279</v>
      </c>
      <c r="E20" s="209">
        <v>222</v>
      </c>
      <c r="F20" s="210">
        <v>3</v>
      </c>
      <c r="G20" s="209">
        <v>52</v>
      </c>
      <c r="H20" s="211">
        <v>317</v>
      </c>
      <c r="I20" s="208">
        <v>0</v>
      </c>
      <c r="J20" s="209">
        <f t="shared" si="1"/>
        <v>873</v>
      </c>
      <c r="K20" s="133"/>
      <c r="L20" s="207"/>
    </row>
    <row r="21" spans="1:25" ht="15">
      <c r="A21" s="191">
        <f t="shared" si="0"/>
        <v>14</v>
      </c>
      <c r="B21" s="201" t="s">
        <v>343</v>
      </c>
      <c r="D21" s="208">
        <v>305</v>
      </c>
      <c r="E21" s="209">
        <v>288</v>
      </c>
      <c r="F21" s="210">
        <v>2</v>
      </c>
      <c r="G21" s="209">
        <v>56</v>
      </c>
      <c r="H21" s="211">
        <v>317</v>
      </c>
      <c r="I21" s="208">
        <v>0</v>
      </c>
      <c r="J21" s="209">
        <f t="shared" si="1"/>
        <v>968</v>
      </c>
      <c r="K21" s="133"/>
      <c r="L21" s="207"/>
    </row>
    <row r="22" spans="1:25" ht="15.75" thickBot="1">
      <c r="A22" s="191">
        <f t="shared" si="0"/>
        <v>15</v>
      </c>
      <c r="B22" s="212" t="s">
        <v>344</v>
      </c>
      <c r="C22" s="213"/>
      <c r="D22" s="214">
        <v>250</v>
      </c>
      <c r="E22" s="215">
        <v>258</v>
      </c>
      <c r="F22" s="216">
        <v>2</v>
      </c>
      <c r="G22" s="215">
        <v>42</v>
      </c>
      <c r="H22" s="216">
        <v>317</v>
      </c>
      <c r="I22" s="214">
        <v>0</v>
      </c>
      <c r="J22" s="215">
        <f>SUM(D22:I22)</f>
        <v>869</v>
      </c>
      <c r="K22" s="133"/>
      <c r="L22" s="207"/>
    </row>
    <row r="23" spans="1:25" ht="15.75" thickBot="1">
      <c r="A23" s="191">
        <f t="shared" si="0"/>
        <v>16</v>
      </c>
      <c r="B23" s="217"/>
      <c r="D23" s="218"/>
      <c r="E23" s="218"/>
      <c r="F23" s="218"/>
      <c r="G23" s="197"/>
      <c r="H23" s="196"/>
      <c r="I23" s="200"/>
      <c r="J23" s="218"/>
      <c r="K23" s="133"/>
      <c r="L23" s="207"/>
    </row>
    <row r="24" spans="1:25" ht="15.75" thickBot="1">
      <c r="A24" s="191">
        <f t="shared" si="0"/>
        <v>17</v>
      </c>
      <c r="B24" s="219" t="s">
        <v>439</v>
      </c>
      <c r="C24" s="220"/>
      <c r="D24" s="221">
        <f t="shared" ref="D24:J24" si="2">SUM(D11:D22)/12</f>
        <v>303.54441666666668</v>
      </c>
      <c r="E24" s="222">
        <f t="shared" si="2"/>
        <v>259.40758333333332</v>
      </c>
      <c r="F24" s="223">
        <f t="shared" si="2"/>
        <v>2.5</v>
      </c>
      <c r="G24" s="222">
        <f t="shared" si="2"/>
        <v>55.996416666666669</v>
      </c>
      <c r="H24" s="224">
        <f t="shared" si="2"/>
        <v>317</v>
      </c>
      <c r="I24" s="221">
        <f t="shared" si="2"/>
        <v>0</v>
      </c>
      <c r="J24" s="222">
        <f t="shared" si="2"/>
        <v>938.44841666666673</v>
      </c>
      <c r="K24" s="133"/>
      <c r="L24" s="207"/>
    </row>
    <row r="25" spans="1:25">
      <c r="A25" s="191">
        <f t="shared" si="0"/>
        <v>18</v>
      </c>
    </row>
    <row r="26" spans="1:25" ht="18.75">
      <c r="A26" s="191">
        <f t="shared" si="0"/>
        <v>19</v>
      </c>
      <c r="B26" s="185"/>
      <c r="C26" s="186"/>
      <c r="D26" s="334" t="s">
        <v>440</v>
      </c>
      <c r="E26" s="335"/>
      <c r="F26" s="335"/>
      <c r="G26" s="335"/>
      <c r="H26" s="336"/>
      <c r="I26" s="186"/>
    </row>
    <row r="27" spans="1:25" ht="13.5" thickBot="1">
      <c r="A27" s="191">
        <f t="shared" si="0"/>
        <v>20</v>
      </c>
    </row>
    <row r="28" spans="1:25">
      <c r="A28" s="191">
        <f t="shared" si="0"/>
        <v>21</v>
      </c>
      <c r="B28" s="192"/>
      <c r="C28" s="193"/>
      <c r="D28" s="194" t="s">
        <v>425</v>
      </c>
      <c r="E28" s="194" t="s">
        <v>426</v>
      </c>
      <c r="F28" s="194" t="s">
        <v>427</v>
      </c>
      <c r="G28" s="193" t="s">
        <v>428</v>
      </c>
      <c r="H28" s="194" t="s">
        <v>429</v>
      </c>
      <c r="I28" s="194" t="s">
        <v>430</v>
      </c>
      <c r="J28" s="194" t="s">
        <v>431</v>
      </c>
    </row>
    <row r="29" spans="1:25">
      <c r="A29" s="191">
        <f t="shared" si="0"/>
        <v>22</v>
      </c>
      <c r="B29" s="195"/>
      <c r="C29" s="196"/>
      <c r="D29" s="197" t="s">
        <v>431</v>
      </c>
      <c r="E29" s="197" t="s">
        <v>431</v>
      </c>
      <c r="F29" s="197" t="s">
        <v>432</v>
      </c>
      <c r="G29" s="196" t="s">
        <v>433</v>
      </c>
      <c r="H29" s="197" t="s">
        <v>434</v>
      </c>
      <c r="I29" s="197" t="s">
        <v>435</v>
      </c>
      <c r="J29" s="197" t="s">
        <v>436</v>
      </c>
    </row>
    <row r="30" spans="1:25" ht="13.5" thickBot="1">
      <c r="A30" s="191">
        <f t="shared" si="0"/>
        <v>23</v>
      </c>
      <c r="B30" s="198"/>
      <c r="C30" s="199"/>
      <c r="D30" s="200" t="s">
        <v>437</v>
      </c>
      <c r="E30" s="197" t="s">
        <v>437</v>
      </c>
      <c r="F30" s="200" t="s">
        <v>437</v>
      </c>
      <c r="G30" s="199" t="s">
        <v>437</v>
      </c>
      <c r="H30" s="200" t="s">
        <v>437</v>
      </c>
      <c r="I30" s="200" t="s">
        <v>437</v>
      </c>
      <c r="J30" s="200" t="s">
        <v>438</v>
      </c>
    </row>
    <row r="31" spans="1:25">
      <c r="A31" s="191">
        <f t="shared" si="0"/>
        <v>24</v>
      </c>
      <c r="B31" s="201" t="s">
        <v>319</v>
      </c>
      <c r="C31" s="202"/>
      <c r="D31" s="204">
        <v>329.39400129688767</v>
      </c>
      <c r="E31" s="204">
        <v>299</v>
      </c>
      <c r="F31" s="225">
        <v>3</v>
      </c>
      <c r="G31" s="204">
        <v>76.079442413381116</v>
      </c>
      <c r="H31" s="196">
        <v>297</v>
      </c>
      <c r="I31" s="194">
        <v>0</v>
      </c>
      <c r="J31" s="204">
        <f>SUM(D31:I31)</f>
        <v>1004.4734437102687</v>
      </c>
      <c r="S31" s="207"/>
      <c r="T31" s="207"/>
      <c r="U31" s="207"/>
      <c r="V31" s="207"/>
      <c r="W31" s="207"/>
      <c r="X31" s="207"/>
      <c r="Y31" s="207"/>
    </row>
    <row r="32" spans="1:25">
      <c r="A32" s="191">
        <f t="shared" si="0"/>
        <v>25</v>
      </c>
      <c r="B32" s="201" t="s">
        <v>337</v>
      </c>
      <c r="D32" s="209">
        <v>316.81812145372686</v>
      </c>
      <c r="E32" s="209">
        <v>301</v>
      </c>
      <c r="F32" s="226">
        <v>3</v>
      </c>
      <c r="G32" s="209">
        <v>72.720112413381131</v>
      </c>
      <c r="H32" s="196">
        <v>297</v>
      </c>
      <c r="I32" s="197">
        <v>0</v>
      </c>
      <c r="J32" s="209">
        <f>SUM(D32:I32)</f>
        <v>990.53823386710803</v>
      </c>
      <c r="S32" s="207"/>
      <c r="T32" s="207"/>
      <c r="U32" s="207"/>
      <c r="V32" s="207"/>
      <c r="W32" s="207"/>
      <c r="X32" s="207"/>
      <c r="Y32" s="207"/>
    </row>
    <row r="33" spans="1:25">
      <c r="A33" s="191">
        <f t="shared" si="0"/>
        <v>26</v>
      </c>
      <c r="B33" s="201" t="s">
        <v>338</v>
      </c>
      <c r="D33" s="209">
        <v>296.15276968759991</v>
      </c>
      <c r="E33" s="209">
        <v>277</v>
      </c>
      <c r="F33" s="226">
        <v>3</v>
      </c>
      <c r="G33" s="209">
        <v>68.817712413381116</v>
      </c>
      <c r="H33" s="196">
        <v>297</v>
      </c>
      <c r="I33" s="197">
        <v>0</v>
      </c>
      <c r="J33" s="209">
        <f t="shared" ref="J33:J41" si="3">SUM(D33:I33)</f>
        <v>941.97048210098092</v>
      </c>
      <c r="S33" s="207"/>
      <c r="T33" s="207"/>
      <c r="U33" s="207"/>
      <c r="V33" s="207"/>
      <c r="W33" s="207"/>
      <c r="X33" s="207"/>
      <c r="Y33" s="207"/>
    </row>
    <row r="34" spans="1:25">
      <c r="A34" s="191">
        <f t="shared" si="0"/>
        <v>27</v>
      </c>
      <c r="B34" s="201" t="s">
        <v>339</v>
      </c>
      <c r="D34" s="209">
        <v>267.03697828117515</v>
      </c>
      <c r="E34" s="209">
        <v>263</v>
      </c>
      <c r="F34" s="226">
        <v>3</v>
      </c>
      <c r="G34" s="209">
        <v>61.532432413381123</v>
      </c>
      <c r="H34" s="196">
        <v>297</v>
      </c>
      <c r="I34" s="197">
        <v>0</v>
      </c>
      <c r="J34" s="209">
        <f t="shared" si="3"/>
        <v>891.56941069455627</v>
      </c>
      <c r="S34" s="207"/>
      <c r="T34" s="207"/>
      <c r="U34" s="207"/>
      <c r="V34" s="207"/>
      <c r="W34" s="207"/>
      <c r="X34" s="207"/>
      <c r="Y34" s="207"/>
    </row>
    <row r="35" spans="1:25">
      <c r="A35" s="191">
        <f t="shared" si="0"/>
        <v>28</v>
      </c>
      <c r="B35" s="201" t="s">
        <v>296</v>
      </c>
      <c r="D35" s="209">
        <v>276.40597390008867</v>
      </c>
      <c r="E35" s="209">
        <v>231</v>
      </c>
      <c r="F35" s="226">
        <v>3</v>
      </c>
      <c r="G35" s="209">
        <v>66.052002413381132</v>
      </c>
      <c r="H35" s="196">
        <v>297</v>
      </c>
      <c r="I35" s="197">
        <v>0</v>
      </c>
      <c r="J35" s="209">
        <f t="shared" si="3"/>
        <v>873.45797631346977</v>
      </c>
      <c r="S35" s="207"/>
      <c r="T35" s="207"/>
      <c r="U35" s="207"/>
      <c r="V35" s="207"/>
      <c r="W35" s="207"/>
      <c r="X35" s="207"/>
      <c r="Y35" s="207"/>
    </row>
    <row r="36" spans="1:25">
      <c r="A36" s="191">
        <f t="shared" si="0"/>
        <v>29</v>
      </c>
      <c r="B36" s="201" t="s">
        <v>340</v>
      </c>
      <c r="D36" s="209">
        <v>341.27102462655841</v>
      </c>
      <c r="E36" s="209">
        <v>238</v>
      </c>
      <c r="F36" s="226">
        <v>3</v>
      </c>
      <c r="G36" s="209">
        <v>80.208742413381117</v>
      </c>
      <c r="H36" s="196">
        <v>297</v>
      </c>
      <c r="I36" s="197">
        <v>0</v>
      </c>
      <c r="J36" s="209">
        <f t="shared" si="3"/>
        <v>959.47976703993959</v>
      </c>
      <c r="S36" s="207"/>
      <c r="T36" s="207"/>
      <c r="U36" s="207"/>
      <c r="V36" s="207"/>
      <c r="W36" s="207"/>
      <c r="X36" s="207"/>
      <c r="Y36" s="207"/>
    </row>
    <row r="37" spans="1:25">
      <c r="A37" s="191">
        <f t="shared" si="0"/>
        <v>30</v>
      </c>
      <c r="B37" s="201" t="s">
        <v>341</v>
      </c>
      <c r="D37" s="209">
        <v>376.90225824108694</v>
      </c>
      <c r="E37" s="209">
        <v>250</v>
      </c>
      <c r="F37" s="226">
        <v>3</v>
      </c>
      <c r="G37" s="209">
        <v>89.41504241338113</v>
      </c>
      <c r="H37" s="196">
        <v>297</v>
      </c>
      <c r="I37" s="197">
        <v>0</v>
      </c>
      <c r="J37" s="209">
        <f t="shared" si="3"/>
        <v>1016.317300654468</v>
      </c>
      <c r="S37" s="207"/>
      <c r="T37" s="207"/>
      <c r="U37" s="207"/>
      <c r="V37" s="207"/>
      <c r="W37" s="207"/>
      <c r="X37" s="207"/>
      <c r="Y37" s="207"/>
    </row>
    <row r="38" spans="1:25">
      <c r="A38" s="191">
        <f t="shared" si="0"/>
        <v>31</v>
      </c>
      <c r="B38" s="201" t="s">
        <v>342</v>
      </c>
      <c r="D38" s="209">
        <v>361.40108807901493</v>
      </c>
      <c r="E38" s="209">
        <v>252</v>
      </c>
      <c r="F38" s="226">
        <v>3</v>
      </c>
      <c r="G38" s="209">
        <v>85.133552413381125</v>
      </c>
      <c r="H38" s="196">
        <v>297</v>
      </c>
      <c r="I38" s="197">
        <v>0</v>
      </c>
      <c r="J38" s="209">
        <f t="shared" si="3"/>
        <v>998.53464049239608</v>
      </c>
      <c r="S38" s="207"/>
      <c r="T38" s="207"/>
      <c r="U38" s="207"/>
      <c r="V38" s="207"/>
      <c r="W38" s="207"/>
      <c r="X38" s="207"/>
      <c r="Y38" s="207"/>
    </row>
    <row r="39" spans="1:25">
      <c r="A39" s="191">
        <f t="shared" si="0"/>
        <v>32</v>
      </c>
      <c r="B39" s="201" t="s">
        <v>307</v>
      </c>
      <c r="D39" s="209">
        <v>322.32270158173384</v>
      </c>
      <c r="E39" s="209">
        <v>250</v>
      </c>
      <c r="F39" s="226">
        <v>3</v>
      </c>
      <c r="G39" s="209">
        <v>77.878325746714467</v>
      </c>
      <c r="H39" s="196">
        <v>297</v>
      </c>
      <c r="I39" s="197">
        <v>0</v>
      </c>
      <c r="J39" s="209">
        <f t="shared" si="3"/>
        <v>950.20102732844828</v>
      </c>
      <c r="S39" s="207"/>
      <c r="T39" s="207"/>
      <c r="U39" s="207"/>
      <c r="V39" s="207"/>
      <c r="W39" s="207"/>
      <c r="X39" s="207"/>
      <c r="Y39" s="207"/>
    </row>
    <row r="40" spans="1:25">
      <c r="A40" s="191">
        <f t="shared" si="0"/>
        <v>33</v>
      </c>
      <c r="B40" s="201" t="s">
        <v>316</v>
      </c>
      <c r="D40" s="209">
        <v>273.96594978755508</v>
      </c>
      <c r="E40" s="209">
        <v>261</v>
      </c>
      <c r="F40" s="226">
        <v>3</v>
      </c>
      <c r="G40" s="209">
        <v>62.814952413381128</v>
      </c>
      <c r="H40" s="196">
        <v>297</v>
      </c>
      <c r="I40" s="197">
        <v>0</v>
      </c>
      <c r="J40" s="209">
        <f t="shared" si="3"/>
        <v>897.78090220093611</v>
      </c>
      <c r="S40" s="207"/>
      <c r="T40" s="207"/>
      <c r="U40" s="207"/>
      <c r="V40" s="207"/>
      <c r="W40" s="207"/>
      <c r="X40" s="207"/>
      <c r="Y40" s="207"/>
    </row>
    <row r="41" spans="1:25">
      <c r="A41" s="191">
        <f t="shared" si="0"/>
        <v>34</v>
      </c>
      <c r="B41" s="201" t="s">
        <v>343</v>
      </c>
      <c r="D41" s="209">
        <v>300.60780212064896</v>
      </c>
      <c r="E41" s="209">
        <v>281</v>
      </c>
      <c r="F41" s="226">
        <v>3</v>
      </c>
      <c r="G41" s="209">
        <v>72.184645746714452</v>
      </c>
      <c r="H41" s="196">
        <v>297</v>
      </c>
      <c r="I41" s="197">
        <v>0</v>
      </c>
      <c r="J41" s="209">
        <f t="shared" si="3"/>
        <v>953.79244786736342</v>
      </c>
      <c r="S41" s="207"/>
      <c r="T41" s="207"/>
      <c r="U41" s="207"/>
      <c r="V41" s="207"/>
      <c r="W41" s="207"/>
      <c r="X41" s="207"/>
      <c r="Y41" s="207"/>
    </row>
    <row r="42" spans="1:25" ht="13.5" thickBot="1">
      <c r="A42" s="191">
        <f t="shared" si="0"/>
        <v>35</v>
      </c>
      <c r="B42" s="212" t="s">
        <v>344</v>
      </c>
      <c r="C42" s="213"/>
      <c r="D42" s="215">
        <v>322.75845480147251</v>
      </c>
      <c r="E42" s="215">
        <v>310</v>
      </c>
      <c r="F42" s="227">
        <v>3</v>
      </c>
      <c r="G42" s="215">
        <v>77.25306241338113</v>
      </c>
      <c r="H42" s="215">
        <v>297</v>
      </c>
      <c r="I42" s="200">
        <v>0</v>
      </c>
      <c r="J42" s="215">
        <f>SUM(D42:I42)</f>
        <v>1010.0115172148536</v>
      </c>
      <c r="S42" s="207"/>
      <c r="T42" s="207"/>
      <c r="U42" s="207"/>
      <c r="V42" s="207"/>
      <c r="W42" s="207"/>
      <c r="X42" s="207"/>
      <c r="Y42" s="207"/>
    </row>
    <row r="43" spans="1:25" ht="13.5" thickBot="1">
      <c r="A43" s="191">
        <f t="shared" si="0"/>
        <v>36</v>
      </c>
      <c r="B43" s="217"/>
      <c r="D43" s="218"/>
      <c r="E43" s="218"/>
      <c r="F43" s="218"/>
      <c r="G43" s="197"/>
      <c r="H43" s="196"/>
      <c r="I43" s="200"/>
      <c r="J43" s="228"/>
      <c r="S43" s="207"/>
      <c r="T43" s="207"/>
      <c r="U43" s="207"/>
      <c r="V43" s="207"/>
      <c r="W43" s="207"/>
      <c r="X43" s="207"/>
      <c r="Y43" s="207"/>
    </row>
    <row r="44" spans="1:25" ht="13.5" thickBot="1">
      <c r="A44" s="191">
        <f t="shared" si="0"/>
        <v>37</v>
      </c>
      <c r="B44" s="219" t="s">
        <v>439</v>
      </c>
      <c r="C44" s="220"/>
      <c r="D44" s="222">
        <f t="shared" ref="D44:J44" si="4">SUM(D31:D42)/12</f>
        <v>315.41976032146238</v>
      </c>
      <c r="E44" s="222">
        <f t="shared" si="4"/>
        <v>267.75</v>
      </c>
      <c r="F44" s="222">
        <f t="shared" si="4"/>
        <v>3</v>
      </c>
      <c r="G44" s="222">
        <f t="shared" si="4"/>
        <v>74.174168802270017</v>
      </c>
      <c r="H44" s="222">
        <f t="shared" si="4"/>
        <v>297</v>
      </c>
      <c r="I44" s="222">
        <f t="shared" si="4"/>
        <v>0</v>
      </c>
      <c r="J44" s="222">
        <f t="shared" si="4"/>
        <v>957.34392912373244</v>
      </c>
      <c r="K44" s="211"/>
      <c r="S44" s="207"/>
      <c r="T44" s="207"/>
      <c r="U44" s="207"/>
      <c r="V44" s="207"/>
      <c r="W44" s="207"/>
      <c r="X44" s="207"/>
      <c r="Y44" s="207"/>
    </row>
    <row r="45" spans="1:25">
      <c r="A45" s="191">
        <f t="shared" si="0"/>
        <v>38</v>
      </c>
      <c r="S45" s="207"/>
      <c r="T45" s="207"/>
      <c r="U45" s="207"/>
      <c r="V45" s="207"/>
      <c r="W45" s="207"/>
      <c r="X45" s="207"/>
      <c r="Y45" s="207"/>
    </row>
    <row r="46" spans="1:25">
      <c r="A46" s="191">
        <f t="shared" si="0"/>
        <v>39</v>
      </c>
      <c r="B46" s="229" t="s">
        <v>441</v>
      </c>
      <c r="D46" s="230"/>
      <c r="E46" s="230"/>
      <c r="F46" s="230"/>
      <c r="G46" s="231"/>
      <c r="H46" s="231"/>
      <c r="I46" s="232"/>
    </row>
    <row r="47" spans="1:25">
      <c r="A47" s="191">
        <f t="shared" si="0"/>
        <v>40</v>
      </c>
      <c r="B47" s="229" t="s">
        <v>442</v>
      </c>
      <c r="G47" s="231"/>
    </row>
    <row r="48" spans="1:25">
      <c r="A48" s="191"/>
      <c r="B48" s="229"/>
      <c r="D48" s="229"/>
      <c r="E48" s="229"/>
    </row>
    <row r="49" spans="1:10">
      <c r="A49" s="191"/>
      <c r="B49" s="229"/>
      <c r="D49" s="229"/>
      <c r="E49" s="229"/>
    </row>
    <row r="50" spans="1:10">
      <c r="A50" s="191"/>
      <c r="B50" s="229"/>
      <c r="C50" s="229"/>
      <c r="D50" s="233"/>
      <c r="E50" s="233"/>
      <c r="F50" s="233"/>
      <c r="G50" s="233"/>
      <c r="H50" s="233"/>
      <c r="I50" s="233"/>
      <c r="J50" s="233"/>
    </row>
    <row r="51" spans="1:10">
      <c r="A51" s="191"/>
      <c r="B51" s="229"/>
      <c r="C51" s="229"/>
      <c r="D51" s="229"/>
      <c r="E51" s="229"/>
    </row>
    <row r="52" spans="1:10">
      <c r="B52" s="229"/>
      <c r="C52" s="229"/>
      <c r="D52" s="229"/>
      <c r="E52" s="229"/>
    </row>
    <row r="53" spans="1:10">
      <c r="B53" s="229"/>
      <c r="C53" s="229"/>
      <c r="D53" s="229"/>
      <c r="E53" s="229"/>
    </row>
    <row r="54" spans="1:10">
      <c r="B54" s="229"/>
      <c r="C54" s="229"/>
      <c r="D54" s="229"/>
      <c r="E54" s="229"/>
    </row>
    <row r="55" spans="1:10">
      <c r="B55" s="229"/>
      <c r="C55" s="229"/>
      <c r="D55" s="229"/>
      <c r="E55" s="229"/>
    </row>
    <row r="56" spans="1:10">
      <c r="B56" s="229"/>
      <c r="C56" s="229"/>
      <c r="D56" s="229"/>
      <c r="E56" s="229"/>
    </row>
    <row r="57" spans="1:10">
      <c r="B57" s="229"/>
      <c r="C57" s="229"/>
      <c r="D57" s="229"/>
      <c r="E57" s="229"/>
    </row>
    <row r="58" spans="1:10">
      <c r="B58" s="229"/>
      <c r="C58" s="229"/>
      <c r="D58" s="229"/>
      <c r="E58" s="229"/>
    </row>
    <row r="114" spans="8:10">
      <c r="H114" s="183" t="s">
        <v>72</v>
      </c>
      <c r="I114" s="183">
        <f>+K183</f>
        <v>0</v>
      </c>
    </row>
    <row r="115" spans="8:10">
      <c r="I115" s="183">
        <f>+I114</f>
        <v>0</v>
      </c>
    </row>
    <row r="128" spans="8:10">
      <c r="I128" s="183">
        <f>+I6</f>
        <v>0</v>
      </c>
      <c r="J128" s="183">
        <f>+J6</f>
        <v>0</v>
      </c>
    </row>
    <row r="206" spans="9:10">
      <c r="I206" s="183">
        <f>I6</f>
        <v>0</v>
      </c>
      <c r="J206" s="183">
        <f>+J6</f>
        <v>0</v>
      </c>
    </row>
  </sheetData>
  <mergeCells count="4">
    <mergeCell ref="D6:H6"/>
    <mergeCell ref="D26:H26"/>
    <mergeCell ref="A3:J3"/>
    <mergeCell ref="A4:J4"/>
  </mergeCells>
  <phoneticPr fontId="13" type="noConversion"/>
  <printOptions horizontalCentered="1"/>
  <pageMargins left="0.5" right="0.5" top="1" bottom="1" header="0.5" footer="0.5"/>
  <pageSetup scale="81" orientation="portrait" cellComments="asDisplayed" r:id="rId1"/>
  <headerFooter alignWithMargins="0">
    <oddHeader>&amp;L &amp;10 2016 BHP-Workpaper 7 Transmission Rate True-Up&amp;C&amp;"Arial MT,Bold"
WORKPAPER 6
CUS LOADS
BLACK HILLS POWER, INC.&amp;R&amp;10Page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B593-30BA-4E9E-A88D-DC8430780EA2}">
  <dimension ref="A1:I27"/>
  <sheetViews>
    <sheetView workbookViewId="0">
      <selection activeCell="E50" sqref="E50"/>
    </sheetView>
  </sheetViews>
  <sheetFormatPr defaultColWidth="8.88671875" defaultRowHeight="12.75"/>
  <cols>
    <col min="1" max="1" width="8.88671875" style="234"/>
    <col min="2" max="2" width="26.6640625" style="234" customWidth="1"/>
    <col min="3" max="3" width="4.5546875" style="234" customWidth="1"/>
    <col min="4" max="4" width="12.6640625" style="234" bestFit="1" customWidth="1"/>
    <col min="5" max="5" width="11.44140625" style="234" customWidth="1"/>
    <col min="6" max="6" width="16.21875" style="234" bestFit="1" customWidth="1"/>
    <col min="7" max="16384" width="8.88671875" style="234"/>
  </cols>
  <sheetData>
    <row r="1" spans="1:9">
      <c r="A1" s="112"/>
      <c r="B1" s="112"/>
      <c r="C1" s="112"/>
      <c r="D1" s="112"/>
      <c r="E1" s="112"/>
      <c r="F1" s="112"/>
      <c r="G1" s="112"/>
      <c r="H1" s="112"/>
    </row>
    <row r="2" spans="1:9">
      <c r="A2" s="112"/>
      <c r="B2" s="112"/>
      <c r="C2" s="112"/>
      <c r="D2" s="112"/>
      <c r="E2" s="112"/>
      <c r="F2" s="119"/>
      <c r="G2" s="129" t="s">
        <v>45</v>
      </c>
      <c r="H2" s="119">
        <v>2025</v>
      </c>
      <c r="I2" s="119"/>
    </row>
    <row r="3" spans="1:9">
      <c r="A3" s="330" t="s">
        <v>443</v>
      </c>
      <c r="B3" s="330"/>
      <c r="C3" s="330"/>
      <c r="D3" s="330"/>
      <c r="E3" s="330"/>
      <c r="F3" s="330"/>
      <c r="G3" s="330"/>
      <c r="H3" s="330"/>
    </row>
    <row r="4" spans="1:9">
      <c r="A4" s="330" t="s">
        <v>444</v>
      </c>
      <c r="B4" s="330"/>
      <c r="C4" s="330"/>
      <c r="D4" s="330"/>
      <c r="E4" s="330"/>
      <c r="F4" s="330"/>
      <c r="G4" s="330"/>
      <c r="H4" s="330"/>
    </row>
    <row r="5" spans="1:9">
      <c r="A5" s="330" t="s">
        <v>48</v>
      </c>
      <c r="B5" s="330"/>
      <c r="C5" s="330"/>
      <c r="D5" s="330"/>
      <c r="E5" s="330"/>
      <c r="F5" s="330"/>
      <c r="G5" s="330"/>
      <c r="H5" s="330"/>
    </row>
    <row r="7" spans="1:9">
      <c r="A7" s="121"/>
      <c r="B7" s="121"/>
      <c r="C7" s="121"/>
      <c r="D7" s="121"/>
      <c r="E7" s="121"/>
      <c r="F7" s="121"/>
      <c r="G7" s="121"/>
      <c r="H7" s="121"/>
    </row>
    <row r="8" spans="1:9">
      <c r="A8" s="112"/>
      <c r="B8" s="122" t="s">
        <v>370</v>
      </c>
      <c r="C8" s="122"/>
      <c r="D8" s="122" t="s">
        <v>371</v>
      </c>
      <c r="E8" s="122"/>
      <c r="F8" s="122" t="s">
        <v>445</v>
      </c>
      <c r="G8" s="122"/>
      <c r="H8" s="122"/>
    </row>
    <row r="9" spans="1:9">
      <c r="A9" s="122" t="s">
        <v>58</v>
      </c>
      <c r="B9" s="112"/>
      <c r="C9" s="112"/>
      <c r="D9" s="112"/>
      <c r="E9" s="112"/>
      <c r="F9" s="112"/>
      <c r="G9" s="112"/>
      <c r="H9" s="112"/>
    </row>
    <row r="10" spans="1:9">
      <c r="A10" s="124" t="s">
        <v>63</v>
      </c>
      <c r="B10" s="124" t="s">
        <v>446</v>
      </c>
      <c r="C10" s="124"/>
      <c r="D10" s="124" t="s">
        <v>175</v>
      </c>
      <c r="E10" s="124"/>
      <c r="F10" s="235" t="s">
        <v>447</v>
      </c>
      <c r="G10" s="122"/>
      <c r="H10" s="122"/>
    </row>
    <row r="11" spans="1:9">
      <c r="A11" s="122"/>
      <c r="B11" s="112"/>
      <c r="C11" s="112"/>
      <c r="D11" s="112"/>
      <c r="E11" s="112"/>
      <c r="F11" s="112"/>
      <c r="G11" s="122"/>
      <c r="H11" s="122"/>
    </row>
    <row r="12" spans="1:9">
      <c r="A12" s="122">
        <f>1+A11</f>
        <v>1</v>
      </c>
      <c r="B12" s="236" t="s">
        <v>448</v>
      </c>
      <c r="C12" s="237"/>
      <c r="D12" s="238" t="s">
        <v>449</v>
      </c>
      <c r="E12" s="237"/>
      <c r="F12" s="239">
        <v>20213000</v>
      </c>
      <c r="G12" s="24"/>
      <c r="H12" s="24"/>
    </row>
    <row r="13" spans="1:9">
      <c r="A13" s="122">
        <f t="shared" ref="A13:A23" si="0">1+A12</f>
        <v>2</v>
      </c>
      <c r="B13" s="236"/>
      <c r="C13" s="112"/>
      <c r="D13" s="240"/>
      <c r="E13" s="112"/>
      <c r="F13" s="239"/>
    </row>
    <row r="14" spans="1:9">
      <c r="A14" s="122">
        <f t="shared" si="0"/>
        <v>3</v>
      </c>
      <c r="B14" s="241" t="s">
        <v>450</v>
      </c>
      <c r="C14" s="112"/>
      <c r="D14" s="240" t="s">
        <v>451</v>
      </c>
      <c r="E14" s="112"/>
      <c r="F14" s="239">
        <v>201362</v>
      </c>
    </row>
    <row r="15" spans="1:9">
      <c r="A15" s="122">
        <f t="shared" si="0"/>
        <v>4</v>
      </c>
      <c r="B15" s="236"/>
      <c r="C15" s="112"/>
      <c r="D15" s="240"/>
      <c r="E15" s="112"/>
      <c r="F15" s="239"/>
    </row>
    <row r="16" spans="1:9">
      <c r="A16" s="122">
        <f t="shared" si="0"/>
        <v>5</v>
      </c>
      <c r="B16" s="241" t="s">
        <v>452</v>
      </c>
      <c r="C16" s="112"/>
      <c r="D16" s="238" t="s">
        <v>453</v>
      </c>
      <c r="E16" s="112"/>
      <c r="F16" s="239">
        <v>0</v>
      </c>
      <c r="G16" s="242"/>
    </row>
    <row r="17" spans="1:6">
      <c r="A17" s="122">
        <f t="shared" si="0"/>
        <v>6</v>
      </c>
      <c r="B17" s="241"/>
      <c r="C17" s="112"/>
      <c r="D17" s="240"/>
      <c r="E17" s="112"/>
      <c r="F17" s="239"/>
    </row>
    <row r="18" spans="1:6" ht="14.25">
      <c r="A18" s="122">
        <f t="shared" si="0"/>
        <v>7</v>
      </c>
      <c r="B18" s="241" t="s">
        <v>454</v>
      </c>
      <c r="C18" s="112"/>
      <c r="D18" s="240" t="s">
        <v>178</v>
      </c>
      <c r="E18" s="112"/>
      <c r="F18" s="239">
        <v>10267251</v>
      </c>
    </row>
    <row r="19" spans="1:6" ht="13.5" thickBot="1">
      <c r="A19" s="122">
        <f t="shared" si="0"/>
        <v>8</v>
      </c>
      <c r="B19" s="243"/>
      <c r="C19" s="243"/>
      <c r="D19" s="243"/>
      <c r="E19" s="243"/>
    </row>
    <row r="20" spans="1:6">
      <c r="A20" s="122">
        <f t="shared" si="0"/>
        <v>9</v>
      </c>
      <c r="B20" s="244" t="s">
        <v>11</v>
      </c>
      <c r="C20" s="112"/>
      <c r="D20" s="245"/>
      <c r="F20" s="246">
        <f>SUM(F12:F18)</f>
        <v>30681613</v>
      </c>
    </row>
    <row r="21" spans="1:6">
      <c r="A21" s="122">
        <f t="shared" si="0"/>
        <v>10</v>
      </c>
      <c r="B21" s="247"/>
      <c r="C21" s="112"/>
      <c r="D21" s="245"/>
      <c r="E21" s="112"/>
    </row>
    <row r="22" spans="1:6">
      <c r="A22" s="122">
        <f t="shared" si="0"/>
        <v>11</v>
      </c>
      <c r="B22" s="236" t="s">
        <v>455</v>
      </c>
      <c r="C22" s="112"/>
      <c r="D22" s="245"/>
      <c r="E22" s="112"/>
    </row>
    <row r="23" spans="1:6">
      <c r="A23" s="122">
        <f t="shared" si="0"/>
        <v>12</v>
      </c>
      <c r="B23" s="247" t="s">
        <v>456</v>
      </c>
      <c r="C23" s="112"/>
      <c r="D23" s="248"/>
      <c r="E23" s="112"/>
    </row>
    <row r="24" spans="1:6">
      <c r="A24" s="122"/>
      <c r="B24" s="249"/>
      <c r="C24" s="112"/>
      <c r="D24" s="112"/>
      <c r="E24" s="112"/>
    </row>
    <row r="25" spans="1:6">
      <c r="A25" s="122"/>
      <c r="B25" s="237"/>
      <c r="C25" s="112"/>
      <c r="D25" s="112"/>
      <c r="E25" s="112"/>
    </row>
    <row r="27" spans="1:6">
      <c r="F27" s="242"/>
    </row>
  </sheetData>
  <mergeCells count="3">
    <mergeCell ref="A3:H3"/>
    <mergeCell ref="A4:H4"/>
    <mergeCell ref="A5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R120"/>
  <sheetViews>
    <sheetView workbookViewId="0">
      <selection activeCell="N26" sqref="N26:N27"/>
    </sheetView>
  </sheetViews>
  <sheetFormatPr defaultColWidth="8.5546875" defaultRowHeight="11.25"/>
  <cols>
    <col min="1" max="1" width="3.88671875" style="250" customWidth="1"/>
    <col min="2" max="2" width="18.44140625" style="250" customWidth="1"/>
    <col min="3" max="3" width="11.88671875" style="250" customWidth="1"/>
    <col min="4" max="4" width="10.109375" style="250" customWidth="1"/>
    <col min="5" max="5" width="0.88671875" style="250" customWidth="1"/>
    <col min="6" max="6" width="10.109375" style="250" customWidth="1"/>
    <col min="7" max="7" width="8.5546875" style="250" customWidth="1"/>
    <col min="8" max="8" width="8" style="250" customWidth="1"/>
    <col min="9" max="10" width="8.5546875" style="250"/>
    <col min="11" max="11" width="9.33203125" style="250" bestFit="1" customWidth="1"/>
    <col min="12" max="12" width="8.5546875" style="250"/>
    <col min="13" max="13" width="11.88671875" style="250" customWidth="1"/>
    <col min="14" max="16" width="8.5546875" style="250"/>
    <col min="17" max="17" width="6.88671875" style="250" customWidth="1"/>
    <col min="18" max="16384" width="8.5546875" style="250"/>
  </cols>
  <sheetData>
    <row r="1" spans="1:14" ht="12.75">
      <c r="C1" s="251"/>
      <c r="H1" s="252" t="str">
        <f>'CU AC Rate Design - True-Up'!H1</f>
        <v>Date: May 31, 2026</v>
      </c>
      <c r="J1" s="253"/>
    </row>
    <row r="2" spans="1:14">
      <c r="H2" s="252" t="s">
        <v>457</v>
      </c>
    </row>
    <row r="3" spans="1:14" ht="12.75">
      <c r="B3" s="338"/>
      <c r="C3" s="338"/>
      <c r="D3" s="338"/>
      <c r="E3" s="338"/>
      <c r="F3" s="338"/>
      <c r="G3" s="338"/>
      <c r="H3" s="338"/>
      <c r="J3" s="253"/>
    </row>
    <row r="4" spans="1:14" ht="12.75">
      <c r="B4" s="254"/>
      <c r="C4" s="251"/>
    </row>
    <row r="5" spans="1:14" ht="12" customHeight="1">
      <c r="B5" s="138"/>
    </row>
    <row r="8" spans="1:14" ht="13.5" customHeight="1">
      <c r="A8" s="255" t="s">
        <v>58</v>
      </c>
      <c r="D8" s="255" t="s">
        <v>458</v>
      </c>
      <c r="F8" s="255" t="s">
        <v>195</v>
      </c>
      <c r="G8" s="255"/>
      <c r="H8" s="255" t="s">
        <v>459</v>
      </c>
    </row>
    <row r="9" spans="1:14" ht="13.5" customHeight="1">
      <c r="A9" s="256" t="s">
        <v>63</v>
      </c>
      <c r="B9" s="339" t="s">
        <v>460</v>
      </c>
      <c r="C9" s="256" t="s">
        <v>461</v>
      </c>
      <c r="D9" s="256" t="s">
        <v>11</v>
      </c>
      <c r="F9" s="256" t="s">
        <v>462</v>
      </c>
      <c r="G9" s="256" t="s">
        <v>463</v>
      </c>
      <c r="H9" s="256" t="s">
        <v>11</v>
      </c>
    </row>
    <row r="10" spans="1:14" ht="13.5" customHeight="1">
      <c r="G10" s="258"/>
      <c r="N10" s="259"/>
    </row>
    <row r="11" spans="1:14">
      <c r="A11" s="255">
        <v>1</v>
      </c>
      <c r="B11" s="250" t="s">
        <v>464</v>
      </c>
      <c r="C11" s="250" t="s">
        <v>465</v>
      </c>
      <c r="D11" s="260">
        <v>2589133</v>
      </c>
      <c r="F11" s="255" t="s">
        <v>121</v>
      </c>
      <c r="G11" s="258">
        <v>1</v>
      </c>
      <c r="H11" s="260">
        <f>D11*G11</f>
        <v>2589133</v>
      </c>
      <c r="J11" s="260"/>
      <c r="M11" s="259"/>
      <c r="N11" s="259"/>
    </row>
    <row r="12" spans="1:14">
      <c r="A12" s="255">
        <f>+A11+1</f>
        <v>2</v>
      </c>
      <c r="B12" s="250" t="s">
        <v>466</v>
      </c>
      <c r="C12" s="250" t="s">
        <v>467</v>
      </c>
      <c r="D12" s="260">
        <v>15012</v>
      </c>
      <c r="F12" s="255" t="s">
        <v>121</v>
      </c>
      <c r="G12" s="258">
        <f>+G11</f>
        <v>1</v>
      </c>
      <c r="H12" s="260">
        <f>D12*G12</f>
        <v>15012</v>
      </c>
      <c r="J12" s="260"/>
      <c r="M12" s="259"/>
      <c r="N12" s="259"/>
    </row>
    <row r="13" spans="1:14">
      <c r="A13" s="255">
        <f t="shared" ref="A13:A34" si="0">+A12+1</f>
        <v>3</v>
      </c>
      <c r="B13" s="250" t="s">
        <v>468</v>
      </c>
      <c r="C13" s="250" t="s">
        <v>469</v>
      </c>
      <c r="D13" s="260">
        <v>64577</v>
      </c>
      <c r="F13" s="255" t="s">
        <v>121</v>
      </c>
      <c r="G13" s="258">
        <f>+G12</f>
        <v>1</v>
      </c>
      <c r="H13" s="260">
        <f>D13*G13</f>
        <v>64577</v>
      </c>
      <c r="J13" s="260"/>
      <c r="K13" s="261"/>
      <c r="M13" s="259"/>
      <c r="N13" s="259"/>
    </row>
    <row r="14" spans="1:14" ht="12" thickBot="1">
      <c r="A14" s="255">
        <f t="shared" si="0"/>
        <v>4</v>
      </c>
      <c r="B14" s="257" t="s">
        <v>470</v>
      </c>
      <c r="D14" s="262">
        <f>+D11-D12-D13</f>
        <v>2509544</v>
      </c>
      <c r="H14" s="263">
        <f>+H11-H12-H13</f>
        <v>2509544</v>
      </c>
      <c r="M14" s="259"/>
      <c r="N14" s="259"/>
    </row>
    <row r="15" spans="1:14">
      <c r="A15" s="255">
        <f t="shared" si="0"/>
        <v>5</v>
      </c>
      <c r="M15" s="259"/>
      <c r="N15" s="259"/>
    </row>
    <row r="16" spans="1:14">
      <c r="A16" s="255">
        <f t="shared" si="0"/>
        <v>6</v>
      </c>
      <c r="B16" s="257" t="s">
        <v>471</v>
      </c>
      <c r="M16" s="259"/>
      <c r="N16" s="259"/>
    </row>
    <row r="17" spans="1:14">
      <c r="A17" s="255">
        <f t="shared" si="0"/>
        <v>7</v>
      </c>
      <c r="B17" s="250" t="s">
        <v>472</v>
      </c>
      <c r="C17" s="250" t="s">
        <v>473</v>
      </c>
      <c r="D17" s="260">
        <v>3962638</v>
      </c>
      <c r="F17" s="260"/>
      <c r="M17" s="264"/>
      <c r="N17" s="259"/>
    </row>
    <row r="18" spans="1:14">
      <c r="A18" s="255">
        <f t="shared" si="0"/>
        <v>8</v>
      </c>
      <c r="B18" s="250" t="s">
        <v>466</v>
      </c>
      <c r="C18" s="250" t="s">
        <v>474</v>
      </c>
      <c r="D18" s="260">
        <v>18705</v>
      </c>
      <c r="F18" s="260"/>
      <c r="G18" s="265"/>
      <c r="N18" s="259"/>
    </row>
    <row r="19" spans="1:14">
      <c r="A19" s="255">
        <f t="shared" si="0"/>
        <v>9</v>
      </c>
      <c r="B19" s="250" t="s">
        <v>468</v>
      </c>
      <c r="C19" s="250" t="s">
        <v>475</v>
      </c>
      <c r="D19" s="260">
        <v>46584</v>
      </c>
      <c r="F19" s="260"/>
      <c r="G19" s="265"/>
      <c r="N19" s="259"/>
    </row>
    <row r="20" spans="1:14" ht="12" thickBot="1">
      <c r="A20" s="255">
        <f t="shared" si="0"/>
        <v>10</v>
      </c>
      <c r="D20" s="262">
        <f>+D17-D18-D19</f>
        <v>3897349</v>
      </c>
      <c r="F20" s="265"/>
      <c r="G20" s="265"/>
      <c r="N20" s="259"/>
    </row>
    <row r="21" spans="1:14">
      <c r="A21" s="255">
        <f t="shared" si="0"/>
        <v>11</v>
      </c>
      <c r="D21" s="267"/>
      <c r="F21" s="265"/>
      <c r="G21" s="265"/>
    </row>
    <row r="22" spans="1:14">
      <c r="A22" s="255">
        <f t="shared" si="0"/>
        <v>12</v>
      </c>
      <c r="B22" s="250" t="str">
        <f>"True-up Amount to be (Refunded)/Paid (line "&amp;A20&amp;"-line "&amp;A14&amp;")"</f>
        <v>True-up Amount to be (Refunded)/Paid (line 10-line 4)</v>
      </c>
      <c r="D22" s="266">
        <f>D20-D14</f>
        <v>1387805</v>
      </c>
      <c r="F22" s="265"/>
      <c r="G22" s="265"/>
    </row>
    <row r="23" spans="1:14">
      <c r="A23" s="255">
        <f t="shared" si="0"/>
        <v>13</v>
      </c>
      <c r="F23" s="265"/>
      <c r="G23" s="265"/>
    </row>
    <row r="24" spans="1:14">
      <c r="A24" s="255">
        <f t="shared" si="0"/>
        <v>14</v>
      </c>
    </row>
    <row r="25" spans="1:14">
      <c r="A25" s="255">
        <f t="shared" si="0"/>
        <v>15</v>
      </c>
      <c r="B25" s="268" t="s">
        <v>476</v>
      </c>
    </row>
    <row r="26" spans="1:14">
      <c r="A26" s="255">
        <f t="shared" si="0"/>
        <v>16</v>
      </c>
    </row>
    <row r="27" spans="1:14" ht="12.75">
      <c r="A27" s="255">
        <f t="shared" si="0"/>
        <v>17</v>
      </c>
      <c r="B27" s="250" t="s">
        <v>477</v>
      </c>
      <c r="D27" s="269">
        <f>D20</f>
        <v>3897349</v>
      </c>
    </row>
    <row r="28" spans="1:14" ht="12.75">
      <c r="A28" s="255">
        <f t="shared" si="0"/>
        <v>18</v>
      </c>
      <c r="B28" s="270" t="s">
        <v>478</v>
      </c>
      <c r="D28" s="271">
        <f>'WP7 CU AC LOADS'!J24*1000</f>
        <v>938448.41666666674</v>
      </c>
      <c r="F28" s="272" t="s">
        <v>479</v>
      </c>
      <c r="G28" s="250" t="s">
        <v>497</v>
      </c>
    </row>
    <row r="29" spans="1:14" ht="12">
      <c r="A29" s="255">
        <f t="shared" si="0"/>
        <v>19</v>
      </c>
      <c r="F29" s="272"/>
    </row>
    <row r="30" spans="1:14" ht="12.75">
      <c r="A30" s="255">
        <f t="shared" si="0"/>
        <v>20</v>
      </c>
      <c r="B30" s="252" t="s">
        <v>19</v>
      </c>
      <c r="D30" s="273">
        <f>D27/D28</f>
        <v>4.1529709366906244</v>
      </c>
      <c r="E30" s="250" t="s">
        <v>480</v>
      </c>
      <c r="F30" s="274" t="s">
        <v>481</v>
      </c>
      <c r="G30" s="250" t="s">
        <v>482</v>
      </c>
    </row>
    <row r="31" spans="1:14" ht="12.75">
      <c r="A31" s="255">
        <f t="shared" si="0"/>
        <v>21</v>
      </c>
      <c r="B31" s="252" t="s">
        <v>483</v>
      </c>
      <c r="D31" s="273">
        <f>D30/12</f>
        <v>0.34608091139088537</v>
      </c>
      <c r="E31" s="250" t="s">
        <v>480</v>
      </c>
      <c r="F31" s="274" t="s">
        <v>484</v>
      </c>
      <c r="G31" s="250" t="s">
        <v>485</v>
      </c>
    </row>
    <row r="32" spans="1:14" ht="12.75">
      <c r="A32" s="255">
        <f t="shared" si="0"/>
        <v>22</v>
      </c>
      <c r="B32" s="252" t="s">
        <v>486</v>
      </c>
      <c r="D32" s="273">
        <f>D30/52</f>
        <v>7.9864825705588935E-2</v>
      </c>
      <c r="E32" s="250" t="s">
        <v>480</v>
      </c>
      <c r="F32" s="274" t="s">
        <v>487</v>
      </c>
      <c r="G32" s="250" t="s">
        <v>488</v>
      </c>
    </row>
    <row r="33" spans="1:8" ht="12.75">
      <c r="A33" s="255">
        <f t="shared" si="0"/>
        <v>23</v>
      </c>
      <c r="B33" s="252" t="s">
        <v>489</v>
      </c>
      <c r="C33" s="255" t="s">
        <v>490</v>
      </c>
      <c r="D33" s="273">
        <f>D30/365</f>
        <v>1.1378002566275684E-2</v>
      </c>
      <c r="E33" s="250" t="s">
        <v>480</v>
      </c>
      <c r="F33" s="274" t="s">
        <v>491</v>
      </c>
      <c r="G33" s="250" t="s">
        <v>492</v>
      </c>
    </row>
    <row r="34" spans="1:8" ht="12.75">
      <c r="A34" s="255">
        <f t="shared" si="0"/>
        <v>24</v>
      </c>
      <c r="B34" s="252" t="s">
        <v>493</v>
      </c>
      <c r="C34" s="255" t="s">
        <v>494</v>
      </c>
      <c r="D34" s="273">
        <f>(D30/8760)*1000</f>
        <v>0.4740834402614868</v>
      </c>
      <c r="E34" s="250" t="s">
        <v>480</v>
      </c>
      <c r="F34" s="274" t="s">
        <v>495</v>
      </c>
      <c r="G34" s="250" t="s">
        <v>496</v>
      </c>
    </row>
    <row r="35" spans="1:8">
      <c r="B35" s="252"/>
    </row>
    <row r="42" spans="1:8" ht="10.5" customHeight="1"/>
    <row r="46" spans="1:8" ht="15.75">
      <c r="H46" s="275"/>
    </row>
    <row r="47" spans="1:8" ht="15">
      <c r="H47" s="276"/>
    </row>
    <row r="48" spans="1:8">
      <c r="H48" s="250" t="s">
        <v>52</v>
      </c>
    </row>
    <row r="52" spans="1:9" ht="14.25">
      <c r="C52" s="277"/>
    </row>
    <row r="53" spans="1:9" ht="14.25">
      <c r="C53" s="277"/>
    </row>
    <row r="54" spans="1:9" ht="14.25">
      <c r="C54" s="278"/>
    </row>
    <row r="55" spans="1:9" ht="15">
      <c r="A55" s="133"/>
      <c r="B55" s="133"/>
      <c r="C55" s="133"/>
      <c r="D55" s="133"/>
      <c r="E55" s="133"/>
      <c r="F55" s="133"/>
      <c r="G55" s="133"/>
      <c r="H55" s="133"/>
      <c r="I55" s="133"/>
    </row>
    <row r="56" spans="1:9" ht="15">
      <c r="A56" s="133"/>
      <c r="B56" s="133"/>
      <c r="C56" s="133"/>
      <c r="D56" s="133"/>
      <c r="E56" s="133"/>
      <c r="F56" s="133"/>
      <c r="G56" s="133"/>
      <c r="H56" s="133"/>
      <c r="I56" s="133"/>
    </row>
    <row r="57" spans="1:9" ht="15">
      <c r="A57" s="133"/>
      <c r="B57" s="133"/>
      <c r="C57" s="133"/>
      <c r="D57" s="133"/>
      <c r="E57" s="133"/>
      <c r="F57" s="133"/>
      <c r="G57" s="133"/>
      <c r="H57" s="133"/>
      <c r="I57" s="133"/>
    </row>
    <row r="58" spans="1:9" ht="15">
      <c r="A58" s="133"/>
      <c r="B58" s="133"/>
      <c r="C58" s="133"/>
      <c r="D58" s="133"/>
      <c r="E58" s="133"/>
      <c r="F58" s="133"/>
      <c r="G58" s="133"/>
      <c r="H58" s="133"/>
      <c r="I58" s="133"/>
    </row>
    <row r="59" spans="1:9" ht="15">
      <c r="A59" s="133"/>
      <c r="B59" s="133"/>
      <c r="C59" s="133"/>
      <c r="D59" s="133"/>
      <c r="E59" s="133"/>
      <c r="F59" s="133"/>
      <c r="G59" s="133"/>
      <c r="H59" s="133"/>
      <c r="I59" s="133"/>
    </row>
    <row r="60" spans="1:9" ht="15">
      <c r="A60" s="133"/>
      <c r="B60" s="133"/>
      <c r="C60" s="133"/>
      <c r="D60" s="133"/>
      <c r="E60" s="133"/>
      <c r="F60" s="133"/>
      <c r="G60" s="133"/>
      <c r="H60" s="133"/>
      <c r="I60" s="133"/>
    </row>
    <row r="61" spans="1:9" ht="15">
      <c r="A61" s="133"/>
      <c r="B61" s="133"/>
      <c r="C61" s="133"/>
      <c r="D61" s="133"/>
      <c r="E61" s="133"/>
      <c r="F61" s="133"/>
      <c r="G61" s="133"/>
      <c r="H61" s="133"/>
      <c r="I61" s="133"/>
    </row>
    <row r="62" spans="1:9" ht="15">
      <c r="A62" s="133"/>
      <c r="B62" s="133"/>
      <c r="C62" s="133"/>
      <c r="D62" s="133"/>
      <c r="E62" s="133"/>
      <c r="F62" s="133"/>
      <c r="G62" s="133"/>
      <c r="H62" s="133"/>
      <c r="I62" s="133"/>
    </row>
    <row r="63" spans="1:9" ht="15">
      <c r="A63" s="133"/>
      <c r="B63" s="133"/>
      <c r="C63" s="133"/>
      <c r="D63" s="133"/>
      <c r="E63" s="133"/>
      <c r="F63" s="133"/>
      <c r="G63" s="133"/>
      <c r="H63" s="133"/>
      <c r="I63" s="133"/>
    </row>
    <row r="64" spans="1:9" ht="15">
      <c r="A64" s="133"/>
      <c r="B64" s="133"/>
      <c r="C64" s="133"/>
      <c r="D64" s="133"/>
      <c r="E64" s="133"/>
      <c r="F64" s="133"/>
      <c r="G64" s="133"/>
      <c r="H64" s="133"/>
      <c r="I64" s="133"/>
    </row>
    <row r="65" spans="1:9" ht="15">
      <c r="A65" s="133"/>
      <c r="B65" s="133"/>
      <c r="C65" s="133"/>
      <c r="D65" s="133"/>
      <c r="E65" s="133"/>
      <c r="F65" s="133"/>
      <c r="G65" s="133"/>
      <c r="H65" s="133"/>
      <c r="I65" s="133"/>
    </row>
    <row r="66" spans="1:9" ht="15">
      <c r="A66" s="133"/>
      <c r="B66" s="133"/>
      <c r="C66" s="133"/>
      <c r="D66" s="133"/>
      <c r="E66" s="133"/>
      <c r="F66" s="133"/>
      <c r="G66" s="133"/>
      <c r="H66" s="133"/>
      <c r="I66" s="133"/>
    </row>
    <row r="67" spans="1:9" ht="15">
      <c r="A67" s="133"/>
      <c r="B67" s="133"/>
      <c r="C67" s="133"/>
      <c r="D67" s="133"/>
      <c r="E67" s="133"/>
      <c r="F67" s="133"/>
      <c r="G67" s="133"/>
      <c r="H67" s="133"/>
      <c r="I67" s="133"/>
    </row>
    <row r="68" spans="1:9" ht="15">
      <c r="A68" s="133"/>
      <c r="B68" s="133"/>
      <c r="C68" s="133"/>
      <c r="D68" s="133"/>
      <c r="E68" s="133"/>
      <c r="F68" s="133"/>
      <c r="G68" s="133"/>
      <c r="H68" s="133"/>
      <c r="I68" s="133"/>
    </row>
    <row r="69" spans="1:9" ht="15">
      <c r="A69" s="133"/>
      <c r="B69" s="133"/>
      <c r="C69" s="133"/>
      <c r="D69" s="133"/>
      <c r="E69" s="133"/>
      <c r="F69" s="133"/>
      <c r="G69" s="133"/>
      <c r="H69" s="133"/>
      <c r="I69" s="133"/>
    </row>
    <row r="70" spans="1:9" ht="15">
      <c r="A70" s="133"/>
      <c r="B70" s="133"/>
      <c r="C70" s="133"/>
      <c r="D70" s="133"/>
      <c r="E70" s="133"/>
      <c r="F70" s="133"/>
      <c r="G70" s="133"/>
      <c r="H70" s="133"/>
      <c r="I70" s="133"/>
    </row>
    <row r="71" spans="1:9" ht="15">
      <c r="A71" s="133"/>
      <c r="B71" s="133"/>
      <c r="C71" s="133"/>
      <c r="D71" s="133"/>
      <c r="E71" s="133"/>
      <c r="F71" s="133"/>
      <c r="G71" s="133"/>
      <c r="H71" s="133"/>
      <c r="I71" s="133"/>
    </row>
    <row r="72" spans="1:9" ht="15">
      <c r="A72" s="133"/>
      <c r="B72" s="133"/>
      <c r="C72" s="133"/>
      <c r="D72" s="133"/>
      <c r="E72" s="133"/>
      <c r="F72" s="133"/>
      <c r="G72" s="133"/>
      <c r="H72" s="133"/>
      <c r="I72" s="133"/>
    </row>
    <row r="73" spans="1:9" ht="15">
      <c r="A73" s="133"/>
      <c r="B73" s="133"/>
      <c r="C73" s="133"/>
      <c r="D73" s="133"/>
      <c r="E73" s="133"/>
      <c r="F73" s="133"/>
      <c r="G73" s="133"/>
      <c r="H73" s="133"/>
      <c r="I73" s="133"/>
    </row>
    <row r="74" spans="1:9" ht="15">
      <c r="A74" s="133"/>
      <c r="B74" s="133"/>
      <c r="C74" s="133"/>
      <c r="D74" s="133"/>
      <c r="E74" s="133"/>
      <c r="F74" s="133"/>
      <c r="G74" s="133"/>
      <c r="H74" s="133"/>
      <c r="I74" s="133"/>
    </row>
    <row r="75" spans="1:9" ht="15">
      <c r="A75" s="133"/>
      <c r="B75" s="133"/>
      <c r="C75" s="133"/>
      <c r="D75" s="133"/>
      <c r="E75" s="133"/>
      <c r="F75" s="133"/>
      <c r="G75" s="133"/>
      <c r="H75" s="133"/>
      <c r="I75" s="133"/>
    </row>
    <row r="76" spans="1:9" ht="15">
      <c r="A76" s="133"/>
      <c r="B76" s="133"/>
      <c r="C76" s="133"/>
      <c r="D76" s="133"/>
      <c r="E76" s="133"/>
      <c r="F76" s="133"/>
      <c r="G76" s="133"/>
      <c r="H76" s="133"/>
      <c r="I76" s="133"/>
    </row>
    <row r="77" spans="1:9" ht="15">
      <c r="A77" s="133"/>
      <c r="B77" s="133"/>
      <c r="C77" s="133"/>
      <c r="D77" s="133"/>
      <c r="E77" s="133"/>
      <c r="F77" s="133"/>
      <c r="G77" s="133"/>
      <c r="H77" s="133"/>
      <c r="I77" s="133"/>
    </row>
    <row r="78" spans="1:9" ht="15">
      <c r="A78" s="133"/>
      <c r="B78" s="133"/>
      <c r="C78" s="133"/>
      <c r="D78" s="133"/>
      <c r="E78" s="133"/>
      <c r="F78" s="133"/>
      <c r="G78" s="133"/>
      <c r="H78" s="133"/>
      <c r="I78" s="133"/>
    </row>
    <row r="79" spans="1:9" ht="15">
      <c r="A79" s="133"/>
      <c r="B79" s="133"/>
      <c r="C79" s="133"/>
      <c r="D79" s="133"/>
      <c r="E79" s="133"/>
      <c r="F79" s="133"/>
      <c r="G79" s="133"/>
      <c r="H79" s="133"/>
      <c r="I79" s="133"/>
    </row>
    <row r="80" spans="1:9" ht="15">
      <c r="A80" s="133"/>
      <c r="B80" s="133"/>
      <c r="C80" s="133"/>
      <c r="D80" s="133"/>
      <c r="E80" s="133"/>
      <c r="F80" s="133"/>
      <c r="G80" s="133"/>
      <c r="H80" s="133"/>
      <c r="I80" s="133"/>
    </row>
    <row r="81" spans="1:18" ht="15">
      <c r="A81" s="133"/>
      <c r="B81" s="133"/>
      <c r="C81" s="133"/>
      <c r="D81" s="133"/>
      <c r="E81" s="133"/>
      <c r="F81" s="133"/>
      <c r="G81" s="133"/>
      <c r="H81" s="133"/>
      <c r="I81" s="133"/>
    </row>
    <row r="82" spans="1:18" ht="15">
      <c r="A82" s="133"/>
      <c r="B82" s="133"/>
      <c r="C82" s="133"/>
      <c r="D82" s="133"/>
      <c r="E82" s="133"/>
      <c r="F82" s="133"/>
      <c r="G82" s="133"/>
      <c r="H82" s="133"/>
      <c r="I82" s="133"/>
    </row>
    <row r="83" spans="1:18" ht="15">
      <c r="A83" s="133"/>
      <c r="B83" s="133"/>
      <c r="C83" s="133"/>
      <c r="D83" s="133"/>
      <c r="E83" s="133"/>
      <c r="F83" s="133"/>
      <c r="G83" s="133"/>
      <c r="H83" s="133"/>
      <c r="I83" s="133"/>
    </row>
    <row r="84" spans="1:18" ht="15">
      <c r="A84" s="133"/>
      <c r="B84" s="133"/>
      <c r="C84" s="133"/>
      <c r="D84" s="133"/>
      <c r="E84" s="133"/>
      <c r="F84" s="133"/>
      <c r="G84" s="133"/>
      <c r="H84" s="133"/>
      <c r="I84" s="133"/>
    </row>
    <row r="85" spans="1:18" ht="15">
      <c r="A85" s="133"/>
      <c r="B85" s="133"/>
      <c r="C85" s="133"/>
      <c r="D85" s="133"/>
      <c r="E85" s="133"/>
      <c r="F85" s="133"/>
      <c r="G85" s="133"/>
      <c r="H85" s="133"/>
      <c r="I85" s="133"/>
    </row>
    <row r="86" spans="1:18" ht="15">
      <c r="A86" s="133"/>
      <c r="B86" s="133"/>
      <c r="C86" s="133"/>
      <c r="D86" s="133"/>
      <c r="E86" s="133"/>
      <c r="F86" s="133"/>
      <c r="G86" s="133"/>
      <c r="H86" s="133"/>
      <c r="I86" s="133"/>
    </row>
    <row r="87" spans="1:18" ht="15">
      <c r="A87" s="133"/>
      <c r="B87" s="133"/>
      <c r="C87" s="133"/>
      <c r="D87" s="133"/>
      <c r="E87" s="133"/>
      <c r="F87" s="133"/>
      <c r="G87" s="133"/>
      <c r="H87" s="133"/>
      <c r="I87" s="133"/>
    </row>
    <row r="88" spans="1:18" ht="15">
      <c r="A88" s="133"/>
      <c r="B88" s="133"/>
      <c r="C88" s="133"/>
      <c r="D88" s="133"/>
      <c r="E88" s="133"/>
      <c r="F88" s="133"/>
      <c r="G88" s="133"/>
      <c r="H88" s="133"/>
      <c r="I88" s="133"/>
    </row>
    <row r="89" spans="1:18" ht="15">
      <c r="A89" s="133"/>
      <c r="B89" s="133"/>
      <c r="C89" s="133"/>
      <c r="D89" s="133"/>
      <c r="E89" s="133"/>
      <c r="F89" s="133"/>
      <c r="G89" s="133"/>
      <c r="H89" s="133"/>
      <c r="I89" s="133"/>
    </row>
    <row r="90" spans="1:18" ht="15">
      <c r="A90" s="133"/>
      <c r="B90" s="133"/>
      <c r="C90" s="133"/>
      <c r="D90" s="133"/>
      <c r="E90" s="133"/>
      <c r="F90" s="133"/>
      <c r="G90" s="133"/>
      <c r="H90" s="133"/>
      <c r="I90" s="133"/>
    </row>
    <row r="91" spans="1:18" ht="15">
      <c r="A91" s="133"/>
      <c r="B91" s="133"/>
      <c r="C91" s="133"/>
      <c r="D91" s="133"/>
      <c r="E91" s="133"/>
      <c r="F91" s="133"/>
      <c r="G91" s="133"/>
      <c r="H91" s="133"/>
      <c r="I91" s="133"/>
    </row>
    <row r="92" spans="1:18" ht="15">
      <c r="A92" s="133"/>
      <c r="B92" s="133"/>
      <c r="C92" s="133"/>
      <c r="D92" s="133"/>
      <c r="E92" s="133"/>
      <c r="F92" s="133"/>
      <c r="G92" s="133"/>
      <c r="H92" s="133"/>
      <c r="I92" s="133"/>
      <c r="M92" s="279"/>
      <c r="O92" s="279"/>
      <c r="P92" s="279"/>
      <c r="Q92" s="279"/>
      <c r="R92" s="279"/>
    </row>
    <row r="93" spans="1:18" ht="15">
      <c r="A93" s="133"/>
      <c r="B93" s="133"/>
      <c r="C93" s="133"/>
      <c r="D93" s="133"/>
      <c r="E93" s="133"/>
      <c r="F93" s="133"/>
      <c r="G93" s="133"/>
      <c r="H93" s="133"/>
      <c r="I93" s="133"/>
      <c r="J93" s="279"/>
    </row>
    <row r="94" spans="1:18" ht="15">
      <c r="A94" s="133"/>
      <c r="B94" s="133"/>
      <c r="C94" s="133"/>
      <c r="D94" s="133"/>
      <c r="E94" s="133"/>
      <c r="F94" s="133"/>
      <c r="G94" s="133"/>
      <c r="H94" s="133"/>
      <c r="I94" s="133"/>
      <c r="M94" s="279"/>
      <c r="O94" s="279"/>
      <c r="P94" s="279"/>
      <c r="Q94" s="279"/>
      <c r="R94" s="279"/>
    </row>
    <row r="95" spans="1:18" ht="15">
      <c r="A95" s="133"/>
      <c r="B95" s="133"/>
      <c r="C95" s="133"/>
      <c r="D95" s="133"/>
      <c r="E95" s="133"/>
      <c r="F95" s="133"/>
      <c r="G95" s="133"/>
      <c r="H95" s="133"/>
      <c r="I95" s="133"/>
    </row>
    <row r="96" spans="1:18" ht="15">
      <c r="A96" s="133"/>
      <c r="B96" s="133"/>
      <c r="C96" s="133"/>
      <c r="D96" s="133"/>
      <c r="E96" s="133"/>
      <c r="F96" s="133"/>
      <c r="G96" s="133"/>
      <c r="H96" s="133"/>
      <c r="I96" s="133"/>
    </row>
    <row r="97" spans="1:9" ht="15">
      <c r="A97" s="133"/>
      <c r="B97" s="133"/>
      <c r="C97" s="133"/>
      <c r="D97" s="133"/>
      <c r="E97" s="133"/>
      <c r="F97" s="133"/>
      <c r="G97" s="133"/>
      <c r="H97" s="133"/>
      <c r="I97" s="133"/>
    </row>
    <row r="98" spans="1:9" ht="15">
      <c r="A98" s="133"/>
      <c r="B98" s="133"/>
      <c r="C98" s="133"/>
      <c r="D98" s="133"/>
      <c r="E98" s="133"/>
      <c r="F98" s="133"/>
      <c r="G98" s="133"/>
      <c r="H98" s="133"/>
      <c r="I98" s="133"/>
    </row>
    <row r="99" spans="1:9" ht="15">
      <c r="A99" s="133"/>
      <c r="B99" s="133"/>
      <c r="C99" s="133"/>
      <c r="D99" s="133"/>
      <c r="E99" s="133"/>
      <c r="F99" s="133"/>
      <c r="G99" s="133"/>
      <c r="H99" s="133"/>
      <c r="I99" s="133"/>
    </row>
    <row r="100" spans="1:9" ht="15">
      <c r="A100" s="133"/>
      <c r="B100" s="133"/>
      <c r="C100" s="133"/>
      <c r="D100" s="133"/>
      <c r="E100" s="133"/>
      <c r="F100" s="133"/>
      <c r="G100" s="133"/>
      <c r="H100" s="133"/>
      <c r="I100" s="133"/>
    </row>
    <row r="101" spans="1:9" ht="15">
      <c r="A101" s="133"/>
      <c r="B101" s="133"/>
      <c r="C101" s="133"/>
      <c r="D101" s="133"/>
      <c r="E101" s="133"/>
      <c r="F101" s="133"/>
      <c r="G101" s="133"/>
      <c r="H101" s="133"/>
      <c r="I101" s="133"/>
    </row>
    <row r="119" spans="7:8">
      <c r="G119" s="250" t="s">
        <v>72</v>
      </c>
      <c r="H119" s="250">
        <f>+J188</f>
        <v>0</v>
      </c>
    </row>
    <row r="120" spans="7:8">
      <c r="H120" s="250">
        <f>+H119</f>
        <v>0</v>
      </c>
    </row>
  </sheetData>
  <mergeCells count="1">
    <mergeCell ref="B3:H3"/>
  </mergeCells>
  <phoneticPr fontId="13" type="noConversion"/>
  <pageMargins left="0.5" right="0.5" top="1" bottom="0.44" header="0.34" footer="0.21"/>
  <pageSetup scale="99" orientation="portrait" r:id="rId1"/>
  <headerFooter alignWithMargins="0">
    <oddHeader>&amp;L &amp;8 2016 BHP-Sch. 1 Rate True-Up&amp;C&amp;"Arial MT,Bold"
SCHEDULE 1 RATE
BLACK HILLS POWER, INC.&amp;R&amp;10Page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093573961164F905C45F61A1D6B65" ma:contentTypeVersion="3" ma:contentTypeDescription="Create a new document." ma:contentTypeScope="" ma:versionID="37bf1688a73fe7335e4608406854c1f9">
  <xsd:schema xmlns:xsd="http://www.w3.org/2001/XMLSchema" xmlns:xs="http://www.w3.org/2001/XMLSchema" xmlns:p="http://schemas.microsoft.com/office/2006/metadata/properties" xmlns:ns2="65f921e4-52a3-4603-ab85-2f3cbf5b10db" targetNamespace="http://schemas.microsoft.com/office/2006/metadata/properties" ma:root="true" ma:fieldsID="bf82b0d7d22853b9e5a4c9b4a7a06d6d" ns2:_="">
    <xsd:import namespace="65f921e4-52a3-4603-ab85-2f3cbf5b10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921e4-52a3-4603-ab85-2f3cbf5b1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BBC549-15B3-4D3D-B5CE-65B0FF415C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5CEABE-6849-4C62-A880-6D3DC0F9B1E1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65f921e4-52a3-4603-ab85-2f3cbf5b10db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7B9E1D2-B9BC-488E-B184-405FA34D0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921e4-52a3-4603-ab85-2f3cbf5b10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CU AC Rate Design - True-Up</vt:lpstr>
      <vt:lpstr>True-Up</vt:lpstr>
      <vt:lpstr>Capital True-up</vt:lpstr>
      <vt:lpstr>BHP WP5 Depreciation Rates</vt:lpstr>
      <vt:lpstr>WP6 Rate Base</vt:lpstr>
      <vt:lpstr>WP7 CU AC LOADS</vt:lpstr>
      <vt:lpstr>WP14 Long Term Interest </vt:lpstr>
      <vt:lpstr>BHP Sch. 1</vt:lpstr>
      <vt:lpstr>'BHP Sch. 1'!Print_Area</vt:lpstr>
      <vt:lpstr>'Capital True-up'!Print_Area</vt:lpstr>
      <vt:lpstr>'CU AC Rate Design - True-Up'!Print_Area</vt:lpstr>
      <vt:lpstr>'WP6 Rate Base'!Print_Area</vt:lpstr>
      <vt:lpstr>'WP7 CU AC LOADS'!Print_Area</vt:lpstr>
      <vt:lpstr>'WP6 Rate Base'!Print_Titles</vt:lpstr>
    </vt:vector>
  </TitlesOfParts>
  <Manager/>
  <Company>Dell Computer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Mack, Lori</cp:lastModifiedBy>
  <cp:revision/>
  <dcterms:created xsi:type="dcterms:W3CDTF">1997-04-03T19:40:56Z</dcterms:created>
  <dcterms:modified xsi:type="dcterms:W3CDTF">2026-05-29T18:04:00Z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0x01010069B093573961164F905C45F61A1D6B65</vt:lpwstr>
  </property>
</Properties>
</file>